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2548DE47-A7C1-4B4F-B2AE-7DA3C59BC9F1}" xr6:coauthVersionLast="47" xr6:coauthVersionMax="47" xr10:uidLastSave="{00000000-0000-0000-0000-000000000000}"/>
  <bookViews>
    <workbookView xWindow="8240" yWindow="100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F9" i="20"/>
  <c r="D9" i="20"/>
  <c r="D8" i="20"/>
  <c r="F8" i="20" s="1"/>
  <c r="F7" i="20"/>
  <c r="D7" i="20"/>
  <c r="D6" i="20"/>
  <c r="F6" i="20" s="1"/>
  <c r="F5" i="20"/>
  <c r="D5" i="20"/>
  <c r="I5" i="20" s="1"/>
  <c r="D4" i="20"/>
  <c r="F4" i="20" s="1"/>
  <c r="D3" i="20"/>
  <c r="F3" i="20" s="1"/>
  <c r="D2" i="20"/>
  <c r="F2" i="20" s="1"/>
  <c r="F10" i="19"/>
  <c r="D10" i="19"/>
  <c r="F9" i="19"/>
  <c r="D9" i="19"/>
  <c r="D8" i="19"/>
  <c r="F8" i="19" s="1"/>
  <c r="F7" i="19"/>
  <c r="D7" i="19"/>
  <c r="D6" i="19"/>
  <c r="F6" i="19" s="1"/>
  <c r="F5" i="19"/>
  <c r="D5" i="19"/>
  <c r="I5" i="19" s="1"/>
  <c r="D4" i="19"/>
  <c r="F4" i="19" s="1"/>
  <c r="F3" i="19"/>
  <c r="D3" i="19"/>
  <c r="D2" i="19"/>
  <c r="F2" i="19" s="1"/>
  <c r="F11" i="18"/>
  <c r="D11" i="18"/>
  <c r="F10" i="18"/>
  <c r="D10" i="18"/>
  <c r="D9" i="18"/>
  <c r="F9" i="18" s="1"/>
  <c r="F8" i="18"/>
  <c r="D8" i="18"/>
  <c r="D7" i="18"/>
  <c r="F7" i="18" s="1"/>
  <c r="D6" i="18"/>
  <c r="F6" i="18" s="1"/>
  <c r="D5" i="18"/>
  <c r="I5" i="18" s="1"/>
  <c r="F4" i="18"/>
  <c r="D4" i="18"/>
  <c r="D3" i="18"/>
  <c r="F3" i="18" s="1"/>
  <c r="F2" i="18"/>
  <c r="D2" i="18"/>
  <c r="D6" i="17"/>
  <c r="F6" i="17" s="1"/>
  <c r="I5" i="17"/>
  <c r="F5" i="17"/>
  <c r="D5" i="17"/>
  <c r="D4" i="17"/>
  <c r="F4" i="17" s="1"/>
  <c r="F3" i="17"/>
  <c r="D3" i="17"/>
  <c r="F2" i="17"/>
  <c r="D2" i="17"/>
  <c r="D6" i="16"/>
  <c r="F6" i="16" s="1"/>
  <c r="I5" i="16"/>
  <c r="D5" i="16"/>
  <c r="F5" i="16" s="1"/>
  <c r="F4" i="16"/>
  <c r="D4" i="16"/>
  <c r="F3" i="16"/>
  <c r="D3" i="16"/>
  <c r="D2" i="16"/>
  <c r="F2" i="16" s="1"/>
  <c r="F8" i="15"/>
  <c r="D8" i="15"/>
  <c r="D7" i="15"/>
  <c r="F7" i="15" s="1"/>
  <c r="D6" i="15"/>
  <c r="F6" i="15" s="1"/>
  <c r="D5" i="15"/>
  <c r="I5" i="15" s="1"/>
  <c r="F4" i="15"/>
  <c r="D4" i="15"/>
  <c r="D3" i="15"/>
  <c r="F3" i="15" s="1"/>
  <c r="F2" i="15"/>
  <c r="D2" i="15"/>
  <c r="F8" i="14"/>
  <c r="D8" i="14"/>
  <c r="D7" i="14"/>
  <c r="F7" i="14" s="1"/>
  <c r="F6" i="14"/>
  <c r="D6" i="14"/>
  <c r="I5" i="14"/>
  <c r="F5" i="14"/>
  <c r="D5" i="14"/>
  <c r="F4" i="14"/>
  <c r="D4" i="14"/>
  <c r="D3" i="14"/>
  <c r="F3" i="14" s="1"/>
  <c r="F2" i="14"/>
  <c r="D2" i="14"/>
  <c r="D11" i="13"/>
  <c r="F11" i="13" s="1"/>
  <c r="F10" i="13"/>
  <c r="D10" i="13"/>
  <c r="F9" i="13"/>
  <c r="D9" i="13"/>
  <c r="D8" i="13"/>
  <c r="F8" i="13" s="1"/>
  <c r="F7" i="13"/>
  <c r="D7" i="13"/>
  <c r="D6" i="13"/>
  <c r="F6" i="13" s="1"/>
  <c r="F5" i="13"/>
  <c r="D5" i="13"/>
  <c r="I5" i="13" s="1"/>
  <c r="D4" i="13"/>
  <c r="F4" i="13" s="1"/>
  <c r="F3" i="13"/>
  <c r="D3" i="13"/>
  <c r="D2" i="13"/>
  <c r="F2" i="13" s="1"/>
  <c r="D6" i="12"/>
  <c r="F6" i="12" s="1"/>
  <c r="D5" i="12"/>
  <c r="I5" i="12" s="1"/>
  <c r="F4" i="12"/>
  <c r="D4" i="12"/>
  <c r="D3" i="12"/>
  <c r="F3" i="12" s="1"/>
  <c r="F2" i="12"/>
  <c r="D2" i="12"/>
  <c r="F12" i="11"/>
  <c r="D12" i="11"/>
  <c r="F11" i="11"/>
  <c r="D11" i="11"/>
  <c r="F10" i="11"/>
  <c r="D10" i="11"/>
  <c r="D9" i="11"/>
  <c r="F9" i="11" s="1"/>
  <c r="F8" i="11"/>
  <c r="D8" i="11"/>
  <c r="D7" i="11"/>
  <c r="F7" i="11" s="1"/>
  <c r="D6" i="11"/>
  <c r="F6" i="11" s="1"/>
  <c r="D5" i="11"/>
  <c r="I5" i="11" s="1"/>
  <c r="F4" i="11"/>
  <c r="D4" i="11"/>
  <c r="F3" i="11"/>
  <c r="D3" i="11"/>
  <c r="F2" i="11"/>
  <c r="D2" i="11"/>
  <c r="F12" i="10"/>
  <c r="D12" i="10"/>
  <c r="D11" i="10"/>
  <c r="F11" i="10" s="1"/>
  <c r="F10" i="10"/>
  <c r="D10" i="10"/>
  <c r="F9" i="10"/>
  <c r="D9" i="10"/>
  <c r="F8" i="10"/>
  <c r="D8" i="10"/>
  <c r="F7" i="10"/>
  <c r="D7" i="10"/>
  <c r="D6" i="10"/>
  <c r="F6" i="10" s="1"/>
  <c r="F5" i="10"/>
  <c r="D5" i="10"/>
  <c r="I5" i="10" s="1"/>
  <c r="F4" i="10"/>
  <c r="D4" i="10"/>
  <c r="F3" i="10"/>
  <c r="D3" i="10"/>
  <c r="D2" i="10"/>
  <c r="F2" i="10" s="1"/>
  <c r="I7" i="10" s="1"/>
  <c r="F11" i="9"/>
  <c r="D11" i="9"/>
  <c r="F10" i="9"/>
  <c r="D10" i="9"/>
  <c r="F9" i="9"/>
  <c r="D9" i="9"/>
  <c r="F8" i="9"/>
  <c r="D8" i="9"/>
  <c r="D7" i="9"/>
  <c r="F7" i="9" s="1"/>
  <c r="D6" i="9"/>
  <c r="F6" i="9" s="1"/>
  <c r="I5" i="9"/>
  <c r="F5" i="9"/>
  <c r="D5" i="9"/>
  <c r="F4" i="9"/>
  <c r="D4" i="9"/>
  <c r="D3" i="9"/>
  <c r="F3" i="9" s="1"/>
  <c r="F2" i="9"/>
  <c r="D2" i="9"/>
  <c r="F6" i="8"/>
  <c r="D6" i="8"/>
  <c r="I5" i="8"/>
  <c r="F5" i="8"/>
  <c r="D5" i="8"/>
  <c r="D4" i="8"/>
  <c r="F4" i="8" s="1"/>
  <c r="F3" i="8"/>
  <c r="D3" i="8"/>
  <c r="F2" i="8"/>
  <c r="I7" i="8" s="1"/>
  <c r="D2" i="8"/>
  <c r="F9" i="7"/>
  <c r="D9" i="7"/>
  <c r="F8" i="7"/>
  <c r="D8" i="7"/>
  <c r="D7" i="7"/>
  <c r="F7" i="7" s="1"/>
  <c r="D6" i="7"/>
  <c r="F6" i="7" s="1"/>
  <c r="I5" i="7"/>
  <c r="F5" i="7"/>
  <c r="D5" i="7"/>
  <c r="F4" i="7"/>
  <c r="D4" i="7"/>
  <c r="D3" i="7"/>
  <c r="F3" i="7" s="1"/>
  <c r="F2" i="7"/>
  <c r="I7" i="7" s="1"/>
  <c r="D2" i="7"/>
  <c r="I5" i="6"/>
  <c r="F4" i="6"/>
  <c r="D4" i="6"/>
  <c r="F3" i="6"/>
  <c r="D3" i="6"/>
  <c r="D2" i="6"/>
  <c r="F2" i="6" s="1"/>
  <c r="I7" i="6" s="1"/>
  <c r="F8" i="5"/>
  <c r="D8" i="5"/>
  <c r="F7" i="5"/>
  <c r="D7" i="5"/>
  <c r="D6" i="5"/>
  <c r="F6" i="5" s="1"/>
  <c r="I5" i="5"/>
  <c r="D5" i="5"/>
  <c r="F5" i="5" s="1"/>
  <c r="F4" i="5"/>
  <c r="D4" i="5"/>
  <c r="D3" i="5"/>
  <c r="F3" i="5" s="1"/>
  <c r="D2" i="5"/>
  <c r="F2" i="5" s="1"/>
  <c r="F11" i="4"/>
  <c r="D11" i="4"/>
  <c r="D10" i="4"/>
  <c r="F10" i="4" s="1"/>
  <c r="F9" i="4"/>
  <c r="D9" i="4"/>
  <c r="F8" i="4"/>
  <c r="D8" i="4"/>
  <c r="D7" i="4"/>
  <c r="F7" i="4" s="1"/>
  <c r="F6" i="4"/>
  <c r="D6" i="4"/>
  <c r="F5" i="4"/>
  <c r="D5" i="4"/>
  <c r="I5" i="4" s="1"/>
  <c r="D4" i="4"/>
  <c r="F4" i="4" s="1"/>
  <c r="D3" i="4"/>
  <c r="F3" i="4" s="1"/>
  <c r="F2" i="4"/>
  <c r="D2" i="4"/>
  <c r="D12" i="3"/>
  <c r="F12" i="3" s="1"/>
  <c r="D11" i="3"/>
  <c r="F11" i="3" s="1"/>
  <c r="D10" i="3"/>
  <c r="F10" i="3" s="1"/>
  <c r="D9" i="3"/>
  <c r="F9" i="3" s="1"/>
  <c r="F8" i="3"/>
  <c r="D8" i="3"/>
  <c r="D7" i="3"/>
  <c r="F7" i="3" s="1"/>
  <c r="D6" i="3"/>
  <c r="F6" i="3" s="1"/>
  <c r="I5" i="3"/>
  <c r="D5" i="3"/>
  <c r="F5" i="3" s="1"/>
  <c r="F4" i="3"/>
  <c r="D4" i="3"/>
  <c r="D3" i="3"/>
  <c r="F3" i="3" s="1"/>
  <c r="D2" i="3"/>
  <c r="F2" i="3" s="1"/>
  <c r="F10" i="2"/>
  <c r="D10" i="2"/>
  <c r="F9" i="2"/>
  <c r="D9" i="2"/>
  <c r="F8" i="2"/>
  <c r="D8" i="2"/>
  <c r="D7" i="2"/>
  <c r="F7" i="2" s="1"/>
  <c r="D6" i="2"/>
  <c r="F6" i="2" s="1"/>
  <c r="I5" i="2"/>
  <c r="F5" i="2"/>
  <c r="D5" i="2"/>
  <c r="F4" i="2"/>
  <c r="D4" i="2"/>
  <c r="D3" i="2"/>
  <c r="F3" i="2" s="1"/>
  <c r="D2" i="2"/>
  <c r="F2" i="2" s="1"/>
  <c r="D13" i="1"/>
  <c r="F13" i="1" s="1"/>
  <c r="F12" i="1"/>
  <c r="D12" i="1"/>
  <c r="F11" i="1"/>
  <c r="D11" i="1"/>
  <c r="D10" i="1"/>
  <c r="F10" i="1" s="1"/>
  <c r="D9" i="1"/>
  <c r="F9" i="1" s="1"/>
  <c r="D8" i="1"/>
  <c r="F8" i="1" s="1"/>
  <c r="D7" i="1"/>
  <c r="F7" i="1" s="1"/>
  <c r="F6" i="1"/>
  <c r="D6" i="1"/>
  <c r="D5" i="1"/>
  <c r="F5" i="1" s="1"/>
  <c r="D4" i="1"/>
  <c r="F4" i="1" s="1"/>
  <c r="F3" i="1"/>
  <c r="D3" i="1"/>
  <c r="F2" i="1"/>
  <c r="D2" i="1"/>
  <c r="I7" i="1" l="1"/>
  <c r="I7" i="3"/>
  <c r="I7" i="5"/>
  <c r="I7" i="14"/>
  <c r="I7" i="17"/>
  <c r="I7" i="16"/>
  <c r="I7" i="19"/>
  <c r="I7" i="13"/>
  <c r="I7" i="2"/>
  <c r="I7" i="4"/>
  <c r="I7" i="9"/>
  <c r="I7" i="20"/>
  <c r="I5" i="1"/>
  <c r="F5" i="11"/>
  <c r="I7" i="11" s="1"/>
  <c r="F5" i="12"/>
  <c r="I7" i="12" s="1"/>
  <c r="F5" i="15"/>
  <c r="I7" i="15" s="1"/>
  <c r="F5" i="18"/>
  <c r="I7" i="18" s="1"/>
</calcChain>
</file>

<file path=xl/sharedStrings.xml><?xml version="1.0" encoding="utf-8"?>
<sst xmlns="http://schemas.openxmlformats.org/spreadsheetml/2006/main" count="364" uniqueCount="173">
  <si>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</si>
  <si>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</si>
  <si>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</si>
  <si>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</si>
  <si>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</si>
  <si>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</si>
  <si>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</si>
  <si>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</si>
  <si>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</si>
  <si>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</si>
  <si>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</si>
  <si>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</si>
  <si>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</si>
  <si>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</si>
  <si>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</si>
  <si>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</si>
  <si>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</si>
  <si>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</si>
  <si>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</si>
  <si>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</si>
  <si>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</si>
  <si>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</si>
  <si>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</si>
  <si>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</si>
  <si>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</si>
  <si>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</si>
  <si>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</si>
  <si>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</si>
  <si>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</si>
  <si>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</si>
  <si>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</si>
  <si>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</si>
  <si>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</si>
  <si>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</si>
  <si>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</si>
  <si>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</si>
  <si>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</si>
  <si>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</si>
  <si>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</si>
  <si>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</si>
  <si>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</si>
  <si>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</si>
  <si>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Maupay</t>
  </si>
  <si>
    <t>Nørgaard</t>
  </si>
  <si>
    <t>Janelt</t>
  </si>
  <si>
    <t>Ajer</t>
  </si>
  <si>
    <t>Wissa</t>
  </si>
  <si>
    <t>Jensen</t>
  </si>
  <si>
    <t>Roerslev</t>
  </si>
  <si>
    <t>Collins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</si>
  <si>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</si>
  <si>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</si>
  <si>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</si>
  <si>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</si>
  <si>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</si>
  <si>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</si>
  <si>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</si>
  <si>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</si>
  <si>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</si>
  <si>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O'Shea</t>
  </si>
  <si>
    <t>Bruun Larsen</t>
  </si>
  <si>
    <t>Odobert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</si>
  <si>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</si>
  <si>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</si>
  <si>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</si>
  <si>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</si>
  <si>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</si>
  <si>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</si>
  <si>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</si>
  <si>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</si>
  <si>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J.Ayew</t>
  </si>
  <si>
    <t>Eze</t>
  </si>
  <si>
    <t>Johnstone</t>
  </si>
  <si>
    <t>Mateta</t>
  </si>
  <si>
    <t>Lerma</t>
  </si>
  <si>
    <t>A.Doucoure</t>
  </si>
  <si>
    <t>Pickford</t>
  </si>
  <si>
    <t>Young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</si>
  <si>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</si>
  <si>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</si>
  <si>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</si>
  <si>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</si>
  <si>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</si>
  <si>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</si>
  <si>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</si>
  <si>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</si>
  <si>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</si>
  <si>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</si>
  <si>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</si>
  <si>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</si>
  <si>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</si>
  <si>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</si>
  <si>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</si>
  <si>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</si>
  <si>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</si>
  <si>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Bassey</t>
  </si>
  <si>
    <t>A.Becker</t>
  </si>
  <si>
    <t>Salah</t>
  </si>
  <si>
    <t>Alexander-Arnold</t>
  </si>
  <si>
    <t>Virgil</t>
  </si>
  <si>
    <t>Elliott</t>
  </si>
  <si>
    <t>Mac Allister</t>
  </si>
  <si>
    <t>Luis Díaz</t>
  </si>
  <si>
    <t>Darwin</t>
  </si>
  <si>
    <t>Gakpo</t>
  </si>
  <si>
    <t>Szoboszlai</t>
  </si>
  <si>
    <t>Gomez</t>
  </si>
  <si>
    <t>Barkley</t>
  </si>
  <si>
    <t>Chong</t>
  </si>
  <si>
    <t>Kaminski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</si>
  <si>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</si>
  <si>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</si>
  <si>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</si>
  <si>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</si>
  <si>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</si>
  <si>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</si>
  <si>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</si>
  <si>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</si>
  <si>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</si>
  <si>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</si>
  <si>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</si>
  <si>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</si>
  <si>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</si>
  <si>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</si>
  <si>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B.Fernandes</t>
  </si>
  <si>
    <t>Dalot</t>
  </si>
  <si>
    <t>Garnacho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</si>
  <si>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</si>
  <si>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</si>
  <si>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</si>
  <si>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</si>
  <si>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</si>
  <si>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</si>
  <si>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</si>
  <si>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</si>
  <si>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</si>
  <si>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</si>
  <si>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</si>
  <si>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</si>
  <si>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Murillo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</si>
  <si>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</si>
  <si>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</si>
  <si>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</si>
  <si>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</si>
  <si>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</si>
  <si>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</si>
  <si>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</si>
  <si>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</si>
  <si>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</si>
  <si>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</si>
  <si>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</si>
  <si>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</si>
  <si>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</si>
  <si>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</si>
  <si>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</si>
  <si>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</si>
  <si>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</si>
  <si>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</si>
  <si>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</si>
  <si>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</si>
  <si>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</si>
  <si>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Souček</t>
  </si>
  <si>
    <t>Álvarez</t>
  </si>
  <si>
    <t>Kudus</t>
  </si>
  <si>
    <t>Mario Jr.</t>
  </si>
  <si>
    <t>Kilman</t>
  </si>
  <si>
    <t>Dawson</t>
  </si>
  <si>
    <t>José Sá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</si>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</sst>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2" totalsRowShown="0">
  <autoFilter ref="A1:F12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6" totalsRowShown="0">
  <autoFilter ref="A1:F6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1" totalsRowShown="0">
  <autoFilter ref="A1:F11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4" totalsRowShown="0">
  <autoFilter ref="A1:F4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6" totalsRowShown="0">
  <autoFilter ref="A1:F6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28.248096228031319</v>
      </c>
      <c r="C2">
        <v>27.04600414143616</v>
      </c>
      <c r="D2">
        <f>TableARS[[#This Row],[ARIMAPP]]*$I$2+TableARS[[#This Row],[LSTMPP]]*$I$3</f>
        <v>38.035213697545863</v>
      </c>
      <c r="E2">
        <v>53</v>
      </c>
      <c r="F2">
        <f>ABS(TableARS[[#This Row],[PP]]-TableARS[[#This Row],[AP]])</f>
        <v>14.964786302454137</v>
      </c>
      <c r="H2" t="s">
        <v>0</v>
      </c>
      <c r="I2">
        <v>1.3464699501999999</v>
      </c>
    </row>
    <row r="3" spans="1:9" x14ac:dyDescent="0.2">
      <c r="A3" t="s">
        <v>11</v>
      </c>
      <c r="B3">
        <v>40.463576158940413</v>
      </c>
      <c r="C3">
        <v>40.418596831619013</v>
      </c>
      <c r="D3">
        <f>TableARS[[#This Row],[ARIMAPP]]*$I$2+TableARS[[#This Row],[LSTMPP]]*$I$3</f>
        <v>54.48299083442943</v>
      </c>
      <c r="E3">
        <v>36</v>
      </c>
      <c r="F3">
        <f>ABS(TableARS[[#This Row],[PP]]-TableARS[[#This Row],[AP]])</f>
        <v>18.48299083442943</v>
      </c>
      <c r="H3" t="s">
        <v>1</v>
      </c>
      <c r="I3">
        <v>3.6091975878E-8</v>
      </c>
    </row>
    <row r="4" spans="1:9" x14ac:dyDescent="0.2">
      <c r="A4" t="s">
        <v>12</v>
      </c>
      <c r="B4">
        <v>33.921568627450966</v>
      </c>
      <c r="C4">
        <v>34.393455125473842</v>
      </c>
      <c r="D4">
        <f>TableARS[[#This Row],[ARIMAPP]]*$I$2+TableARS[[#This Row],[LSTMPP]]*$I$3</f>
        <v>45.674374061837533</v>
      </c>
      <c r="E4">
        <v>42</v>
      </c>
      <c r="F4">
        <f>ABS(TableARS[[#This Row],[PP]]-TableARS[[#This Row],[AP]])</f>
        <v>3.6743740618375327</v>
      </c>
    </row>
    <row r="5" spans="1:9" x14ac:dyDescent="0.2">
      <c r="A5" t="s">
        <v>13</v>
      </c>
      <c r="B5">
        <v>51.503691789243597</v>
      </c>
      <c r="C5">
        <v>41.323020009675908</v>
      </c>
      <c r="D5">
        <f>TableARS[[#This Row],[ARIMAPP]]*$I$2+TableARS[[#This Row],[LSTMPP]]*$I$3</f>
        <v>69.348174810008416</v>
      </c>
      <c r="E5">
        <v>84</v>
      </c>
      <c r="F5">
        <f>ABS(TableARS[[#This Row],[PP]]-TableARS[[#This Row],[AP]])</f>
        <v>14.651825189991584</v>
      </c>
      <c r="H5" t="s">
        <v>2</v>
      </c>
      <c r="I5">
        <f>SUM(ABS(TableARS[[#This Row],[PP]]-TableARS[[#This Row],[AP]]))</f>
        <v>14.651825189991584</v>
      </c>
    </row>
    <row r="6" spans="1:9" x14ac:dyDescent="0.2">
      <c r="A6" t="s">
        <v>14</v>
      </c>
      <c r="B6">
        <v>39.097998148517171</v>
      </c>
      <c r="C6">
        <v>41.540979927328578</v>
      </c>
      <c r="D6">
        <f>TableARS[[#This Row],[ARIMAPP]]*$I$2+TableARS[[#This Row],[LSTMPP]]*$I$3</f>
        <v>52.644281119249655</v>
      </c>
      <c r="E6">
        <v>42</v>
      </c>
      <c r="F6">
        <f>ABS(TableARS[[#This Row],[PP]]-TableARS[[#This Row],[AP]])</f>
        <v>10.644281119249655</v>
      </c>
    </row>
    <row r="7" spans="1:9" x14ac:dyDescent="0.2">
      <c r="A7" t="s">
        <v>15</v>
      </c>
      <c r="B7">
        <v>31.8867924528302</v>
      </c>
      <c r="C7">
        <v>35.926616618941203</v>
      </c>
      <c r="D7">
        <f>TableARS[[#This Row],[ARIMAPP]]*$I$2+TableARS[[#This Row],[LSTMPP]]*$I$3</f>
        <v>42.934609142662595</v>
      </c>
      <c r="E7">
        <v>77</v>
      </c>
      <c r="F7">
        <f>ABS(TableARS[[#This Row],[PP]]-TableARS[[#This Row],[AP]])</f>
        <v>34.065390857337405</v>
      </c>
      <c r="H7" t="s">
        <v>3</v>
      </c>
      <c r="I7">
        <f>AVERAGE(TableARS[DIFF])/10</f>
        <v>1.1075809966633123</v>
      </c>
    </row>
    <row r="8" spans="1:9" x14ac:dyDescent="0.2">
      <c r="A8" t="s">
        <v>16</v>
      </c>
      <c r="B8">
        <v>48.686165653690253</v>
      </c>
      <c r="C8">
        <v>49.077127865269318</v>
      </c>
      <c r="D8">
        <f>TableARS[[#This Row],[ARIMAPP]]*$I$2+TableARS[[#This Row],[LSTMPP]]*$I$3</f>
        <v>65.554460814443772</v>
      </c>
      <c r="E8">
        <v>59</v>
      </c>
      <c r="F8">
        <f>ABS(TableARS[[#This Row],[PP]]-TableARS[[#This Row],[AP]])</f>
        <v>6.5544608144437717</v>
      </c>
    </row>
    <row r="9" spans="1:9" x14ac:dyDescent="0.2">
      <c r="A9" t="s">
        <v>17</v>
      </c>
      <c r="B9">
        <v>40.93333333333333</v>
      </c>
      <c r="C9">
        <v>42.087140937790323</v>
      </c>
      <c r="D9">
        <f>TableARS[[#This Row],[ARIMAPP]]*$I$2+TableARS[[#This Row],[LSTMPP]]*$I$3</f>
        <v>55.115504813861399</v>
      </c>
      <c r="E9">
        <v>49</v>
      </c>
      <c r="F9">
        <f>ABS(TableARS[[#This Row],[PP]]-TableARS[[#This Row],[AP]])</f>
        <v>6.1155048138613992</v>
      </c>
    </row>
    <row r="10" spans="1:9" x14ac:dyDescent="0.2">
      <c r="A10" t="s">
        <v>18</v>
      </c>
      <c r="B10">
        <v>41.0053104194985</v>
      </c>
      <c r="C10">
        <v>34.527171731764597</v>
      </c>
      <c r="D10">
        <f>TableARS[[#This Row],[ARIMAPP]]*$I$2+TableARS[[#This Row],[LSTMPP]]*$I$3</f>
        <v>55.212419524631535</v>
      </c>
      <c r="E10">
        <v>50</v>
      </c>
      <c r="F10">
        <f>ABS(TableARS[[#This Row],[PP]]-TableARS[[#This Row],[AP]])</f>
        <v>5.2124195246315352</v>
      </c>
    </row>
    <row r="11" spans="1:9" x14ac:dyDescent="0.2">
      <c r="A11" t="s">
        <v>19</v>
      </c>
      <c r="B11">
        <v>39.642857142857153</v>
      </c>
      <c r="C11">
        <v>36.59706375440301</v>
      </c>
      <c r="D11">
        <f>TableARS[[#This Row],[ARIMAPP]]*$I$2+TableARS[[#This Row],[LSTMPP]]*$I$3</f>
        <v>53.377917203788925</v>
      </c>
      <c r="E11">
        <v>61</v>
      </c>
      <c r="F11">
        <f>ABS(TableARS[[#This Row],[PP]]-TableARS[[#This Row],[AP]])</f>
        <v>7.6220827962110747</v>
      </c>
    </row>
    <row r="12" spans="1:9" x14ac:dyDescent="0.2">
      <c r="A12" t="s">
        <v>20</v>
      </c>
      <c r="B12">
        <v>46.538461538461533</v>
      </c>
      <c r="C12">
        <v>45.98662629883264</v>
      </c>
      <c r="D12">
        <f>TableARS[[#This Row],[ARIMAPP]]*$I$2+TableARS[[#This Row],[LSTMPP]]*$I$3</f>
        <v>62.662641649825119</v>
      </c>
      <c r="E12">
        <v>53</v>
      </c>
      <c r="F12">
        <f>ABS(TableARS[[#This Row],[PP]]-TableARS[[#This Row],[AP]])</f>
        <v>9.6626416498251189</v>
      </c>
    </row>
    <row r="13" spans="1:9" x14ac:dyDescent="0.2">
      <c r="A13" t="s">
        <v>21</v>
      </c>
      <c r="B13">
        <v>35.09841447284915</v>
      </c>
      <c r="C13">
        <v>34.577455212401922</v>
      </c>
      <c r="D13">
        <f>TableARS[[#This Row],[ARIMAPP]]*$I$2+TableARS[[#This Row],[LSTMPP]]*$I$3</f>
        <v>47.25896163532483</v>
      </c>
      <c r="E13">
        <v>46</v>
      </c>
      <c r="F13">
        <f>ABS(TableARS[[#This Row],[PP]]-TableARS[[#This Row],[AP]])</f>
        <v>1.2589616353248303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85</v>
      </c>
      <c r="B2">
        <v>18.776429406442251</v>
      </c>
      <c r="C2">
        <v>43.704909251563748</v>
      </c>
      <c r="D2">
        <f>TableFUL[[#This Row],[ARIMAPP]]*$I$2+TableFUL[[#This Row],[LSTMPP]]*$I$3</f>
        <v>35.212498792287001</v>
      </c>
      <c r="E2">
        <v>35</v>
      </c>
      <c r="F2">
        <f>ABS(TableFUL[[#This Row],[PP]]-TableFUL[[#This Row],[AP]])</f>
        <v>0.21249879228700053</v>
      </c>
      <c r="H2" t="s">
        <v>0</v>
      </c>
      <c r="I2">
        <v>0.31626250551000001</v>
      </c>
    </row>
    <row r="3" spans="1:9" x14ac:dyDescent="0.2">
      <c r="A3" t="s">
        <v>86</v>
      </c>
      <c r="B3">
        <v>27.46987951807229</v>
      </c>
      <c r="C3">
        <v>26.737719484906119</v>
      </c>
      <c r="D3">
        <f>TableFUL[[#This Row],[ARIMAPP]]*$I$2+TableFUL[[#This Row],[LSTMPP]]*$I$3</f>
        <v>26.597027304758925</v>
      </c>
      <c r="E3">
        <v>36</v>
      </c>
      <c r="F3">
        <f>ABS(TableFUL[[#This Row],[PP]]-TableFUL[[#This Row],[AP]])</f>
        <v>9.4029726952410755</v>
      </c>
      <c r="H3" t="s">
        <v>1</v>
      </c>
      <c r="I3">
        <v>0.66981532932999999</v>
      </c>
    </row>
    <row r="4" spans="1:9" x14ac:dyDescent="0.2">
      <c r="A4" t="s">
        <v>87</v>
      </c>
      <c r="B4">
        <v>36.493506493506452</v>
      </c>
      <c r="C4">
        <v>35.785973195275872</v>
      </c>
      <c r="D4">
        <f>TableFUL[[#This Row],[ARIMAPP]]*$I$2+TableFUL[[#This Row],[LSTMPP]]*$I$3</f>
        <v>35.511521219670065</v>
      </c>
      <c r="E4">
        <v>29</v>
      </c>
      <c r="F4">
        <f>ABS(TableFUL[[#This Row],[PP]]-TableFUL[[#This Row],[AP]])</f>
        <v>6.5115212196700654</v>
      </c>
    </row>
    <row r="5" spans="1:9" x14ac:dyDescent="0.2">
      <c r="A5" t="s">
        <v>88</v>
      </c>
      <c r="B5">
        <v>26.49350649350648</v>
      </c>
      <c r="C5">
        <v>22.346241996984251</v>
      </c>
      <c r="D5">
        <f>TableFUL[[#This Row],[ARIMAPP]]*$I$2+TableFUL[[#This Row],[LSTMPP]]*$I$3</f>
        <v>23.346758185879697</v>
      </c>
      <c r="E5">
        <v>23</v>
      </c>
      <c r="F5">
        <f>ABS(TableFUL[[#This Row],[PP]]-TableFUL[[#This Row],[AP]])</f>
        <v>0.34675818587969687</v>
      </c>
      <c r="H5" t="s">
        <v>2</v>
      </c>
      <c r="I5">
        <f>SUM(ABS(TableFUL[[#This Row],[PP]]-TableFUL[[#This Row],[AP]]))</f>
        <v>0.34675818587969687</v>
      </c>
    </row>
    <row r="6" spans="1:9" x14ac:dyDescent="0.2">
      <c r="A6" t="s">
        <v>89</v>
      </c>
      <c r="B6">
        <v>29.869543445446041</v>
      </c>
      <c r="C6">
        <v>31.82598232727781</v>
      </c>
      <c r="D6">
        <f>TableFUL[[#This Row],[ARIMAPP]]*$I$2+TableFUL[[#This Row],[LSTMPP]]*$I$3</f>
        <v>30.764147482292913</v>
      </c>
      <c r="E6">
        <v>36</v>
      </c>
      <c r="F6">
        <f>ABS(TableFUL[[#This Row],[PP]]-TableFUL[[#This Row],[AP]])</f>
        <v>5.2358525177070874</v>
      </c>
    </row>
    <row r="7" spans="1:9" x14ac:dyDescent="0.2">
      <c r="A7" t="s">
        <v>90</v>
      </c>
      <c r="B7">
        <v>24.07407407407408</v>
      </c>
      <c r="C7">
        <v>27.132648942056669</v>
      </c>
      <c r="D7">
        <f>TableFUL[[#This Row],[ARIMAPP]]*$I$2+TableFUL[[#This Row],[LSTMPP]]*$I$3</f>
        <v>25.787591171218963</v>
      </c>
      <c r="E7">
        <v>36</v>
      </c>
      <c r="F7">
        <f>ABS(TableFUL[[#This Row],[PP]]-TableFUL[[#This Row],[AP]])</f>
        <v>10.212408828781037</v>
      </c>
      <c r="H7" t="s">
        <v>3</v>
      </c>
      <c r="I7">
        <f>AVERAGE(TableFUL[DIFF])/10</f>
        <v>0.79018435210217564</v>
      </c>
    </row>
    <row r="8" spans="1:9" x14ac:dyDescent="0.2">
      <c r="A8" t="s">
        <v>91</v>
      </c>
      <c r="B8">
        <v>26.010892082930081</v>
      </c>
      <c r="C8">
        <v>31.93162759146654</v>
      </c>
      <c r="D8">
        <f>TableFUL[[#This Row],[ARIMAPP]]*$I$2+TableFUL[[#This Row],[LSTMPP]]*$I$3</f>
        <v>29.614563551918767</v>
      </c>
      <c r="E8">
        <v>29</v>
      </c>
      <c r="F8">
        <f>ABS(TableFUL[[#This Row],[PP]]-TableFUL[[#This Row],[AP]])</f>
        <v>0.6145635519187671</v>
      </c>
    </row>
    <row r="9" spans="1:9" x14ac:dyDescent="0.2">
      <c r="A9" t="s">
        <v>92</v>
      </c>
      <c r="B9">
        <v>35.555555555555557</v>
      </c>
      <c r="C9">
        <v>40.381580555986872</v>
      </c>
      <c r="D9">
        <f>TableFUL[[#This Row],[ARIMAPP]]*$I$2+TableFUL[[#This Row],[LSTMPP]]*$I$3</f>
        <v>38.293090763774273</v>
      </c>
      <c r="E9">
        <v>32</v>
      </c>
      <c r="F9">
        <f>ABS(TableFUL[[#This Row],[PP]]-TableFUL[[#This Row],[AP]])</f>
        <v>6.2930907637742735</v>
      </c>
    </row>
    <row r="10" spans="1:9" x14ac:dyDescent="0.2">
      <c r="A10" t="s">
        <v>93</v>
      </c>
      <c r="B10">
        <v>25.098039215686271</v>
      </c>
      <c r="C10">
        <v>32.493403047105019</v>
      </c>
      <c r="D10">
        <f>TableFUL[[#This Row],[ARIMAPP]]*$I$2+TableFUL[[#This Row],[LSTMPP]]*$I$3</f>
        <v>29.70214822879025</v>
      </c>
      <c r="E10">
        <v>41</v>
      </c>
      <c r="F10">
        <f>ABS(TableFUL[[#This Row],[PP]]-TableFUL[[#This Row],[AP]])</f>
        <v>11.29785177120975</v>
      </c>
    </row>
    <row r="11" spans="1:9" x14ac:dyDescent="0.2">
      <c r="A11" t="s">
        <v>94</v>
      </c>
      <c r="B11">
        <v>41.593061101536783</v>
      </c>
      <c r="C11">
        <v>39.921972537492557</v>
      </c>
      <c r="D11">
        <f>TableFUL[[#This Row],[ARIMAPP]]*$I$2+TableFUL[[#This Row],[LSTMPP]]*$I$3</f>
        <v>39.894674898506338</v>
      </c>
      <c r="E11">
        <v>22</v>
      </c>
      <c r="F11">
        <f>ABS(TableFUL[[#This Row],[PP]]-TableFUL[[#This Row],[AP]])</f>
        <v>17.894674898506338</v>
      </c>
    </row>
    <row r="12" spans="1:9" x14ac:dyDescent="0.2">
      <c r="A12" t="s">
        <v>95</v>
      </c>
      <c r="B12">
        <v>15.38461538461539</v>
      </c>
      <c r="C12">
        <v>9.3105326390897609</v>
      </c>
      <c r="D12">
        <f>TableFUL[[#This Row],[ARIMAPP]]*$I$2+TableFUL[[#This Row],[LSTMPP]]*$I$3</f>
        <v>11.101914493735778</v>
      </c>
      <c r="E12">
        <v>30</v>
      </c>
      <c r="F12">
        <f>ABS(TableFUL[[#This Row],[PP]]-TableFUL[[#This Row],[AP]])</f>
        <v>18.898085506264223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96</v>
      </c>
      <c r="B2">
        <v>44.733168337584942</v>
      </c>
      <c r="C2">
        <v>44.60844663020314</v>
      </c>
      <c r="D2">
        <f>TableLIV[[#This Row],[ARIMAPP]]*$I$2+TableLIV[[#This Row],[LSTMPP]]*$I$3</f>
        <v>46.625784735637275</v>
      </c>
      <c r="E2">
        <v>38</v>
      </c>
      <c r="F2">
        <f>ABS(TableLIV[[#This Row],[PP]]-TableLIV[[#This Row],[AP]])</f>
        <v>8.625784735637275</v>
      </c>
      <c r="H2" t="s">
        <v>0</v>
      </c>
      <c r="I2">
        <v>0.70085256834999998</v>
      </c>
    </row>
    <row r="3" spans="1:9" x14ac:dyDescent="0.2">
      <c r="A3" t="s">
        <v>97</v>
      </c>
      <c r="B3">
        <v>68.983957219251394</v>
      </c>
      <c r="C3">
        <v>65.572475046045071</v>
      </c>
      <c r="D3">
        <f>TableLIV[[#This Row],[ARIMAPP]]*$I$2+TableLIV[[#This Row],[LSTMPP]]*$I$3</f>
        <v>70.800329159958011</v>
      </c>
      <c r="E3">
        <v>70</v>
      </c>
      <c r="F3">
        <f>ABS(TableLIV[[#This Row],[PP]]-TableLIV[[#This Row],[AP]])</f>
        <v>0.80032915995801091</v>
      </c>
      <c r="H3" t="s">
        <v>1</v>
      </c>
      <c r="I3">
        <v>0.34241113442999999</v>
      </c>
    </row>
    <row r="4" spans="1:9" x14ac:dyDescent="0.2">
      <c r="A4" t="s">
        <v>98</v>
      </c>
      <c r="B4">
        <v>52.914775325573672</v>
      </c>
      <c r="C4">
        <v>51.055178284992799</v>
      </c>
      <c r="D4">
        <f>TableLIV[[#This Row],[ARIMAPP]]*$I$2+TableLIV[[#This Row],[LSTMPP]]*$I$3</f>
        <v>54.567317705681802</v>
      </c>
      <c r="E4">
        <v>57</v>
      </c>
      <c r="F4">
        <f>ABS(TableLIV[[#This Row],[PP]]-TableLIV[[#This Row],[AP]])</f>
        <v>2.432682294318198</v>
      </c>
    </row>
    <row r="5" spans="1:9" x14ac:dyDescent="0.2">
      <c r="A5" t="s">
        <v>99</v>
      </c>
      <c r="B5">
        <v>47.798742138364787</v>
      </c>
      <c r="C5">
        <v>48.252526141826067</v>
      </c>
      <c r="D5">
        <f>TableLIV[[#This Row],[ARIMAPP]]*$I$2+TableLIV[[#This Row],[LSTMPP]]*$I$3</f>
        <v>50.022073406908227</v>
      </c>
      <c r="E5">
        <v>31</v>
      </c>
      <c r="F5">
        <f>ABS(TableLIV[[#This Row],[PP]]-TableLIV[[#This Row],[AP]])</f>
        <v>19.022073406908227</v>
      </c>
      <c r="H5" t="s">
        <v>2</v>
      </c>
      <c r="I5">
        <f>SUM(ABS(TableLIV[[#This Row],[PP]]-TableLIV[[#This Row],[AP]]))</f>
        <v>19.022073406908227</v>
      </c>
    </row>
    <row r="6" spans="1:9" x14ac:dyDescent="0.2">
      <c r="A6" t="s">
        <v>100</v>
      </c>
      <c r="B6">
        <v>18.392857142857149</v>
      </c>
      <c r="C6">
        <v>16.976336517996408</v>
      </c>
      <c r="D6">
        <f>TableLIV[[#This Row],[ARIMAPP]]*$I$2+TableLIV[[#This Row],[LSTMPP]]*$I$3</f>
        <v>18.703567813458662</v>
      </c>
      <c r="E6">
        <v>36</v>
      </c>
      <c r="F6">
        <f>ABS(TableLIV[[#This Row],[PP]]-TableLIV[[#This Row],[AP]])</f>
        <v>17.296432186541338</v>
      </c>
    </row>
    <row r="7" spans="1:9" x14ac:dyDescent="0.2">
      <c r="A7" t="s">
        <v>101</v>
      </c>
      <c r="B7">
        <v>28.365384615384599</v>
      </c>
      <c r="C7">
        <v>30.55913655934425</v>
      </c>
      <c r="D7">
        <f>TableLIV[[#This Row],[ARIMAPP]]*$I$2+TableLIV[[#This Row],[LSTMPP]]*$I$3</f>
        <v>30.343741276414224</v>
      </c>
      <c r="E7">
        <v>50</v>
      </c>
      <c r="F7">
        <f>ABS(TableLIV[[#This Row],[PP]]-TableLIV[[#This Row],[AP]])</f>
        <v>19.656258723585776</v>
      </c>
      <c r="H7" t="s">
        <v>3</v>
      </c>
      <c r="I7">
        <f>AVERAGE(TableLIV[DIFF])/10</f>
        <v>1.263237026483081</v>
      </c>
    </row>
    <row r="8" spans="1:9" x14ac:dyDescent="0.2">
      <c r="A8" t="s">
        <v>102</v>
      </c>
      <c r="B8">
        <v>32.222222222222221</v>
      </c>
      <c r="C8">
        <v>38.736836824265751</v>
      </c>
      <c r="D8">
        <f>TableLIV[[#This Row],[ARIMAPP]]*$I$2+TableLIV[[#This Row],[LSTMPP]]*$I$3</f>
        <v>35.846951443615524</v>
      </c>
      <c r="E8">
        <v>64</v>
      </c>
      <c r="F8">
        <f>ABS(TableLIV[[#This Row],[PP]]-TableLIV[[#This Row],[AP]])</f>
        <v>28.153048556384476</v>
      </c>
    </row>
    <row r="9" spans="1:9" x14ac:dyDescent="0.2">
      <c r="A9" t="s">
        <v>103</v>
      </c>
      <c r="B9">
        <v>38.043478260869563</v>
      </c>
      <c r="C9">
        <v>32.927555750133862</v>
      </c>
      <c r="D9">
        <f>TableLIV[[#This Row],[ARIMAPP]]*$I$2+TableLIV[[#This Row],[LSTMPP]]*$I$3</f>
        <v>37.937631166508226</v>
      </c>
      <c r="E9">
        <v>47</v>
      </c>
      <c r="F9">
        <f>ABS(TableLIV[[#This Row],[PP]]-TableLIV[[#This Row],[AP]])</f>
        <v>9.0623688334917745</v>
      </c>
    </row>
    <row r="10" spans="1:9" x14ac:dyDescent="0.2">
      <c r="A10" t="s">
        <v>104</v>
      </c>
      <c r="B10">
        <v>33.055555555555557</v>
      </c>
      <c r="C10">
        <v>30.18227355776251</v>
      </c>
      <c r="D10">
        <f>TableLIV[[#This Row],[ARIMAPP]]*$I$2+TableLIV[[#This Row],[LSTMPP]]*$I$3</f>
        <v>33.501817537937271</v>
      </c>
      <c r="E10">
        <v>25</v>
      </c>
      <c r="F10">
        <f>ABS(TableLIV[[#This Row],[PP]]-TableLIV[[#This Row],[AP]])</f>
        <v>8.5018175379372707</v>
      </c>
    </row>
    <row r="11" spans="1:9" x14ac:dyDescent="0.2">
      <c r="A11" t="s">
        <v>105</v>
      </c>
      <c r="B11">
        <v>40.625000000000007</v>
      </c>
      <c r="C11">
        <v>48.507195648863593</v>
      </c>
      <c r="D11">
        <f>TableLIV[[#This Row],[ARIMAPP]]*$I$2+TableLIV[[#This Row],[LSTMPP]]*$I$3</f>
        <v>45.081539479364096</v>
      </c>
      <c r="E11">
        <v>26</v>
      </c>
      <c r="F11">
        <f>ABS(TableLIV[[#This Row],[PP]]-TableLIV[[#This Row],[AP]])</f>
        <v>19.081539479364096</v>
      </c>
    </row>
    <row r="12" spans="1:9" x14ac:dyDescent="0.2">
      <c r="A12" t="s">
        <v>106</v>
      </c>
      <c r="B12">
        <v>23.75</v>
      </c>
      <c r="C12">
        <v>20.533834316980691</v>
      </c>
      <c r="D12">
        <f>TableLIV[[#This Row],[ARIMAPP]]*$I$2+TableLIV[[#This Row],[LSTMPP]]*$I$3</f>
        <v>23.676262000987524</v>
      </c>
      <c r="E12">
        <v>30</v>
      </c>
      <c r="F12">
        <f>ABS(TableLIV[[#This Row],[PP]]-TableLIV[[#This Row],[AP]])</f>
        <v>6.3237379990124758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107</v>
      </c>
      <c r="B2">
        <v>29.11470937450791</v>
      </c>
      <c r="C2">
        <v>26.311966970304809</v>
      </c>
      <c r="D2">
        <f>TableLUT[[#This Row],[ARIMAPP]]*$I$2+TableLUT[[#This Row],[LSTMPP]]*$I$3</f>
        <v>41.796680325957475</v>
      </c>
      <c r="E2">
        <v>41</v>
      </c>
      <c r="F2">
        <f>ABS(TableLUT[[#This Row],[PP]]-TableLUT[[#This Row],[AP]])</f>
        <v>0.79668032595747462</v>
      </c>
      <c r="H2" t="s">
        <v>0</v>
      </c>
      <c r="I2">
        <v>1.4355863831</v>
      </c>
    </row>
    <row r="3" spans="1:9" x14ac:dyDescent="0.2">
      <c r="A3" t="s">
        <v>108</v>
      </c>
      <c r="B3">
        <v>14</v>
      </c>
      <c r="C3">
        <v>14.825068372985919</v>
      </c>
      <c r="D3">
        <f>TableLUT[[#This Row],[ARIMAPP]]*$I$2+TableLUT[[#This Row],[LSTMPP]]*$I$3</f>
        <v>20.098209363399999</v>
      </c>
      <c r="E3">
        <v>37</v>
      </c>
      <c r="F3">
        <f>ABS(TableLUT[[#This Row],[PP]]-TableLUT[[#This Row],[AP]])</f>
        <v>16.901790636600001</v>
      </c>
      <c r="H3" t="s">
        <v>1</v>
      </c>
      <c r="I3">
        <v>0</v>
      </c>
    </row>
    <row r="4" spans="1:9" x14ac:dyDescent="0.2">
      <c r="A4" t="s">
        <v>109</v>
      </c>
      <c r="B4">
        <v>24.153828041514441</v>
      </c>
      <c r="C4">
        <v>21.970192266230509</v>
      </c>
      <c r="D4">
        <f>TableLUT[[#This Row],[ARIMAPP]]*$I$2+TableLUT[[#This Row],[LSTMPP]]*$I$3</f>
        <v>34.674906636137074</v>
      </c>
      <c r="E4">
        <v>20</v>
      </c>
      <c r="F4">
        <f>ABS(TableLUT[[#This Row],[PP]]-TableLUT[[#This Row],[AP]])</f>
        <v>14.674906636137074</v>
      </c>
    </row>
    <row r="5" spans="1:9" x14ac:dyDescent="0.2">
      <c r="A5" t="s">
        <v>110</v>
      </c>
      <c r="B5">
        <v>21.333333333333329</v>
      </c>
      <c r="C5">
        <v>12.78353656587784</v>
      </c>
      <c r="D5">
        <f>TableLUT[[#This Row],[ARIMAPP]]*$I$2+TableLUT[[#This Row],[LSTMPP]]*$I$3</f>
        <v>30.62584283946666</v>
      </c>
      <c r="E5">
        <v>37</v>
      </c>
      <c r="F5">
        <f>ABS(TableLUT[[#This Row],[PP]]-TableLUT[[#This Row],[AP]])</f>
        <v>6.3741571605333398</v>
      </c>
      <c r="H5" t="s">
        <v>2</v>
      </c>
      <c r="I5">
        <f>SUM(ABS(TableLUT[[#This Row],[PP]]-TableLUT[[#This Row],[AP]]))</f>
        <v>6.3741571605333398</v>
      </c>
    </row>
    <row r="6" spans="1:9" x14ac:dyDescent="0.2">
      <c r="A6" t="s">
        <v>111</v>
      </c>
      <c r="B6">
        <v>32.631578947368432</v>
      </c>
      <c r="C6">
        <v>30.19218288652252</v>
      </c>
      <c r="D6">
        <f>TableLUT[[#This Row],[ARIMAPP]]*$I$2+TableLUT[[#This Row],[LSTMPP]]*$I$3</f>
        <v>46.845450395894751</v>
      </c>
      <c r="E6">
        <v>47</v>
      </c>
      <c r="F6">
        <f>ABS(TableLUT[[#This Row],[PP]]-TableLUT[[#This Row],[AP]])</f>
        <v>0.15454960410524876</v>
      </c>
    </row>
    <row r="7" spans="1:9" x14ac:dyDescent="0.2">
      <c r="H7" t="s">
        <v>3</v>
      </c>
      <c r="I7">
        <f>AVERAGE(TableLUT[DIFF])/10</f>
        <v>0.77804168726666278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39.193548387096733</v>
      </c>
      <c r="C2">
        <v>41.459081886973557</v>
      </c>
      <c r="D2">
        <f>TableMCI[[#This Row],[ARIMAPP]]*$I$2+TableMCI[[#This Row],[LSTMPP]]*$I$3</f>
        <v>37.772268110433828</v>
      </c>
      <c r="E2">
        <v>36</v>
      </c>
      <c r="F2">
        <f>ABS(TableMCI[[#This Row],[PP]]-TableMCI[[#This Row],[AP]])</f>
        <v>1.7722681104338278</v>
      </c>
      <c r="H2" t="s">
        <v>0</v>
      </c>
      <c r="I2">
        <v>0.96373688182999995</v>
      </c>
    </row>
    <row r="3" spans="1:9" x14ac:dyDescent="0.2">
      <c r="A3" t="s">
        <v>113</v>
      </c>
      <c r="B3">
        <v>37.971014492753618</v>
      </c>
      <c r="C3">
        <v>45.963712250854257</v>
      </c>
      <c r="D3">
        <f>TableMCI[[#This Row],[ARIMAPP]]*$I$2+TableMCI[[#This Row],[LSTMPP]]*$I$3</f>
        <v>36.594067107168108</v>
      </c>
      <c r="E3">
        <v>29</v>
      </c>
      <c r="F3">
        <f>ABS(TableMCI[[#This Row],[PP]]-TableMCI[[#This Row],[AP]])</f>
        <v>7.5940671071681081</v>
      </c>
      <c r="H3" t="s">
        <v>1</v>
      </c>
      <c r="I3">
        <v>0</v>
      </c>
    </row>
    <row r="4" spans="1:9" x14ac:dyDescent="0.2">
      <c r="A4" t="s">
        <v>114</v>
      </c>
      <c r="B4">
        <v>32.558139534883743</v>
      </c>
      <c r="C4">
        <v>29.948832349956511</v>
      </c>
      <c r="D4">
        <f>TableMCI[[#This Row],[ARIMAPP]]*$I$2+TableMCI[[#This Row],[LSTMPP]]*$I$3</f>
        <v>31.377479873534902</v>
      </c>
      <c r="E4">
        <v>35</v>
      </c>
      <c r="F4">
        <f>ABS(TableMCI[[#This Row],[PP]]-TableMCI[[#This Row],[AP]])</f>
        <v>3.6225201264650977</v>
      </c>
    </row>
    <row r="5" spans="1:9" x14ac:dyDescent="0.2">
      <c r="A5" t="s">
        <v>115</v>
      </c>
      <c r="B5">
        <v>47.626114911037988</v>
      </c>
      <c r="C5">
        <v>39.771949242481128</v>
      </c>
      <c r="D5">
        <f>TableMCI[[#This Row],[ARIMAPP]]*$I$2+TableMCI[[#This Row],[LSTMPP]]*$I$3</f>
        <v>45.899043478041015</v>
      </c>
      <c r="E5">
        <v>85</v>
      </c>
      <c r="F5">
        <f>ABS(TableMCI[[#This Row],[PP]]-TableMCI[[#This Row],[AP]])</f>
        <v>39.100956521958985</v>
      </c>
      <c r="H5" t="s">
        <v>2</v>
      </c>
      <c r="I5">
        <f>SUM(ABS(TableMCI[[#This Row],[PP]]-TableMCI[[#This Row],[AP]]))</f>
        <v>39.100956521958985</v>
      </c>
    </row>
    <row r="6" spans="1:9" x14ac:dyDescent="0.2">
      <c r="A6" t="s">
        <v>116</v>
      </c>
      <c r="B6">
        <v>30.748299319727909</v>
      </c>
      <c r="C6">
        <v>28.731338669426538</v>
      </c>
      <c r="D6">
        <f>TableMCI[[#This Row],[ARIMAPP]]*$I$2+TableMCI[[#This Row],[LSTMPP]]*$I$3</f>
        <v>29.633270107970084</v>
      </c>
      <c r="E6">
        <v>52</v>
      </c>
      <c r="F6">
        <f>ABS(TableMCI[[#This Row],[PP]]-TableMCI[[#This Row],[AP]])</f>
        <v>22.366729892029916</v>
      </c>
    </row>
    <row r="7" spans="1:9" x14ac:dyDescent="0.2">
      <c r="A7" t="s">
        <v>117</v>
      </c>
      <c r="B7">
        <v>81.555555555555529</v>
      </c>
      <c r="C7">
        <v>85.138090962561378</v>
      </c>
      <c r="D7">
        <f>TableMCI[[#This Row],[ARIMAPP]]*$I$2+TableMCI[[#This Row],[LSTMPP]]*$I$3</f>
        <v>78.598096807024419</v>
      </c>
      <c r="E7">
        <v>52</v>
      </c>
      <c r="F7">
        <f>ABS(TableMCI[[#This Row],[PP]]-TableMCI[[#This Row],[AP]])</f>
        <v>26.598096807024419</v>
      </c>
      <c r="H7" t="s">
        <v>3</v>
      </c>
      <c r="I7">
        <f>AVERAGE(TableMCI[DIFF])/10</f>
        <v>1.2459490533062361</v>
      </c>
    </row>
    <row r="8" spans="1:9" x14ac:dyDescent="0.2">
      <c r="A8" t="s">
        <v>118</v>
      </c>
      <c r="B8">
        <v>38.723404255319139</v>
      </c>
      <c r="C8">
        <v>33.907317249287303</v>
      </c>
      <c r="D8">
        <f>TableMCI[[#This Row],[ARIMAPP]]*$I$2+TableMCI[[#This Row],[LSTMPP]]*$I$3</f>
        <v>37.319172870863817</v>
      </c>
      <c r="E8">
        <v>26</v>
      </c>
      <c r="F8">
        <f>ABS(TableMCI[[#This Row],[PP]]-TableMCI[[#This Row],[AP]])</f>
        <v>11.319172870863817</v>
      </c>
    </row>
    <row r="9" spans="1:9" x14ac:dyDescent="0.2">
      <c r="A9" t="s">
        <v>119</v>
      </c>
      <c r="B9">
        <v>37.500000000000007</v>
      </c>
      <c r="C9">
        <v>35.973696663419602</v>
      </c>
      <c r="D9">
        <f>TableMCI[[#This Row],[ARIMAPP]]*$I$2+TableMCI[[#This Row],[LSTMPP]]*$I$3</f>
        <v>36.140133068625005</v>
      </c>
      <c r="E9">
        <v>35</v>
      </c>
      <c r="F9">
        <f>ABS(TableMCI[[#This Row],[PP]]-TableMCI[[#This Row],[AP]])</f>
        <v>1.1401330686250049</v>
      </c>
    </row>
    <row r="10" spans="1:9" x14ac:dyDescent="0.2">
      <c r="A10" t="s">
        <v>120</v>
      </c>
      <c r="B10">
        <v>28.974358974358982</v>
      </c>
      <c r="C10">
        <v>16.894801851290119</v>
      </c>
      <c r="D10">
        <f>TableMCI[[#This Row],[ARIMAPP]]*$I$2+TableMCI[[#This Row],[LSTMPP]]*$I$3</f>
        <v>27.9236583709718</v>
      </c>
      <c r="E10">
        <v>33</v>
      </c>
      <c r="F10">
        <f>ABS(TableMCI[[#This Row],[PP]]-TableMCI[[#This Row],[AP]])</f>
        <v>5.0763416290281995</v>
      </c>
    </row>
    <row r="11" spans="1:9" x14ac:dyDescent="0.2">
      <c r="A11" t="s">
        <v>121</v>
      </c>
      <c r="B11">
        <v>32.161662988468308</v>
      </c>
      <c r="C11">
        <v>29.326888602117439</v>
      </c>
      <c r="D11">
        <f>TableMCI[[#This Row],[ARIMAPP]]*$I$2+TableMCI[[#This Row],[LSTMPP]]*$I$3</f>
        <v>30.995380802973763</v>
      </c>
      <c r="E11">
        <v>37</v>
      </c>
      <c r="F11">
        <f>ABS(TableMCI[[#This Row],[PP]]-TableMCI[[#This Row],[AP]])</f>
        <v>6.004619197026237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122</v>
      </c>
      <c r="B2">
        <v>45.266272189349117</v>
      </c>
      <c r="C2">
        <v>43.660373268636867</v>
      </c>
      <c r="D2">
        <f>TableMUN[[#This Row],[ARIMAPP]]*$I$2+TableMUN[[#This Row],[LSTMPP]]*$I$3</f>
        <v>55.069092427909887</v>
      </c>
      <c r="E2">
        <v>37</v>
      </c>
      <c r="F2">
        <f>ABS(TableMUN[[#This Row],[PP]]-TableMUN[[#This Row],[AP]])</f>
        <v>18.069092427909887</v>
      </c>
      <c r="H2" t="s">
        <v>0</v>
      </c>
      <c r="I2">
        <v>0.58707684024999995</v>
      </c>
    </row>
    <row r="3" spans="1:9" x14ac:dyDescent="0.2">
      <c r="A3" t="s">
        <v>123</v>
      </c>
      <c r="B3">
        <v>25.79710144927537</v>
      </c>
      <c r="C3">
        <v>23.688286042170208</v>
      </c>
      <c r="D3">
        <f>TableMUN[[#This Row],[ARIMAPP]]*$I$2+TableMUN[[#This Row],[LSTMPP]]*$I$3</f>
        <v>30.604698754068359</v>
      </c>
      <c r="E3">
        <v>25</v>
      </c>
      <c r="F3">
        <f>ABS(TableMUN[[#This Row],[PP]]-TableMUN[[#This Row],[AP]])</f>
        <v>5.6046987540683588</v>
      </c>
      <c r="H3" t="s">
        <v>1</v>
      </c>
      <c r="I3">
        <v>0.65263556510999998</v>
      </c>
    </row>
    <row r="4" spans="1:9" x14ac:dyDescent="0.2">
      <c r="A4" t="s">
        <v>124</v>
      </c>
      <c r="B4">
        <v>40.576923076923073</v>
      </c>
      <c r="C4">
        <v>50.806616599299787</v>
      </c>
      <c r="D4">
        <f>TableMUN[[#This Row],[ARIMAPP]]*$I$2+TableMUN[[#This Row],[LSTMPP]]*$I$3</f>
        <v>56.97997672267843</v>
      </c>
      <c r="E4">
        <v>54</v>
      </c>
      <c r="F4">
        <f>ABS(TableMUN[[#This Row],[PP]]-TableMUN[[#This Row],[AP]])</f>
        <v>2.9799767226784297</v>
      </c>
    </row>
    <row r="5" spans="1:9" x14ac:dyDescent="0.2">
      <c r="A5" t="s">
        <v>125</v>
      </c>
      <c r="B5">
        <v>35.116279069767458</v>
      </c>
      <c r="C5">
        <v>29.051560953904051</v>
      </c>
      <c r="D5">
        <f>TableMUN[[#This Row],[ARIMAPP]]*$I$2+TableMUN[[#This Row],[LSTMPP]]*$I$3</f>
        <v>39.57603605809507</v>
      </c>
      <c r="E5">
        <v>30</v>
      </c>
      <c r="F5">
        <f>ABS(TableMUN[[#This Row],[PP]]-TableMUN[[#This Row],[AP]])</f>
        <v>9.5760360580950703</v>
      </c>
      <c r="H5" t="s">
        <v>2</v>
      </c>
      <c r="I5">
        <f>SUM(ABS(TableMUN[[#This Row],[PP]]-TableMUN[[#This Row],[AP]]))</f>
        <v>9.5760360580950703</v>
      </c>
    </row>
    <row r="6" spans="1:9" x14ac:dyDescent="0.2">
      <c r="A6" t="s">
        <v>126</v>
      </c>
      <c r="B6">
        <v>25.714285714285712</v>
      </c>
      <c r="C6">
        <v>23.137562241662032</v>
      </c>
      <c r="D6">
        <f>TableMUN[[#This Row],[ARIMAPP]]*$I$2+TableMUN[[#This Row],[LSTMPP]]*$I$3</f>
        <v>30.196657615283463</v>
      </c>
      <c r="E6">
        <v>54</v>
      </c>
      <c r="F6">
        <f>ABS(TableMUN[[#This Row],[PP]]-TableMUN[[#This Row],[AP]])</f>
        <v>23.803342384716537</v>
      </c>
    </row>
    <row r="7" spans="1:9" x14ac:dyDescent="0.2">
      <c r="A7" t="s">
        <v>84</v>
      </c>
      <c r="B7">
        <v>35.238095238095227</v>
      </c>
      <c r="C7">
        <v>17.693854203059139</v>
      </c>
      <c r="D7">
        <f>TableMUN[[#This Row],[ARIMAPP]]*$I$2+TableMUN[[#This Row],[LSTMPP]]*$I$3</f>
        <v>32.235108145596968</v>
      </c>
      <c r="E7">
        <v>38</v>
      </c>
      <c r="F7">
        <f>ABS(TableMUN[[#This Row],[PP]]-TableMUN[[#This Row],[AP]])</f>
        <v>5.7648918544030323</v>
      </c>
      <c r="H7" t="s">
        <v>3</v>
      </c>
      <c r="I7">
        <f>AVERAGE(TableMUN[DIFF])/10</f>
        <v>1.5579408063388509</v>
      </c>
    </row>
    <row r="8" spans="1:9" x14ac:dyDescent="0.2">
      <c r="A8" t="s">
        <v>127</v>
      </c>
      <c r="B8">
        <v>13.97362917987846</v>
      </c>
      <c r="C8">
        <v>16.147737352663679</v>
      </c>
      <c r="D8">
        <f>TableMUN[[#This Row],[ARIMAPP]]*$I$2+TableMUN[[#This Row],[LSTMPP]]*$I$3</f>
        <v>18.742181758151759</v>
      </c>
      <c r="E8">
        <v>62</v>
      </c>
      <c r="F8">
        <f>ABS(TableMUN[[#This Row],[PP]]-TableMUN[[#This Row],[AP]])</f>
        <v>43.257818241848241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128</v>
      </c>
      <c r="B2">
        <v>47.763086683688101</v>
      </c>
      <c r="C2">
        <v>32.45952627678367</v>
      </c>
      <c r="D2">
        <f>TableNEW[[#This Row],[ARIMAPP]]*$I$2+TableNEW[[#This Row],[LSTMPP]]*$I$3</f>
        <v>45.914805788215112</v>
      </c>
      <c r="E2">
        <v>25</v>
      </c>
      <c r="F2">
        <f>ABS(TableNEW[[#This Row],[PP]]-TableNEW[[#This Row],[AP]])</f>
        <v>20.914805788215112</v>
      </c>
      <c r="H2" t="s">
        <v>0</v>
      </c>
      <c r="I2">
        <v>0.28598763200999999</v>
      </c>
    </row>
    <row r="3" spans="1:9" x14ac:dyDescent="0.2">
      <c r="A3" t="s">
        <v>129</v>
      </c>
      <c r="B3">
        <v>28.337548656812071</v>
      </c>
      <c r="C3">
        <v>34.995523899121039</v>
      </c>
      <c r="D3">
        <f>TableNEW[[#This Row],[ARIMAPP]]*$I$2+TableNEW[[#This Row],[LSTMPP]]*$I$3</f>
        <v>42.87937257294822</v>
      </c>
      <c r="E3">
        <v>50</v>
      </c>
      <c r="F3">
        <f>ABS(TableNEW[[#This Row],[PP]]-TableNEW[[#This Row],[AP]])</f>
        <v>7.1206274270517795</v>
      </c>
      <c r="H3" t="s">
        <v>1</v>
      </c>
      <c r="I3">
        <v>0.99370377297000001</v>
      </c>
    </row>
    <row r="4" spans="1:9" x14ac:dyDescent="0.2">
      <c r="A4" t="s">
        <v>130</v>
      </c>
      <c r="B4">
        <v>23.54330708661416</v>
      </c>
      <c r="C4">
        <v>21.058273125955839</v>
      </c>
      <c r="D4">
        <f>TableNEW[[#This Row],[ARIMAPP]]*$I$2+TableNEW[[#This Row],[LSTMPP]]*$I$3</f>
        <v>27.658780100880108</v>
      </c>
      <c r="E4">
        <v>32</v>
      </c>
      <c r="F4">
        <f>ABS(TableNEW[[#This Row],[PP]]-TableNEW[[#This Row],[AP]])</f>
        <v>4.341219899119892</v>
      </c>
    </row>
    <row r="5" spans="1:9" x14ac:dyDescent="0.2">
      <c r="A5" t="s">
        <v>131</v>
      </c>
      <c r="B5">
        <v>32.826916414449713</v>
      </c>
      <c r="C5">
        <v>29.79285231850125</v>
      </c>
      <c r="D5">
        <f>TableNEW[[#This Row],[ARIMAPP]]*$I$2+TableNEW[[#This Row],[LSTMPP]]*$I$3</f>
        <v>38.99336184799138</v>
      </c>
      <c r="E5">
        <v>25</v>
      </c>
      <c r="F5">
        <f>ABS(TableNEW[[#This Row],[PP]]-TableNEW[[#This Row],[AP]])</f>
        <v>13.99336184799138</v>
      </c>
      <c r="H5" t="s">
        <v>2</v>
      </c>
      <c r="I5">
        <f>SUM(ABS(TableNEW[[#This Row],[PP]]-TableNEW[[#This Row],[AP]]))</f>
        <v>13.99336184799138</v>
      </c>
    </row>
    <row r="6" spans="1:9" x14ac:dyDescent="0.2">
      <c r="A6" t="s">
        <v>132</v>
      </c>
      <c r="B6">
        <v>43.829723844490978</v>
      </c>
      <c r="C6">
        <v>23.121796961684399</v>
      </c>
      <c r="D6">
        <f>TableNEW[[#This Row],[ARIMAPP]]*$I$2+TableNEW[[#This Row],[LSTMPP]]*$I$3</f>
        <v>35.510975812610276</v>
      </c>
      <c r="E6">
        <v>44</v>
      </c>
      <c r="F6">
        <f>ABS(TableNEW[[#This Row],[PP]]-TableNEW[[#This Row],[AP]])</f>
        <v>8.4890241873897239</v>
      </c>
    </row>
    <row r="7" spans="1:9" x14ac:dyDescent="0.2">
      <c r="A7" t="s">
        <v>133</v>
      </c>
      <c r="B7">
        <v>32.812499999999993</v>
      </c>
      <c r="C7">
        <v>41.869103132687663</v>
      </c>
      <c r="D7">
        <f>TableNEW[[#This Row],[ARIMAPP]]*$I$2+TableNEW[[#This Row],[LSTMPP]]*$I$3</f>
        <v>50.9894549291499</v>
      </c>
      <c r="E7">
        <v>52</v>
      </c>
      <c r="F7">
        <f>ABS(TableNEW[[#This Row],[PP]]-TableNEW[[#This Row],[AP]])</f>
        <v>1.0105450708500996</v>
      </c>
      <c r="H7" t="s">
        <v>3</v>
      </c>
      <c r="I7">
        <f>AVERAGE(TableNEW[DIFF])/10</f>
        <v>1.0304695420499275</v>
      </c>
    </row>
    <row r="8" spans="1:9" x14ac:dyDescent="0.2">
      <c r="A8" t="s">
        <v>134</v>
      </c>
      <c r="B8">
        <v>46.060606060606027</v>
      </c>
      <c r="C8">
        <v>31.763945633985031</v>
      </c>
      <c r="D8">
        <f>TableNEW[[#This Row],[ARIMAPP]]*$I$2+TableNEW[[#This Row],[LSTMPP]]*$I$3</f>
        <v>44.736716277123058</v>
      </c>
      <c r="E8">
        <v>61</v>
      </c>
      <c r="F8">
        <f>ABS(TableNEW[[#This Row],[PP]]-TableNEW[[#This Row],[AP]])</f>
        <v>16.263283722876942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135</v>
      </c>
      <c r="B2">
        <v>32.908876712633713</v>
      </c>
      <c r="C2">
        <v>34.060082595707833</v>
      </c>
      <c r="D2">
        <f>TableNFO[[#This Row],[ARIMAPP]]*$I$2+TableNFO[[#This Row],[LSTMPP]]*$I$3</f>
        <v>63.747746084182289</v>
      </c>
      <c r="E2">
        <v>72</v>
      </c>
      <c r="F2">
        <f>ABS(TableNFO[[#This Row],[PP]]-TableNFO[[#This Row],[AP]])</f>
        <v>8.2522539158177111</v>
      </c>
      <c r="H2" t="s">
        <v>0</v>
      </c>
      <c r="I2">
        <v>2.5788725205000001E-8</v>
      </c>
    </row>
    <row r="3" spans="1:9" x14ac:dyDescent="0.2">
      <c r="A3" t="s">
        <v>136</v>
      </c>
      <c r="B3">
        <v>35.528629836079688</v>
      </c>
      <c r="C3">
        <v>23.74484875481928</v>
      </c>
      <c r="D3">
        <f>TableNFO[[#This Row],[ARIMAPP]]*$I$2+TableNFO[[#This Row],[LSTMPP]]*$I$3</f>
        <v>44.441483546951112</v>
      </c>
      <c r="E3">
        <v>46</v>
      </c>
      <c r="F3">
        <f>ABS(TableNFO[[#This Row],[PP]]-TableNFO[[#This Row],[AP]])</f>
        <v>1.5585164530488882</v>
      </c>
      <c r="H3" t="s">
        <v>1</v>
      </c>
      <c r="I3">
        <v>1.8716262668000001</v>
      </c>
    </row>
    <row r="4" spans="1:9" x14ac:dyDescent="0.2">
      <c r="A4" t="s">
        <v>137</v>
      </c>
      <c r="B4">
        <v>25.999999999999989</v>
      </c>
      <c r="C4">
        <v>23.39041193990041</v>
      </c>
      <c r="D4">
        <f>TableNFO[[#This Row],[ARIMAPP]]*$I$2+TableNFO[[#This Row],[LSTMPP]]*$I$3</f>
        <v>43.778110048496814</v>
      </c>
      <c r="E4">
        <v>47</v>
      </c>
      <c r="F4">
        <f>ABS(TableNFO[[#This Row],[PP]]-TableNFO[[#This Row],[AP]])</f>
        <v>3.2218899515031865</v>
      </c>
    </row>
    <row r="5" spans="1:9" x14ac:dyDescent="0.2">
      <c r="A5" t="s">
        <v>138</v>
      </c>
      <c r="B5">
        <v>39.587574004946887</v>
      </c>
      <c r="C5">
        <v>22.318129083910492</v>
      </c>
      <c r="D5">
        <f>TableNFO[[#This Row],[ARIMAPP]]*$I$2+TableNFO[[#This Row],[LSTMPP]]*$I$3</f>
        <v>41.771197640192966</v>
      </c>
      <c r="E5">
        <v>31</v>
      </c>
      <c r="F5">
        <f>ABS(TableNFO[[#This Row],[PP]]-TableNFO[[#This Row],[AP]])</f>
        <v>10.771197640192966</v>
      </c>
      <c r="H5" t="s">
        <v>2</v>
      </c>
      <c r="I5">
        <f>SUM(ABS(TableNFO[[#This Row],[PP]]-TableNFO[[#This Row],[AP]]))</f>
        <v>10.771197640192966</v>
      </c>
    </row>
    <row r="6" spans="1:9" x14ac:dyDescent="0.2">
      <c r="A6" t="s">
        <v>139</v>
      </c>
      <c r="B6">
        <v>20</v>
      </c>
      <c r="C6">
        <v>15.84625932377398</v>
      </c>
      <c r="D6">
        <f>TableNFO[[#This Row],[ARIMAPP]]*$I$2+TableNFO[[#This Row],[LSTMPP]]*$I$3</f>
        <v>29.658275696674295</v>
      </c>
      <c r="E6">
        <v>20</v>
      </c>
      <c r="F6">
        <f>ABS(TableNFO[[#This Row],[PP]]-TableNFO[[#This Row],[AP]])</f>
        <v>9.6582756966742949</v>
      </c>
    </row>
    <row r="7" spans="1:9" x14ac:dyDescent="0.2">
      <c r="H7" t="s">
        <v>3</v>
      </c>
      <c r="I7">
        <f>AVERAGE(TableNFO[DIFF])/10</f>
        <v>0.66924267314474095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21.36363636363636</v>
      </c>
      <c r="C2">
        <v>21.15035014072221</v>
      </c>
      <c r="D2">
        <f>TableSHU[[#This Row],[ARIMAPP]]*$I$2+TableSHU[[#This Row],[LSTMPP]]*$I$3</f>
        <v>27.521914404432046</v>
      </c>
      <c r="E2">
        <v>32</v>
      </c>
      <c r="F2">
        <f>ABS(TableSHU[[#This Row],[PP]]-TableSHU[[#This Row],[AP]])</f>
        <v>4.4780855955679542</v>
      </c>
      <c r="H2" t="s">
        <v>0</v>
      </c>
      <c r="I2">
        <v>1.2882597955999999</v>
      </c>
    </row>
    <row r="3" spans="1:9" x14ac:dyDescent="0.2">
      <c r="A3" t="s">
        <v>141</v>
      </c>
      <c r="B3">
        <v>23.684210526315791</v>
      </c>
      <c r="C3">
        <v>25.314748865663919</v>
      </c>
      <c r="D3">
        <f>TableSHU[[#This Row],[ARIMAPP]]*$I$2+TableSHU[[#This Row],[LSTMPP]]*$I$3</f>
        <v>30.511416916958432</v>
      </c>
      <c r="E3">
        <v>26</v>
      </c>
      <c r="F3">
        <f>ABS(TableSHU[[#This Row],[PP]]-TableSHU[[#This Row],[AP]])</f>
        <v>4.5114169169584315</v>
      </c>
      <c r="H3" t="s">
        <v>1</v>
      </c>
      <c r="I3">
        <v>2.7864368234000001E-8</v>
      </c>
    </row>
    <row r="4" spans="1:9" x14ac:dyDescent="0.2">
      <c r="A4" t="s">
        <v>142</v>
      </c>
      <c r="B4">
        <v>17.999999971959699</v>
      </c>
      <c r="C4">
        <v>16.44560045508112</v>
      </c>
      <c r="D4">
        <f>TableSHU[[#This Row],[ARIMAPP]]*$I$2+TableSHU[[#This Row],[LSTMPP]]*$I$3</f>
        <v>23.188676742923072</v>
      </c>
      <c r="E4">
        <v>29</v>
      </c>
      <c r="F4">
        <f>ABS(TableSHU[[#This Row],[PP]]-TableSHU[[#This Row],[AP]])</f>
        <v>5.8113232570769284</v>
      </c>
    </row>
    <row r="5" spans="1:9" x14ac:dyDescent="0.2">
      <c r="A5" t="s">
        <v>143</v>
      </c>
      <c r="B5">
        <v>21.333333333333329</v>
      </c>
      <c r="C5">
        <v>20.760552972622278</v>
      </c>
      <c r="D5">
        <f>TableSHU[[#This Row],[ARIMAPP]]*$I$2+TableSHU[[#This Row],[LSTMPP]]*$I$3</f>
        <v>27.482876217946352</v>
      </c>
      <c r="E5">
        <v>26</v>
      </c>
      <c r="F5">
        <f>ABS(TableSHU[[#This Row],[PP]]-TableSHU[[#This Row],[AP]])</f>
        <v>1.4828762179463517</v>
      </c>
      <c r="H5" t="s">
        <v>2</v>
      </c>
      <c r="I5">
        <f>SUM(ABS(TableSHU[[#This Row],[PP]]-TableSHU[[#This Row],[AP]]))</f>
        <v>1.4828762179463517</v>
      </c>
    </row>
    <row r="6" spans="1:9" x14ac:dyDescent="0.2">
      <c r="A6" t="s">
        <v>144</v>
      </c>
      <c r="B6">
        <v>27.368421052631579</v>
      </c>
      <c r="C6">
        <v>30.406394284049409</v>
      </c>
      <c r="D6">
        <f>TableSHU[[#This Row],[ARIMAPP]]*$I$2+TableSHU[[#This Row],[LSTMPP]]*$I$3</f>
        <v>35.257637358412858</v>
      </c>
      <c r="E6">
        <v>33</v>
      </c>
      <c r="F6">
        <f>ABS(TableSHU[[#This Row],[PP]]-TableSHU[[#This Row],[AP]])</f>
        <v>2.2576373584128575</v>
      </c>
    </row>
    <row r="7" spans="1:9" x14ac:dyDescent="0.2">
      <c r="H7" t="s">
        <v>3</v>
      </c>
      <c r="I7">
        <f>AVERAGE(TableSHU[DIFF])/10</f>
        <v>0.37082678691925047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43.662665346640338</v>
      </c>
      <c r="C2">
        <v>43.450291760035157</v>
      </c>
      <c r="D2">
        <f>TableTOT[[#This Row],[ARIMAPP]]*$I$2+TableTOT[[#This Row],[LSTMPP]]*$I$3</f>
        <v>45.102003171169997</v>
      </c>
      <c r="E2">
        <v>37</v>
      </c>
      <c r="F2">
        <f>ABS(TableTOT[[#This Row],[PP]]-TableTOT[[#This Row],[AP]])</f>
        <v>8.1020031711699971</v>
      </c>
      <c r="H2" t="s">
        <v>0</v>
      </c>
      <c r="I2">
        <v>1.0329649556</v>
      </c>
    </row>
    <row r="3" spans="1:9" x14ac:dyDescent="0.2">
      <c r="A3" t="s">
        <v>146</v>
      </c>
      <c r="B3">
        <v>31.86681593031344</v>
      </c>
      <c r="C3">
        <v>37.598009519392818</v>
      </c>
      <c r="D3">
        <f>TableTOT[[#This Row],[ARIMAPP]]*$I$2+TableTOT[[#This Row],[LSTMPP]]*$I$3</f>
        <v>32.917304102569595</v>
      </c>
      <c r="E3">
        <v>46</v>
      </c>
      <c r="F3">
        <f>ABS(TableTOT[[#This Row],[PP]]-TableTOT[[#This Row],[AP]])</f>
        <v>13.082695897430405</v>
      </c>
      <c r="H3" t="s">
        <v>1</v>
      </c>
      <c r="I3">
        <v>0</v>
      </c>
    </row>
    <row r="4" spans="1:9" x14ac:dyDescent="0.2">
      <c r="A4" t="s">
        <v>147</v>
      </c>
      <c r="B4">
        <v>30.80645161290321</v>
      </c>
      <c r="C4">
        <v>33.113385888619753</v>
      </c>
      <c r="D4">
        <f>TableTOT[[#This Row],[ARIMAPP]]*$I$2+TableTOT[[#This Row],[LSTMPP]]*$I$3</f>
        <v>31.821984922516112</v>
      </c>
      <c r="E4">
        <v>29</v>
      </c>
      <c r="F4">
        <f>ABS(TableTOT[[#This Row],[PP]]-TableTOT[[#This Row],[AP]])</f>
        <v>2.821984922516112</v>
      </c>
    </row>
    <row r="5" spans="1:9" x14ac:dyDescent="0.2">
      <c r="A5" t="s">
        <v>148</v>
      </c>
      <c r="B5">
        <v>43.550601108413559</v>
      </c>
      <c r="C5">
        <v>47.187235327197207</v>
      </c>
      <c r="D5">
        <f>TableTOT[[#This Row],[ARIMAPP]]*$I$2+TableTOT[[#This Row],[LSTMPP]]*$I$3</f>
        <v>44.986244740305722</v>
      </c>
      <c r="E5">
        <v>26</v>
      </c>
      <c r="F5">
        <f>ABS(TableTOT[[#This Row],[PP]]-TableTOT[[#This Row],[AP]])</f>
        <v>18.986244740305722</v>
      </c>
      <c r="H5" t="s">
        <v>2</v>
      </c>
      <c r="I5">
        <f>SUM(ABS(TableTOT[[#This Row],[PP]]-TableTOT[[#This Row],[AP]]))</f>
        <v>18.986244740305722</v>
      </c>
    </row>
    <row r="6" spans="1:9" x14ac:dyDescent="0.2">
      <c r="A6" t="s">
        <v>149</v>
      </c>
      <c r="B6">
        <v>30.909090909090899</v>
      </c>
      <c r="C6">
        <v>28.653461568557439</v>
      </c>
      <c r="D6">
        <f>TableTOT[[#This Row],[ARIMAPP]]*$I$2+TableTOT[[#This Row],[LSTMPP]]*$I$3</f>
        <v>31.928007718545445</v>
      </c>
      <c r="E6">
        <v>53</v>
      </c>
      <c r="F6">
        <f>ABS(TableTOT[[#This Row],[PP]]-TableTOT[[#This Row],[AP]])</f>
        <v>21.071992281454555</v>
      </c>
    </row>
    <row r="7" spans="1:9" x14ac:dyDescent="0.2">
      <c r="A7" t="s">
        <v>150</v>
      </c>
      <c r="B7">
        <v>51.320754716981128</v>
      </c>
      <c r="C7">
        <v>44.172386481579217</v>
      </c>
      <c r="D7">
        <f>TableTOT[[#This Row],[ARIMAPP]]*$I$2+TableTOT[[#This Row],[LSTMPP]]*$I$3</f>
        <v>53.012541117584902</v>
      </c>
      <c r="E7">
        <v>63</v>
      </c>
      <c r="F7">
        <f>ABS(TableTOT[[#This Row],[PP]]-TableTOT[[#This Row],[AP]])</f>
        <v>9.9874588824150976</v>
      </c>
      <c r="H7" t="s">
        <v>3</v>
      </c>
      <c r="I7">
        <f>AVERAGE(TableTOT[DIFF])/10</f>
        <v>0.98858748467109281</v>
      </c>
    </row>
    <row r="8" spans="1:9" x14ac:dyDescent="0.2">
      <c r="A8" t="s">
        <v>151</v>
      </c>
      <c r="B8">
        <v>21.785714285714281</v>
      </c>
      <c r="C8">
        <v>24.039365801526969</v>
      </c>
      <c r="D8">
        <f>TableTOT[[#This Row],[ARIMAPP]]*$I$2+TableTOT[[#This Row],[LSTMPP]]*$I$3</f>
        <v>22.50387938985714</v>
      </c>
      <c r="E8">
        <v>29</v>
      </c>
      <c r="F8">
        <f>ABS(TableTOT[[#This Row],[PP]]-TableTOT[[#This Row],[AP]])</f>
        <v>6.4961206101428601</v>
      </c>
    </row>
    <row r="9" spans="1:9" x14ac:dyDescent="0.2">
      <c r="A9" t="s">
        <v>152</v>
      </c>
      <c r="B9">
        <v>40.606060606060588</v>
      </c>
      <c r="C9">
        <v>40.443923230507359</v>
      </c>
      <c r="D9">
        <f>TableTOT[[#This Row],[ARIMAPP]]*$I$2+TableTOT[[#This Row],[LSTMPP]]*$I$3</f>
        <v>41.944637591030286</v>
      </c>
      <c r="E9">
        <v>35</v>
      </c>
      <c r="F9">
        <f>ABS(TableTOT[[#This Row],[PP]]-TableTOT[[#This Row],[AP]])</f>
        <v>6.9446375910302862</v>
      </c>
    </row>
    <row r="10" spans="1:9" x14ac:dyDescent="0.2">
      <c r="A10" t="s">
        <v>153</v>
      </c>
      <c r="B10">
        <v>27.64705882352942</v>
      </c>
      <c r="C10">
        <v>17.872701611324981</v>
      </c>
      <c r="D10">
        <f>TableTOT[[#This Row],[ARIMAPP]]*$I$2+TableTOT[[#This Row],[LSTMPP]]*$I$3</f>
        <v>28.558442890117657</v>
      </c>
      <c r="E10">
        <v>32</v>
      </c>
      <c r="F10">
        <f>ABS(TableTOT[[#This Row],[PP]]-TableTOT[[#This Row],[AP]])</f>
        <v>3.4415571098823428</v>
      </c>
    </row>
    <row r="11" spans="1:9" x14ac:dyDescent="0.2">
      <c r="A11" t="s">
        <v>154</v>
      </c>
      <c r="B11">
        <v>33.809523809523803</v>
      </c>
      <c r="C11">
        <v>48.327920616206001</v>
      </c>
      <c r="D11">
        <f>TableTOT[[#This Row],[ARIMAPP]]*$I$2+TableTOT[[#This Row],[LSTMPP]]*$I$3</f>
        <v>34.924053260761902</v>
      </c>
      <c r="E11">
        <v>27</v>
      </c>
      <c r="F11">
        <f>ABS(TableTOT[[#This Row],[PP]]-TableTOT[[#This Row],[AP]])</f>
        <v>7.9240532607619016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155</v>
      </c>
      <c r="B2">
        <v>40.011766499533707</v>
      </c>
      <c r="C2">
        <v>37.15821012752685</v>
      </c>
      <c r="D2">
        <f>TableWHU[[#This Row],[ARIMAPP]]*$I$2+TableWHU[[#This Row],[LSTMPP]]*$I$3</f>
        <v>36.123743189659962</v>
      </c>
      <c r="E2">
        <v>29</v>
      </c>
      <c r="F2">
        <f>ABS(TableWHU[[#This Row],[PP]]-TableWHU[[#This Row],[AP]])</f>
        <v>7.1237431896599617</v>
      </c>
      <c r="H2" t="s">
        <v>0</v>
      </c>
      <c r="I2">
        <v>0.90282800160999999</v>
      </c>
    </row>
    <row r="3" spans="1:9" x14ac:dyDescent="0.2">
      <c r="A3" t="s">
        <v>156</v>
      </c>
      <c r="B3">
        <v>32.642645637169217</v>
      </c>
      <c r="C3">
        <v>35.729963171437149</v>
      </c>
      <c r="D3">
        <f>TableWHU[[#This Row],[ARIMAPP]]*$I$2+TableWHU[[#This Row],[LSTMPP]]*$I$3</f>
        <v>29.470694527868869</v>
      </c>
      <c r="E3">
        <v>26</v>
      </c>
      <c r="F3">
        <f>ABS(TableWHU[[#This Row],[PP]]-TableWHU[[#This Row],[AP]])</f>
        <v>3.4706945278688686</v>
      </c>
      <c r="H3" t="s">
        <v>1</v>
      </c>
      <c r="I3">
        <v>0</v>
      </c>
    </row>
    <row r="4" spans="1:9" x14ac:dyDescent="0.2">
      <c r="A4" t="s">
        <v>157</v>
      </c>
      <c r="B4">
        <v>19.693163233680679</v>
      </c>
      <c r="C4">
        <v>17.376463958476101</v>
      </c>
      <c r="D4">
        <f>TableWHU[[#This Row],[ARIMAPP]]*$I$2+TableWHU[[#This Row],[LSTMPP]]*$I$3</f>
        <v>17.779539207643452</v>
      </c>
      <c r="E4">
        <v>26</v>
      </c>
      <c r="F4">
        <f>ABS(TableWHU[[#This Row],[PP]]-TableWHU[[#This Row],[AP]])</f>
        <v>8.2204607923565476</v>
      </c>
    </row>
    <row r="5" spans="1:9" x14ac:dyDescent="0.2">
      <c r="A5" t="s">
        <v>158</v>
      </c>
      <c r="B5">
        <v>44.859154929577457</v>
      </c>
      <c r="C5">
        <v>42.243657271646477</v>
      </c>
      <c r="D5">
        <f>TableWHU[[#This Row],[ARIMAPP]]*$I$2+TableWHU[[#This Row],[LSTMPP]]*$I$3</f>
        <v>40.500101198983792</v>
      </c>
      <c r="E5">
        <v>51</v>
      </c>
      <c r="F5">
        <f>ABS(TableWHU[[#This Row],[PP]]-TableWHU[[#This Row],[AP]])</f>
        <v>10.499898801016208</v>
      </c>
      <c r="H5" t="s">
        <v>2</v>
      </c>
      <c r="I5">
        <f>SUM(ABS(TableWHU[[#This Row],[PP]]-TableWHU[[#This Row],[AP]]))</f>
        <v>10.499898801016208</v>
      </c>
    </row>
    <row r="6" spans="1:9" x14ac:dyDescent="0.2">
      <c r="A6" t="s">
        <v>159</v>
      </c>
      <c r="B6">
        <v>35.371294618282711</v>
      </c>
      <c r="C6">
        <v>28.14856286089223</v>
      </c>
      <c r="D6">
        <f>TableWHU[[#This Row],[ARIMAPP]]*$I$2+TableWHU[[#This Row],[LSTMPP]]*$I$3</f>
        <v>31.934195234582727</v>
      </c>
      <c r="E6">
        <v>32</v>
      </c>
      <c r="F6">
        <f>ABS(TableWHU[[#This Row],[PP]]-TableWHU[[#This Row],[AP]])</f>
        <v>6.5804765417272648E-2</v>
      </c>
    </row>
    <row r="7" spans="1:9" x14ac:dyDescent="0.2">
      <c r="A7" t="s">
        <v>160</v>
      </c>
      <c r="B7">
        <v>33.170731707317103</v>
      </c>
      <c r="C7">
        <v>42.930894164455353</v>
      </c>
      <c r="D7">
        <f>TableWHU[[#This Row],[ARIMAPP]]*$I$2+TableWHU[[#This Row],[LSTMPP]]*$I$3</f>
        <v>29.947465419258563</v>
      </c>
      <c r="E7">
        <v>47</v>
      </c>
      <c r="F7">
        <f>ABS(TableWHU[[#This Row],[PP]]-TableWHU[[#This Row],[AP]])</f>
        <v>17.052534580741437</v>
      </c>
      <c r="H7" t="s">
        <v>3</v>
      </c>
      <c r="I7">
        <f>AVERAGE(TableWHU[DIFF])/10</f>
        <v>0.83872826790298272</v>
      </c>
    </row>
    <row r="8" spans="1:9" x14ac:dyDescent="0.2">
      <c r="A8" t="s">
        <v>161</v>
      </c>
      <c r="B8">
        <v>36.028569148447673</v>
      </c>
      <c r="C8">
        <v>38.727383509925062</v>
      </c>
      <c r="D8">
        <f>TableWHU[[#This Row],[ARIMAPP]]*$I$2+TableWHU[[#This Row],[LSTMPP]]*$I$3</f>
        <v>32.527601085160711</v>
      </c>
      <c r="E8">
        <v>20</v>
      </c>
      <c r="F8">
        <f>ABS(TableWHU[[#This Row],[PP]]-TableWHU[[#This Row],[AP]])</f>
        <v>12.527601085160711</v>
      </c>
    </row>
    <row r="9" spans="1:9" x14ac:dyDescent="0.2">
      <c r="A9" t="s">
        <v>162</v>
      </c>
      <c r="B9">
        <v>19.375</v>
      </c>
      <c r="C9">
        <v>18.518126424907251</v>
      </c>
      <c r="D9">
        <f>TableWHU[[#This Row],[ARIMAPP]]*$I$2+TableWHU[[#This Row],[LSTMPP]]*$I$3</f>
        <v>17.492292531193751</v>
      </c>
      <c r="E9">
        <v>24</v>
      </c>
      <c r="F9">
        <f>ABS(TableWHU[[#This Row],[PP]]-TableWHU[[#This Row],[AP]])</f>
        <v>6.5077074688062488</v>
      </c>
    </row>
    <row r="10" spans="1:9" x14ac:dyDescent="0.2">
      <c r="A10" t="s">
        <v>163</v>
      </c>
      <c r="B10">
        <v>47.647058823529413</v>
      </c>
      <c r="C10">
        <v>59.032830872143293</v>
      </c>
      <c r="D10">
        <f>TableWHU[[#This Row],[ARIMAPP]]*$I$2+TableWHU[[#This Row],[LSTMPP]]*$I$3</f>
        <v>43.01709890024118</v>
      </c>
      <c r="E10">
        <v>33</v>
      </c>
      <c r="F10">
        <f>ABS(TableWHU[[#This Row],[PP]]-TableWHU[[#This Row],[AP]])</f>
        <v>10.01709890024118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22.032812064535971</v>
      </c>
      <c r="C2">
        <v>31.919630854831951</v>
      </c>
      <c r="D2">
        <f>TableAVL[[#This Row],[ARIMAPP]]*$I$2+TableAVL[[#This Row],[LSTMPP]]*$I$3</f>
        <v>23.934550013472979</v>
      </c>
      <c r="E2">
        <v>29</v>
      </c>
      <c r="F2">
        <f>ABS(TableAVL[[#This Row],[PP]]-TableAVL[[#This Row],[AP]])</f>
        <v>5.0654499865270211</v>
      </c>
      <c r="H2" t="s">
        <v>0</v>
      </c>
      <c r="I2">
        <v>1.0863137054000001</v>
      </c>
    </row>
    <row r="3" spans="1:9" x14ac:dyDescent="0.2">
      <c r="A3" t="s">
        <v>23</v>
      </c>
      <c r="B3">
        <v>45.96538403359159</v>
      </c>
      <c r="C3">
        <v>23.399687631507462</v>
      </c>
      <c r="D3">
        <f>TableAVL[[#This Row],[ARIMAPP]]*$I$2+TableAVL[[#This Row],[LSTMPP]]*$I$3</f>
        <v>49.932829801376144</v>
      </c>
      <c r="E3">
        <v>44</v>
      </c>
      <c r="F3">
        <f>ABS(TableAVL[[#This Row],[PP]]-TableAVL[[#This Row],[AP]])</f>
        <v>5.932829801376144</v>
      </c>
      <c r="H3" t="s">
        <v>1</v>
      </c>
      <c r="I3">
        <v>1.3469031336000001E-7</v>
      </c>
    </row>
    <row r="4" spans="1:9" x14ac:dyDescent="0.2">
      <c r="A4" t="s">
        <v>24</v>
      </c>
      <c r="B4">
        <v>30.753424657534261</v>
      </c>
      <c r="C4">
        <v>29.08953701839237</v>
      </c>
      <c r="D4">
        <f>TableAVL[[#This Row],[ARIMAPP]]*$I$2+TableAVL[[#This Row],[LSTMPP]]*$I$3</f>
        <v>33.407870611544624</v>
      </c>
      <c r="E4">
        <v>28</v>
      </c>
      <c r="F4">
        <f>ABS(TableAVL[[#This Row],[PP]]-TableAVL[[#This Row],[AP]])</f>
        <v>5.4078706115446238</v>
      </c>
    </row>
    <row r="5" spans="1:9" x14ac:dyDescent="0.2">
      <c r="A5" t="s">
        <v>25</v>
      </c>
      <c r="B5">
        <v>28.36879432624113</v>
      </c>
      <c r="C5">
        <v>28.716364450726651</v>
      </c>
      <c r="D5">
        <f>TableAVL[[#This Row],[ARIMAPP]]*$I$2+TableAVL[[#This Row],[LSTMPP]]*$I$3</f>
        <v>30.817413950085626</v>
      </c>
      <c r="E5">
        <v>28</v>
      </c>
      <c r="F5">
        <f>ABS(TableAVL[[#This Row],[PP]]-TableAVL[[#This Row],[AP]])</f>
        <v>2.8174139500856263</v>
      </c>
      <c r="H5" t="s">
        <v>2</v>
      </c>
      <c r="I5">
        <f>SUM(ABS(TableAVL[[#This Row],[PP]]-TableAVL[[#This Row],[AP]]))</f>
        <v>2.8174139500856263</v>
      </c>
    </row>
    <row r="6" spans="1:9" x14ac:dyDescent="0.2">
      <c r="A6" t="s">
        <v>26</v>
      </c>
      <c r="B6">
        <v>45.322580645161288</v>
      </c>
      <c r="C6">
        <v>40.220445269940797</v>
      </c>
      <c r="D6">
        <f>TableAVL[[#This Row],[ARIMAPP]]*$I$2+TableAVL[[#This Row],[LSTMPP]]*$I$3</f>
        <v>49.234545936239861</v>
      </c>
      <c r="E6">
        <v>80</v>
      </c>
      <c r="F6">
        <f>ABS(TableAVL[[#This Row],[PP]]-TableAVL[[#This Row],[AP]])</f>
        <v>30.765454063760139</v>
      </c>
    </row>
    <row r="7" spans="1:9" x14ac:dyDescent="0.2">
      <c r="A7" t="s">
        <v>27</v>
      </c>
      <c r="B7">
        <v>30.999999999999979</v>
      </c>
      <c r="C7">
        <v>27.655841396240369</v>
      </c>
      <c r="D7">
        <f>TableAVL[[#This Row],[ARIMAPP]]*$I$2+TableAVL[[#This Row],[LSTMPP]]*$I$3</f>
        <v>33.675728592373922</v>
      </c>
      <c r="E7">
        <v>43</v>
      </c>
      <c r="F7">
        <f>ABS(TableAVL[[#This Row],[PP]]-TableAVL[[#This Row],[AP]])</f>
        <v>9.3242714076260782</v>
      </c>
      <c r="H7" t="s">
        <v>3</v>
      </c>
      <c r="I7">
        <f>AVERAGE(TableAVL[DIFF])/10</f>
        <v>1.0309641610640168</v>
      </c>
    </row>
    <row r="8" spans="1:9" x14ac:dyDescent="0.2">
      <c r="A8" t="s">
        <v>28</v>
      </c>
      <c r="B8">
        <v>35.272727272727273</v>
      </c>
      <c r="C8">
        <v>43.561336223256298</v>
      </c>
      <c r="D8">
        <f>TableAVL[[#This Row],[ARIMAPP]]*$I$2+TableAVL[[#This Row],[LSTMPP]]*$I$3</f>
        <v>38.317252930490028</v>
      </c>
      <c r="E8">
        <v>32</v>
      </c>
      <c r="F8">
        <f>ABS(TableAVL[[#This Row],[PP]]-TableAVL[[#This Row],[AP]])</f>
        <v>6.317252930490028</v>
      </c>
    </row>
    <row r="9" spans="1:9" x14ac:dyDescent="0.2">
      <c r="A9" t="s">
        <v>29</v>
      </c>
      <c r="B9">
        <v>41.302865320054593</v>
      </c>
      <c r="C9">
        <v>47.199576532334291</v>
      </c>
      <c r="D9">
        <f>TableAVL[[#This Row],[ARIMAPP]]*$I$2+TableAVL[[#This Row],[LSTMPP]]*$I$3</f>
        <v>44.867875026791417</v>
      </c>
      <c r="E9">
        <v>29</v>
      </c>
      <c r="F9">
        <f>ABS(TableAVL[[#This Row],[PP]]-TableAVL[[#This Row],[AP]])</f>
        <v>15.867875026791417</v>
      </c>
    </row>
    <row r="10" spans="1:9" x14ac:dyDescent="0.2">
      <c r="A10" t="s">
        <v>30</v>
      </c>
      <c r="B10">
        <v>35.246128454325103</v>
      </c>
      <c r="C10">
        <v>32.038964470640863</v>
      </c>
      <c r="D10">
        <f>TableAVL[[#This Row],[ARIMAPP]]*$I$2+TableAVL[[#This Row],[LSTMPP]]*$I$3</f>
        <v>38.288356717560447</v>
      </c>
      <c r="E10">
        <v>27</v>
      </c>
      <c r="F10">
        <f>ABS(TableAVL[[#This Row],[PP]]-TableAVL[[#This Row],[AP]])</f>
        <v>11.288356717560447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164</v>
      </c>
      <c r="B2">
        <v>22.53012048192771</v>
      </c>
      <c r="C2">
        <v>18.20119896658499</v>
      </c>
      <c r="D2">
        <f>TableWOL[[#This Row],[ARIMAPP]]*$I$2+TableWOL[[#This Row],[LSTMPP]]*$I$3</f>
        <v>21.55052060658975</v>
      </c>
      <c r="E2">
        <v>20</v>
      </c>
      <c r="F2">
        <f>ABS(TableWOL[[#This Row],[PP]]-TableWOL[[#This Row],[AP]])</f>
        <v>1.5505206065897497</v>
      </c>
      <c r="H2" t="s">
        <v>0</v>
      </c>
      <c r="I2">
        <v>0.57071268409999998</v>
      </c>
    </row>
    <row r="3" spans="1:9" x14ac:dyDescent="0.2">
      <c r="A3" t="s">
        <v>165</v>
      </c>
      <c r="B3">
        <v>30.370370370370381</v>
      </c>
      <c r="C3">
        <v>33.332821261842717</v>
      </c>
      <c r="D3">
        <f>TableWOL[[#This Row],[ARIMAPP]]*$I$2+TableWOL[[#This Row],[LSTMPP]]*$I$3</f>
        <v>33.251416694986133</v>
      </c>
      <c r="E3">
        <v>22</v>
      </c>
      <c r="F3">
        <f>ABS(TableWOL[[#This Row],[PP]]-TableWOL[[#This Row],[AP]])</f>
        <v>11.251416694986133</v>
      </c>
      <c r="H3" t="s">
        <v>1</v>
      </c>
      <c r="I3">
        <v>0.47756716957000001</v>
      </c>
    </row>
    <row r="4" spans="1:9" x14ac:dyDescent="0.2">
      <c r="A4" t="s">
        <v>166</v>
      </c>
      <c r="B4">
        <v>26.598450343323549</v>
      </c>
      <c r="C4">
        <v>25.36914524946274</v>
      </c>
      <c r="D4">
        <f>TableWOL[[#This Row],[ARIMAPP]]*$I$2+TableWOL[[#This Row],[LSTMPP]]*$I$3</f>
        <v>27.295543879534883</v>
      </c>
      <c r="E4">
        <v>41</v>
      </c>
      <c r="F4">
        <f>ABS(TableWOL[[#This Row],[PP]]-TableWOL[[#This Row],[AP]])</f>
        <v>13.704456120465117</v>
      </c>
    </row>
    <row r="5" spans="1:9" x14ac:dyDescent="0.2">
      <c r="A5" t="s">
        <v>167</v>
      </c>
      <c r="B5">
        <v>37.863651281547142</v>
      </c>
      <c r="C5">
        <v>39.838810687063152</v>
      </c>
      <c r="D5">
        <f>TableWOL[[#This Row],[ARIMAPP]]*$I$2+TableWOL[[#This Row],[LSTMPP]]*$I$3</f>
        <v>40.634974111573989</v>
      </c>
      <c r="E5">
        <v>24</v>
      </c>
      <c r="F5">
        <f>ABS(TableWOL[[#This Row],[PP]]-TableWOL[[#This Row],[AP]])</f>
        <v>16.634974111573989</v>
      </c>
      <c r="H5" t="s">
        <v>2</v>
      </c>
      <c r="I5">
        <f>SUM(ABS(TableWOL[[#This Row],[PP]]-TableWOL[[#This Row],[AP]]))</f>
        <v>16.634974111573989</v>
      </c>
    </row>
    <row r="6" spans="1:9" x14ac:dyDescent="0.2">
      <c r="A6" t="s">
        <v>168</v>
      </c>
      <c r="B6">
        <v>46.641307192213262</v>
      </c>
      <c r="C6">
        <v>25.4526754012</v>
      </c>
      <c r="D6">
        <f>TableWOL[[#This Row],[ARIMAPP]]*$I$2+TableWOL[[#This Row],[LSTMPP]]*$I$3</f>
        <v>38.774147766935712</v>
      </c>
      <c r="E6">
        <v>49</v>
      </c>
      <c r="F6">
        <f>ABS(TableWOL[[#This Row],[PP]]-TableWOL[[#This Row],[AP]])</f>
        <v>10.225852233064288</v>
      </c>
    </row>
    <row r="7" spans="1:9" x14ac:dyDescent="0.2">
      <c r="A7" t="s">
        <v>169</v>
      </c>
      <c r="B7">
        <v>18.15789473684211</v>
      </c>
      <c r="C7">
        <v>16.645633857121091</v>
      </c>
      <c r="D7">
        <f>TableWOL[[#This Row],[ARIMAPP]]*$I$2+TableWOL[[#This Row],[LSTMPP]]*$I$3</f>
        <v>18.312349089712306</v>
      </c>
      <c r="E7">
        <v>43</v>
      </c>
      <c r="F7">
        <f>ABS(TableWOL[[#This Row],[PP]]-TableWOL[[#This Row],[AP]])</f>
        <v>24.687650910287694</v>
      </c>
      <c r="H7" t="s">
        <v>3</v>
      </c>
      <c r="I7">
        <f>AVERAGE(TableWOL[DIFF])/10</f>
        <v>1.1506436878828774</v>
      </c>
    </row>
    <row r="8" spans="1:9" x14ac:dyDescent="0.2">
      <c r="A8" t="s">
        <v>170</v>
      </c>
      <c r="B8">
        <v>65.36202112426524</v>
      </c>
      <c r="C8">
        <v>26.235270280876549</v>
      </c>
      <c r="D8">
        <f>TableWOL[[#This Row],[ARIMAPP]]*$I$2+TableWOL[[#This Row],[LSTMPP]]*$I$3</f>
        <v>49.832038284972462</v>
      </c>
      <c r="E8">
        <v>44</v>
      </c>
      <c r="F8">
        <f>ABS(TableWOL[[#This Row],[PP]]-TableWOL[[#This Row],[AP]])</f>
        <v>5.8320382849724623</v>
      </c>
    </row>
    <row r="9" spans="1:9" x14ac:dyDescent="0.2">
      <c r="A9" t="s">
        <v>171</v>
      </c>
      <c r="B9">
        <v>59.904695970017158</v>
      </c>
      <c r="C9">
        <v>24.708694289898091</v>
      </c>
      <c r="D9">
        <f>TableWOL[[#This Row],[ARIMAPP]]*$I$2+TableWOL[[#This Row],[LSTMPP]]*$I$3</f>
        <v>45.988431023039993</v>
      </c>
      <c r="E9">
        <v>43</v>
      </c>
      <c r="F9">
        <f>ABS(TableWOL[[#This Row],[PP]]-TableWOL[[#This Row],[AP]])</f>
        <v>2.9884310230399933</v>
      </c>
    </row>
    <row r="10" spans="1:9" x14ac:dyDescent="0.2">
      <c r="A10" t="s">
        <v>172</v>
      </c>
      <c r="B10">
        <v>16.60285478684148</v>
      </c>
      <c r="C10">
        <v>16.420618409470009</v>
      </c>
      <c r="D10">
        <f>TableWOL[[#This Row],[ARIMAPP]]*$I$2+TableWOL[[#This Row],[LSTMPP]]*$I$3</f>
        <v>17.317408075520461</v>
      </c>
      <c r="E10">
        <v>34</v>
      </c>
      <c r="F10">
        <f>ABS(TableWOL[[#This Row],[PP]]-TableWOL[[#This Row],[AP]])</f>
        <v>16.682591924479539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23.333333333333339</v>
      </c>
      <c r="C2">
        <v>23.24124458184739</v>
      </c>
      <c r="D2">
        <f>TableBOU[[#This Row],[ARIMAPP]]*$I$2+TableBOU[[#This Row],[LSTMPP]]*$I$3</f>
        <v>24.526432362742707</v>
      </c>
      <c r="E2">
        <v>27</v>
      </c>
      <c r="F2">
        <f>ABS(TableBOU[[#This Row],[PP]]-TableBOU[[#This Row],[AP]])</f>
        <v>2.4735676372572932</v>
      </c>
      <c r="H2" t="s">
        <v>0</v>
      </c>
      <c r="I2">
        <v>0.81435271331000003</v>
      </c>
    </row>
    <row r="3" spans="1:9" x14ac:dyDescent="0.2">
      <c r="A3" t="s">
        <v>32</v>
      </c>
      <c r="B3">
        <v>17.146296827304141</v>
      </c>
      <c r="C3">
        <v>16.01206245737994</v>
      </c>
      <c r="D3">
        <f>TableBOU[[#This Row],[ARIMAPP]]*$I$2+TableBOU[[#This Row],[LSTMPP]]*$I$3</f>
        <v>17.769493542704208</v>
      </c>
      <c r="E3">
        <v>29</v>
      </c>
      <c r="F3">
        <f>ABS(TableBOU[[#This Row],[PP]]-TableBOU[[#This Row],[AP]])</f>
        <v>11.230506457295792</v>
      </c>
      <c r="H3" t="s">
        <v>1</v>
      </c>
      <c r="I3">
        <v>0.23771829571</v>
      </c>
    </row>
    <row r="4" spans="1:9" x14ac:dyDescent="0.2">
      <c r="A4" t="s">
        <v>33</v>
      </c>
      <c r="B4">
        <v>53.971941561411697</v>
      </c>
      <c r="C4">
        <v>27.455176407885961</v>
      </c>
      <c r="D4">
        <f>TableBOU[[#This Row],[ARIMAPP]]*$I$2+TableBOU[[#This Row],[LSTMPP]]*$I$3</f>
        <v>50.478794797244426</v>
      </c>
      <c r="E4">
        <v>49</v>
      </c>
      <c r="F4">
        <f>ABS(TableBOU[[#This Row],[PP]]-TableBOU[[#This Row],[AP]])</f>
        <v>1.4787947972444258</v>
      </c>
    </row>
    <row r="5" spans="1:9" x14ac:dyDescent="0.2">
      <c r="A5" t="s">
        <v>34</v>
      </c>
      <c r="B5">
        <v>21.400000000000009</v>
      </c>
      <c r="C5">
        <v>19.915742042280211</v>
      </c>
      <c r="D5">
        <f>TableBOU[[#This Row],[ARIMAPP]]*$I$2+TableBOU[[#This Row],[LSTMPP]]*$I$3</f>
        <v>22.161484320924853</v>
      </c>
      <c r="E5">
        <v>20</v>
      </c>
      <c r="F5">
        <f>ABS(TableBOU[[#This Row],[PP]]-TableBOU[[#This Row],[AP]])</f>
        <v>2.1614843209248527</v>
      </c>
      <c r="H5" t="s">
        <v>2</v>
      </c>
      <c r="I5">
        <f>SUM(ABS(TableBOU[[#This Row],[PP]]-TableBOU[[#This Row],[AP]]))</f>
        <v>2.1614843209248527</v>
      </c>
    </row>
    <row r="6" spans="1:9" x14ac:dyDescent="0.2">
      <c r="A6" t="s">
        <v>35</v>
      </c>
      <c r="B6">
        <v>38.205128205128197</v>
      </c>
      <c r="C6">
        <v>34.330724358436257</v>
      </c>
      <c r="D6">
        <f>TableBOU[[#This Row],[ARIMAPP]]*$I$2+TableBOU[[#This Row],[LSTMPP]]*$I$3</f>
        <v>39.273491101179808</v>
      </c>
      <c r="E6">
        <v>23</v>
      </c>
      <c r="F6">
        <f>ABS(TableBOU[[#This Row],[PP]]-TableBOU[[#This Row],[AP]])</f>
        <v>16.273491101179808</v>
      </c>
    </row>
    <row r="7" spans="1:9" x14ac:dyDescent="0.2">
      <c r="A7" t="s">
        <v>36</v>
      </c>
      <c r="B7">
        <v>29.046005716369748</v>
      </c>
      <c r="C7">
        <v>19.54012494256051</v>
      </c>
      <c r="D7">
        <f>TableBOU[[#This Row],[ARIMAPP]]*$I$2+TableBOU[[#This Row],[LSTMPP]]*$I$3</f>
        <v>28.298738765249425</v>
      </c>
      <c r="E7">
        <v>25</v>
      </c>
      <c r="F7">
        <f>ABS(TableBOU[[#This Row],[PP]]-TableBOU[[#This Row],[AP]])</f>
        <v>3.2987387652494249</v>
      </c>
      <c r="H7" t="s">
        <v>3</v>
      </c>
      <c r="I7">
        <f>AVERAGE(TableBOU[DIFF])/10</f>
        <v>0.7974454224105042</v>
      </c>
    </row>
    <row r="8" spans="1:9" x14ac:dyDescent="0.2">
      <c r="A8" t="s">
        <v>37</v>
      </c>
      <c r="B8">
        <v>39.063991913948229</v>
      </c>
      <c r="C8">
        <v>46.373617323825272</v>
      </c>
      <c r="D8">
        <f>TableBOU[[#This Row],[ARIMAPP]]*$I$2+TableBOU[[#This Row],[LSTMPP]]*$I$3</f>
        <v>42.835725083971113</v>
      </c>
      <c r="E8">
        <v>34</v>
      </c>
      <c r="F8">
        <f>ABS(TableBOU[[#This Row],[PP]]-TableBOU[[#This Row],[AP]])</f>
        <v>8.8357250839711128</v>
      </c>
    </row>
    <row r="9" spans="1:9" x14ac:dyDescent="0.2">
      <c r="A9" t="s">
        <v>38</v>
      </c>
      <c r="B9">
        <v>24.615384615384599</v>
      </c>
      <c r="C9">
        <v>24.765697086264691</v>
      </c>
      <c r="D9">
        <f>TableBOU[[#This Row],[ARIMAPP]]*$I$2+TableBOU[[#This Row],[LSTMPP]]*$I$3</f>
        <v>25.932864554124635</v>
      </c>
      <c r="E9">
        <v>41</v>
      </c>
      <c r="F9">
        <f>ABS(TableBOU[[#This Row],[PP]]-TableBOU[[#This Row],[AP]])</f>
        <v>15.067135445875365</v>
      </c>
    </row>
    <row r="10" spans="1:9" x14ac:dyDescent="0.2">
      <c r="A10" t="s">
        <v>39</v>
      </c>
      <c r="B10">
        <v>19.600000000000001</v>
      </c>
      <c r="C10">
        <v>17.87617781202016</v>
      </c>
      <c r="D10">
        <f>TableBOU[[#This Row],[ARIMAPP]]*$I$2+TableBOU[[#This Row],[LSTMPP]]*$I$3</f>
        <v>20.210807704158348</v>
      </c>
      <c r="E10">
        <v>30</v>
      </c>
      <c r="F10">
        <f>ABS(TableBOU[[#This Row],[PP]]-TableBOU[[#This Row],[AP]])</f>
        <v>9.7891922958416515</v>
      </c>
    </row>
    <row r="11" spans="1:9" x14ac:dyDescent="0.2">
      <c r="A11" t="s">
        <v>40</v>
      </c>
      <c r="B11">
        <v>26</v>
      </c>
      <c r="C11">
        <v>26.10453200995412</v>
      </c>
      <c r="D11">
        <f>TableBOU[[#This Row],[ARIMAPP]]*$I$2+TableBOU[[#This Row],[LSTMPP]]*$I$3</f>
        <v>27.378695405773435</v>
      </c>
      <c r="E11">
        <v>36</v>
      </c>
      <c r="F11">
        <f>ABS(TableBOU[[#This Row],[PP]]-TableBOU[[#This Row],[AP]])</f>
        <v>8.6213045942265651</v>
      </c>
    </row>
    <row r="12" spans="1:9" x14ac:dyDescent="0.2">
      <c r="A12" t="s">
        <v>41</v>
      </c>
      <c r="B12">
        <v>17.857142857142861</v>
      </c>
      <c r="C12">
        <v>12.48928395420667</v>
      </c>
      <c r="D12">
        <f>TableBOU[[#This Row],[ARIMAPP]]*$I$2+TableBOU[[#This Row],[LSTMPP]]*$I$3</f>
        <v>17.510944033910835</v>
      </c>
      <c r="E12">
        <v>26</v>
      </c>
      <c r="F12">
        <f>ABS(TableBOU[[#This Row],[PP]]-TableBOU[[#This Row],[AP]])</f>
        <v>8.4890559660891647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42</v>
      </c>
      <c r="B2">
        <v>23.53008561640895</v>
      </c>
      <c r="C2">
        <v>30.546994344105631</v>
      </c>
      <c r="D2">
        <f>TableBRE[[#This Row],[ARIMAPP]]*$I$2+TableBRE[[#This Row],[LSTMPP]]*$I$3</f>
        <v>30.833112902878241</v>
      </c>
      <c r="E2">
        <v>25</v>
      </c>
      <c r="F2">
        <f>ABS(TableBRE[[#This Row],[PP]]-TableBRE[[#This Row],[AP]])</f>
        <v>5.8331129028782414</v>
      </c>
      <c r="H2" t="s">
        <v>0</v>
      </c>
      <c r="I2">
        <v>1.1990306338E-7</v>
      </c>
    </row>
    <row r="3" spans="1:9" x14ac:dyDescent="0.2">
      <c r="A3" t="s">
        <v>43</v>
      </c>
      <c r="B3">
        <v>29.85294117647058</v>
      </c>
      <c r="C3">
        <v>32.616843106865673</v>
      </c>
      <c r="D3">
        <f>TableBRE[[#This Row],[ARIMAPP]]*$I$2+TableBRE[[#This Row],[LSTMPP]]*$I$3</f>
        <v>32.922349480264721</v>
      </c>
      <c r="E3">
        <v>23</v>
      </c>
      <c r="F3">
        <f>ABS(TableBRE[[#This Row],[PP]]-TableBRE[[#This Row],[AP]])</f>
        <v>9.922349480264721</v>
      </c>
      <c r="H3" t="s">
        <v>1</v>
      </c>
      <c r="I3">
        <v>1.0093664121000001</v>
      </c>
    </row>
    <row r="4" spans="1:9" x14ac:dyDescent="0.2">
      <c r="A4" t="s">
        <v>44</v>
      </c>
      <c r="B4">
        <v>26.071428571428559</v>
      </c>
      <c r="C4">
        <v>31.801894508902521</v>
      </c>
      <c r="D4">
        <f>TableBRE[[#This Row],[ARIMAPP]]*$I$2+TableBRE[[#This Row],[LSTMPP]]*$I$3</f>
        <v>32.099767284477778</v>
      </c>
      <c r="E4">
        <v>20</v>
      </c>
      <c r="F4">
        <f>ABS(TableBRE[[#This Row],[PP]]-TableBRE[[#This Row],[AP]])</f>
        <v>12.099767284477778</v>
      </c>
    </row>
    <row r="5" spans="1:9" x14ac:dyDescent="0.2">
      <c r="A5" t="s">
        <v>45</v>
      </c>
      <c r="B5">
        <v>29.13043478260871</v>
      </c>
      <c r="C5">
        <v>23.73383250447446</v>
      </c>
      <c r="D5">
        <f>TableBRE[[#This Row],[ARIMAPP]]*$I$2+TableBRE[[#This Row],[LSTMPP]]*$I$3</f>
        <v>23.956136853252115</v>
      </c>
      <c r="E5">
        <v>29</v>
      </c>
      <c r="F5">
        <f>ABS(TableBRE[[#This Row],[PP]]-TableBRE[[#This Row],[AP]])</f>
        <v>5.0438631467478849</v>
      </c>
      <c r="H5" t="s">
        <v>2</v>
      </c>
      <c r="I5">
        <f>SUM(ABS(TableBRE[[#This Row],[PP]]-TableBRE[[#This Row],[AP]]))</f>
        <v>5.0438631467478849</v>
      </c>
    </row>
    <row r="6" spans="1:9" x14ac:dyDescent="0.2">
      <c r="A6" t="s">
        <v>46</v>
      </c>
      <c r="B6">
        <v>30.74362731161575</v>
      </c>
      <c r="C6">
        <v>33.388800931504143</v>
      </c>
      <c r="D6">
        <f>TableBRE[[#This Row],[ARIMAPP]]*$I$2+TableBRE[[#This Row],[LSTMPP]]*$I$3</f>
        <v>33.701537886808566</v>
      </c>
      <c r="E6">
        <v>36</v>
      </c>
      <c r="F6">
        <f>ABS(TableBRE[[#This Row],[PP]]-TableBRE[[#This Row],[AP]])</f>
        <v>2.2984621131914338</v>
      </c>
    </row>
    <row r="7" spans="1:9" x14ac:dyDescent="0.2">
      <c r="A7" t="s">
        <v>47</v>
      </c>
      <c r="B7">
        <v>36.128526955182608</v>
      </c>
      <c r="C7">
        <v>24.86311301919314</v>
      </c>
      <c r="D7">
        <f>TableBRE[[#This Row],[ARIMAPP]]*$I$2+TableBRE[[#This Row],[LSTMPP]]*$I$3</f>
        <v>25.095995513740839</v>
      </c>
      <c r="E7">
        <v>20</v>
      </c>
      <c r="F7">
        <f>ABS(TableBRE[[#This Row],[PP]]-TableBRE[[#This Row],[AP]])</f>
        <v>5.0959955137408386</v>
      </c>
      <c r="H7" t="s">
        <v>3</v>
      </c>
      <c r="I7">
        <f>AVERAGE(TableBRE[DIFF])/10</f>
        <v>0.76479748173914386</v>
      </c>
    </row>
    <row r="8" spans="1:9" x14ac:dyDescent="0.2">
      <c r="A8" t="s">
        <v>48</v>
      </c>
      <c r="B8">
        <v>18.392857142857149</v>
      </c>
      <c r="C8">
        <v>19.699426276284829</v>
      </c>
      <c r="D8">
        <f>TableBRE[[#This Row],[ARIMAPP]]*$I$2+TableBRE[[#This Row],[LSTMPP]]*$I$3</f>
        <v>19.883941426282</v>
      </c>
      <c r="E8">
        <v>35</v>
      </c>
      <c r="F8">
        <f>ABS(TableBRE[[#This Row],[PP]]-TableBRE[[#This Row],[AP]])</f>
        <v>15.116058573718</v>
      </c>
    </row>
    <row r="9" spans="1:9" x14ac:dyDescent="0.2">
      <c r="A9" t="s">
        <v>49</v>
      </c>
      <c r="B9">
        <v>23.833333333333329</v>
      </c>
      <c r="C9">
        <v>16.463060882024909</v>
      </c>
      <c r="D9">
        <f>TableBRE[[#This Row],[ARIMAPP]]*$I$2+TableBRE[[#This Row],[LSTMPP]]*$I$3</f>
        <v>16.617263552363021</v>
      </c>
      <c r="E9">
        <v>22</v>
      </c>
      <c r="F9">
        <f>ABS(TableBRE[[#This Row],[PP]]-TableBRE[[#This Row],[AP]])</f>
        <v>5.3827364476369794</v>
      </c>
    </row>
    <row r="10" spans="1:9" x14ac:dyDescent="0.2">
      <c r="A10" t="s">
        <v>50</v>
      </c>
      <c r="B10">
        <v>25.151506107363431</v>
      </c>
      <c r="C10">
        <v>16.582990388644411</v>
      </c>
      <c r="D10">
        <f>TableBRE[[#This Row],[ARIMAPP]]*$I$2+TableBRE[[#This Row],[LSTMPP]]*$I$3</f>
        <v>16.738316526217428</v>
      </c>
      <c r="E10">
        <v>20</v>
      </c>
      <c r="F10">
        <f>ABS(TableBRE[[#This Row],[PP]]-TableBRE[[#This Row],[AP]])</f>
        <v>3.261683473782572</v>
      </c>
    </row>
    <row r="11" spans="1:9" x14ac:dyDescent="0.2">
      <c r="A11" t="s">
        <v>51</v>
      </c>
      <c r="B11">
        <v>15.601975833024341</v>
      </c>
      <c r="C11">
        <v>30.290564977478478</v>
      </c>
      <c r="D11">
        <f>TableBRE[[#This Row],[ARIMAPP]]*$I$2+TableBRE[[#This Row],[LSTMPP]]*$I$3</f>
        <v>30.574280762524072</v>
      </c>
      <c r="E11">
        <v>43</v>
      </c>
      <c r="F11">
        <f>ABS(TableBRE[[#This Row],[PP]]-TableBRE[[#This Row],[AP]])</f>
        <v>12.425719237475928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52</v>
      </c>
      <c r="B2">
        <v>31.016949152542349</v>
      </c>
      <c r="C2">
        <v>34.8864717960641</v>
      </c>
      <c r="D2">
        <f>TableBHA[[#This Row],[ARIMAPP]]*$I$2+TableBHA[[#This Row],[LSTMPP]]*$I$3</f>
        <v>41.866356019474544</v>
      </c>
      <c r="E2">
        <v>47</v>
      </c>
      <c r="F2">
        <f>ABS(TableBHA[[#This Row],[PP]]-TableBHA[[#This Row],[AP]])</f>
        <v>5.1336439805254557</v>
      </c>
      <c r="H2" t="s">
        <v>0</v>
      </c>
      <c r="I2">
        <v>1.3497896202999999</v>
      </c>
    </row>
    <row r="3" spans="1:9" x14ac:dyDescent="0.2">
      <c r="A3" t="s">
        <v>53</v>
      </c>
      <c r="B3">
        <v>35.182926829268311</v>
      </c>
      <c r="C3">
        <v>28.295829653298011</v>
      </c>
      <c r="D3">
        <f>TableBHA[[#This Row],[ARIMAPP]]*$I$2+TableBHA[[#This Row],[LSTMPP]]*$I$3</f>
        <v>47.489549445920751</v>
      </c>
      <c r="E3">
        <v>53</v>
      </c>
      <c r="F3">
        <f>ABS(TableBHA[[#This Row],[PP]]-TableBHA[[#This Row],[AP]])</f>
        <v>5.5104505540792488</v>
      </c>
      <c r="H3" t="s">
        <v>1</v>
      </c>
      <c r="I3">
        <v>0</v>
      </c>
    </row>
    <row r="4" spans="1:9" x14ac:dyDescent="0.2">
      <c r="A4" t="s">
        <v>54</v>
      </c>
      <c r="B4">
        <v>30.07602065676851</v>
      </c>
      <c r="C4">
        <v>34.028326209769133</v>
      </c>
      <c r="D4">
        <f>TableBHA[[#This Row],[ARIMAPP]]*$I$2+TableBHA[[#This Row],[LSTMPP]]*$I$3</f>
        <v>40.596300502434524</v>
      </c>
      <c r="E4">
        <v>30</v>
      </c>
      <c r="F4">
        <f>ABS(TableBHA[[#This Row],[PP]]-TableBHA[[#This Row],[AP]])</f>
        <v>10.596300502434524</v>
      </c>
    </row>
    <row r="5" spans="1:9" x14ac:dyDescent="0.2">
      <c r="A5" t="s">
        <v>55</v>
      </c>
      <c r="B5">
        <v>24.222222222222211</v>
      </c>
      <c r="C5">
        <v>21.522390279984979</v>
      </c>
      <c r="D5">
        <f>TableBHA[[#This Row],[ARIMAPP]]*$I$2+TableBHA[[#This Row],[LSTMPP]]*$I$3</f>
        <v>32.694904136155536</v>
      </c>
      <c r="E5">
        <v>38</v>
      </c>
      <c r="F5">
        <f>ABS(TableBHA[[#This Row],[PP]]-TableBHA[[#This Row],[AP]])</f>
        <v>5.3050958638444641</v>
      </c>
      <c r="H5" t="s">
        <v>2</v>
      </c>
      <c r="I5">
        <f>SUM(ABS(TableBHA[[#This Row],[PP]]-TableBHA[[#This Row],[AP]]))</f>
        <v>5.3050958638444641</v>
      </c>
    </row>
    <row r="6" spans="1:9" x14ac:dyDescent="0.2">
      <c r="A6" t="s">
        <v>56</v>
      </c>
      <c r="B6">
        <v>22.651626698486861</v>
      </c>
      <c r="C6">
        <v>12.75215327674117</v>
      </c>
      <c r="D6">
        <f>TableBHA[[#This Row],[ARIMAPP]]*$I$2+TableBHA[[#This Row],[LSTMPP]]*$I$3</f>
        <v>30.574930600527921</v>
      </c>
      <c r="E6">
        <v>24</v>
      </c>
      <c r="F6">
        <f>ABS(TableBHA[[#This Row],[PP]]-TableBHA[[#This Row],[AP]])</f>
        <v>6.5749306005279209</v>
      </c>
    </row>
    <row r="7" spans="1:9" x14ac:dyDescent="0.2">
      <c r="A7" t="s">
        <v>57</v>
      </c>
      <c r="B7">
        <v>20</v>
      </c>
      <c r="C7">
        <v>22.467409741669481</v>
      </c>
      <c r="D7">
        <f>TableBHA[[#This Row],[ARIMAPP]]*$I$2+TableBHA[[#This Row],[LSTMPP]]*$I$3</f>
        <v>26.995792406</v>
      </c>
      <c r="E7">
        <v>27</v>
      </c>
      <c r="F7">
        <f>ABS(TableBHA[[#This Row],[PP]]-TableBHA[[#This Row],[AP]])</f>
        <v>4.2075940000003698E-3</v>
      </c>
      <c r="H7" t="s">
        <v>3</v>
      </c>
      <c r="I7">
        <f>AVERAGE(TableBHA[DIFF])/10</f>
        <v>0.47974933067832903</v>
      </c>
    </row>
    <row r="8" spans="1:9" x14ac:dyDescent="0.2">
      <c r="A8" t="s">
        <v>58</v>
      </c>
      <c r="B8">
        <v>30.714285714285712</v>
      </c>
      <c r="C8">
        <v>34.394402792337011</v>
      </c>
      <c r="D8">
        <f>TableBHA[[#This Row],[ARIMAPP]]*$I$2+TableBHA[[#This Row],[LSTMPP]]*$I$3</f>
        <v>41.457824052071423</v>
      </c>
      <c r="E8">
        <v>41</v>
      </c>
      <c r="F8">
        <f>ABS(TableBHA[[#This Row],[PP]]-TableBHA[[#This Row],[AP]])</f>
        <v>0.45782405207142318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59</v>
      </c>
      <c r="B2">
        <v>15.22727272727273</v>
      </c>
      <c r="C2">
        <v>14.382607986615451</v>
      </c>
      <c r="D2">
        <f>TableBUR[[#This Row],[ARIMAPP]]*$I$2+TableBUR[[#This Row],[LSTMPP]]*$I$3</f>
        <v>16.520889876790758</v>
      </c>
      <c r="E2">
        <v>23</v>
      </c>
      <c r="F2">
        <f>ABS(TableBUR[[#This Row],[PP]]-TableBUR[[#This Row],[AP]])</f>
        <v>6.4791101232092423</v>
      </c>
      <c r="H2" t="s">
        <v>0</v>
      </c>
      <c r="I2">
        <v>1.0849539301</v>
      </c>
    </row>
    <row r="3" spans="1:9" x14ac:dyDescent="0.2">
      <c r="A3" t="s">
        <v>60</v>
      </c>
      <c r="B3">
        <v>19.333333333333339</v>
      </c>
      <c r="C3">
        <v>15.579247435816001</v>
      </c>
      <c r="D3">
        <f>TableBUR[[#This Row],[ARIMAPP]]*$I$2+TableBUR[[#This Row],[LSTMPP]]*$I$3</f>
        <v>20.975776509052974</v>
      </c>
      <c r="E3">
        <v>31</v>
      </c>
      <c r="F3">
        <f>ABS(TableBUR[[#This Row],[PP]]-TableBUR[[#This Row],[AP]])</f>
        <v>10.024223490947026</v>
      </c>
      <c r="H3" t="s">
        <v>1</v>
      </c>
      <c r="I3">
        <v>3.3834730287E-8</v>
      </c>
    </row>
    <row r="4" spans="1:9" x14ac:dyDescent="0.2">
      <c r="A4" t="s">
        <v>61</v>
      </c>
      <c r="B4">
        <v>32.307692307692328</v>
      </c>
      <c r="C4">
        <v>39.620892790379237</v>
      </c>
      <c r="D4">
        <f>TableBUR[[#This Row],[ARIMAPP]]*$I$2+TableBUR[[#This Row],[LSTMPP]]*$I$3</f>
        <v>35.052359082254547</v>
      </c>
      <c r="E4">
        <v>26</v>
      </c>
      <c r="F4">
        <f>ABS(TableBUR[[#This Row],[PP]]-TableBUR[[#This Row],[AP]])</f>
        <v>9.0523590822545472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0.85185642321369381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62</v>
      </c>
      <c r="B2">
        <v>43.789272876530347</v>
      </c>
      <c r="C2">
        <v>57.447619353602327</v>
      </c>
      <c r="D2">
        <f>TableCHE[[#This Row],[ARIMAPP]]*$I$2+TableCHE[[#This Row],[LSTMPP]]*$I$3</f>
        <v>45.31619801250303</v>
      </c>
      <c r="E2">
        <v>30</v>
      </c>
      <c r="F2">
        <f>ABS(TableCHE[[#This Row],[PP]]-TableCHE[[#This Row],[AP]])</f>
        <v>15.31619801250303</v>
      </c>
      <c r="H2" t="s">
        <v>0</v>
      </c>
      <c r="I2">
        <v>1.0348698445</v>
      </c>
    </row>
    <row r="3" spans="1:9" x14ac:dyDescent="0.2">
      <c r="A3" t="s">
        <v>63</v>
      </c>
      <c r="B3">
        <v>28.49622051212231</v>
      </c>
      <c r="C3">
        <v>27.556834399942272</v>
      </c>
      <c r="D3">
        <f>TableCHE[[#This Row],[ARIMAPP]]*$I$2+TableCHE[[#This Row],[LSTMPP]]*$I$3</f>
        <v>29.489879290217726</v>
      </c>
      <c r="E3">
        <v>43</v>
      </c>
      <c r="F3">
        <f>ABS(TableCHE[[#This Row],[PP]]-TableCHE[[#This Row],[AP]])</f>
        <v>13.510120709782274</v>
      </c>
      <c r="H3" t="s">
        <v>1</v>
      </c>
      <c r="I3">
        <v>0</v>
      </c>
    </row>
    <row r="4" spans="1:9" x14ac:dyDescent="0.2">
      <c r="A4" t="s">
        <v>64</v>
      </c>
      <c r="B4">
        <v>86.827705084411548</v>
      </c>
      <c r="C4">
        <v>37.10520631109739</v>
      </c>
      <c r="D4">
        <f>TableCHE[[#This Row],[ARIMAPP]]*$I$2+TableCHE[[#This Row],[LSTMPP]]*$I$3</f>
        <v>89.855373658996839</v>
      </c>
      <c r="E4">
        <v>90</v>
      </c>
      <c r="F4">
        <f>ABS(TableCHE[[#This Row],[PP]]-TableCHE[[#This Row],[AP]])</f>
        <v>0.14462634100316052</v>
      </c>
    </row>
    <row r="5" spans="1:9" x14ac:dyDescent="0.2">
      <c r="A5" t="s">
        <v>65</v>
      </c>
      <c r="B5">
        <v>27.449462900348301</v>
      </c>
      <c r="C5">
        <v>33.434005616163127</v>
      </c>
      <c r="D5">
        <f>TableCHE[[#This Row],[ARIMAPP]]*$I$2+TableCHE[[#This Row],[LSTMPP]]*$I$3</f>
        <v>28.406621403291965</v>
      </c>
      <c r="E5">
        <v>37</v>
      </c>
      <c r="F5">
        <f>ABS(TableCHE[[#This Row],[PP]]-TableCHE[[#This Row],[AP]])</f>
        <v>8.5933785967080354</v>
      </c>
      <c r="H5" t="s">
        <v>2</v>
      </c>
      <c r="I5">
        <f>SUM(ABS(TableCHE[[#This Row],[PP]]-TableCHE[[#This Row],[AP]]))</f>
        <v>8.5933785967080354</v>
      </c>
    </row>
    <row r="6" spans="1:9" x14ac:dyDescent="0.2">
      <c r="A6" t="s">
        <v>66</v>
      </c>
      <c r="B6">
        <v>28.275862068965509</v>
      </c>
      <c r="C6">
        <v>16.788704331125469</v>
      </c>
      <c r="D6">
        <f>TableCHE[[#This Row],[ARIMAPP]]*$I$2+TableCHE[[#This Row],[LSTMPP]]*$I$3</f>
        <v>29.261836982413783</v>
      </c>
      <c r="E6">
        <v>23</v>
      </c>
      <c r="F6">
        <f>ABS(TableCHE[[#This Row],[PP]]-TableCHE[[#This Row],[AP]])</f>
        <v>6.2618369824137829</v>
      </c>
    </row>
    <row r="7" spans="1:9" x14ac:dyDescent="0.2">
      <c r="A7" t="s">
        <v>67</v>
      </c>
      <c r="B7">
        <v>24.07407407407408</v>
      </c>
      <c r="C7">
        <v>26.894970280054579</v>
      </c>
      <c r="D7">
        <f>TableCHE[[#This Row],[ARIMAPP]]*$I$2+TableCHE[[#This Row],[LSTMPP]]*$I$3</f>
        <v>24.913533293518523</v>
      </c>
      <c r="E7">
        <v>33</v>
      </c>
      <c r="F7">
        <f>ABS(TableCHE[[#This Row],[PP]]-TableCHE[[#This Row],[AP]])</f>
        <v>8.0864667064814775</v>
      </c>
      <c r="H7" t="s">
        <v>3</v>
      </c>
      <c r="I7">
        <f>AVERAGE(TableCHE[DIFF])/10</f>
        <v>0.7146620000471986</v>
      </c>
    </row>
    <row r="8" spans="1:9" x14ac:dyDescent="0.2">
      <c r="A8" t="s">
        <v>68</v>
      </c>
      <c r="B8">
        <v>25.757575757575751</v>
      </c>
      <c r="C8">
        <v>24.15546542617135</v>
      </c>
      <c r="D8">
        <f>TableCHE[[#This Row],[ARIMAPP]]*$I$2+TableCHE[[#This Row],[LSTMPP]]*$I$3</f>
        <v>26.655738418939386</v>
      </c>
      <c r="E8">
        <v>30</v>
      </c>
      <c r="F8">
        <f>ABS(TableCHE[[#This Row],[PP]]-TableCHE[[#This Row],[AP]])</f>
        <v>3.3442615810606142</v>
      </c>
    </row>
    <row r="9" spans="1:9" x14ac:dyDescent="0.2">
      <c r="A9" t="s">
        <v>69</v>
      </c>
      <c r="B9">
        <v>34.705882352941167</v>
      </c>
      <c r="C9">
        <v>32.250726933292469</v>
      </c>
      <c r="D9">
        <f>TableCHE[[#This Row],[ARIMAPP]]*$I$2+TableCHE[[#This Row],[LSTMPP]]*$I$3</f>
        <v>35.916071073823517</v>
      </c>
      <c r="E9">
        <v>34</v>
      </c>
      <c r="F9">
        <f>ABS(TableCHE[[#This Row],[PP]]-TableCHE[[#This Row],[AP]])</f>
        <v>1.9160710738235167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70</v>
      </c>
      <c r="B2">
        <v>27.745664739884429</v>
      </c>
      <c r="C2">
        <v>26.128369621232089</v>
      </c>
      <c r="D2">
        <f>TableCRY[[#This Row],[ARIMAPP]]*$I$2+TableCRY[[#This Row],[LSTMPP]]*$I$3</f>
        <v>32.100796947052068</v>
      </c>
      <c r="E2">
        <v>38</v>
      </c>
      <c r="F2">
        <f>ABS(TableCRY[[#This Row],[PP]]-TableCRY[[#This Row],[AP]])</f>
        <v>5.8992030529479322</v>
      </c>
      <c r="H2" t="s">
        <v>0</v>
      </c>
      <c r="I2">
        <v>1.1569662233</v>
      </c>
    </row>
    <row r="3" spans="1:9" x14ac:dyDescent="0.2">
      <c r="A3" t="s">
        <v>71</v>
      </c>
      <c r="B3">
        <v>36.373626373626358</v>
      </c>
      <c r="C3">
        <v>33.070137226719567</v>
      </c>
      <c r="D3">
        <f>TableCRY[[#This Row],[ARIMAPP]]*$I$2+TableCRY[[#This Row],[LSTMPP]]*$I$3</f>
        <v>42.083057133219761</v>
      </c>
      <c r="E3">
        <v>46</v>
      </c>
      <c r="F3">
        <f>ABS(TableCRY[[#This Row],[PP]]-TableCRY[[#This Row],[AP]])</f>
        <v>3.9169428667802393</v>
      </c>
      <c r="H3" t="s">
        <v>1</v>
      </c>
      <c r="I3">
        <v>0</v>
      </c>
    </row>
    <row r="4" spans="1:9" x14ac:dyDescent="0.2">
      <c r="A4" t="s">
        <v>72</v>
      </c>
      <c r="B4">
        <v>37.454545454545453</v>
      </c>
      <c r="C4">
        <v>43.9571841272288</v>
      </c>
      <c r="D4">
        <f>TableCRY[[#This Row],[ARIMAPP]]*$I$2+TableCRY[[#This Row],[LSTMPP]]*$I$3</f>
        <v>43.333643999963634</v>
      </c>
      <c r="E4">
        <v>28</v>
      </c>
      <c r="F4">
        <f>ABS(TableCRY[[#This Row],[PP]]-TableCRY[[#This Row],[AP]])</f>
        <v>15.333643999963634</v>
      </c>
    </row>
    <row r="5" spans="1:9" x14ac:dyDescent="0.2">
      <c r="A5" t="s">
        <v>73</v>
      </c>
      <c r="B5">
        <v>22.32876712328769</v>
      </c>
      <c r="C5">
        <v>21.230907352280411</v>
      </c>
      <c r="D5">
        <f>TableCRY[[#This Row],[ARIMAPP]]*$I$2+TableCRY[[#This Row],[LSTMPP]]*$I$3</f>
        <v>25.833629369575362</v>
      </c>
      <c r="E5">
        <v>47</v>
      </c>
      <c r="F5">
        <f>ABS(TableCRY[[#This Row],[PP]]-TableCRY[[#This Row],[AP]])</f>
        <v>21.166370630424638</v>
      </c>
      <c r="H5" t="s">
        <v>2</v>
      </c>
      <c r="I5">
        <f>SUM(ABS(TableCRY[[#This Row],[PP]]-TableCRY[[#This Row],[AP]]))</f>
        <v>21.166370630424638</v>
      </c>
    </row>
    <row r="6" spans="1:9" x14ac:dyDescent="0.2">
      <c r="A6" t="s">
        <v>74</v>
      </c>
      <c r="B6">
        <v>26.53846153846154</v>
      </c>
      <c r="C6">
        <v>29.7132957893004</v>
      </c>
      <c r="D6">
        <f>TableCRY[[#This Row],[ARIMAPP]]*$I$2+TableCRY[[#This Row],[LSTMPP]]*$I$3</f>
        <v>30.704103618346156</v>
      </c>
      <c r="E6">
        <v>23</v>
      </c>
      <c r="F6">
        <f>ABS(TableCRY[[#This Row],[PP]]-TableCRY[[#This Row],[AP]])</f>
        <v>7.7041036183461564</v>
      </c>
    </row>
    <row r="7" spans="1:9" x14ac:dyDescent="0.2">
      <c r="H7" t="s">
        <v>3</v>
      </c>
      <c r="I7">
        <f>AVERAGE(TableCRY[DIFF])/10</f>
        <v>1.0804052833692519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75</v>
      </c>
      <c r="B2">
        <v>32.037037037037067</v>
      </c>
      <c r="C2">
        <v>23.212043311462089</v>
      </c>
      <c r="D2">
        <f>TableEVE[[#This Row],[ARIMAPP]]*$I$2+TableEVE[[#This Row],[LSTMPP]]*$I$3</f>
        <v>29.446429329775345</v>
      </c>
      <c r="E2">
        <v>28</v>
      </c>
      <c r="F2">
        <f>ABS(TableEVE[[#This Row],[PP]]-TableEVE[[#This Row],[AP]])</f>
        <v>1.446429329775345</v>
      </c>
      <c r="H2" t="s">
        <v>0</v>
      </c>
      <c r="I2">
        <v>0.73901283431999998</v>
      </c>
    </row>
    <row r="3" spans="1:9" x14ac:dyDescent="0.2">
      <c r="A3" t="s">
        <v>76</v>
      </c>
      <c r="B3">
        <v>35.440414507772068</v>
      </c>
      <c r="C3">
        <v>35.389172702577852</v>
      </c>
      <c r="D3">
        <f>TableEVE[[#This Row],[ARIMAPP]]*$I$2+TableEVE[[#This Row],[LSTMPP]]*$I$3</f>
        <v>34.988873529075228</v>
      </c>
      <c r="E3">
        <v>36</v>
      </c>
      <c r="F3">
        <f>ABS(TableEVE[[#This Row],[PP]]-TableEVE[[#This Row],[AP]])</f>
        <v>1.011126470924772</v>
      </c>
      <c r="H3" t="s">
        <v>1</v>
      </c>
      <c r="I3">
        <v>0.24860576505000001</v>
      </c>
    </row>
    <row r="4" spans="1:9" x14ac:dyDescent="0.2">
      <c r="A4" t="s">
        <v>77</v>
      </c>
      <c r="B4">
        <v>23.333333333333329</v>
      </c>
      <c r="C4">
        <v>23.404131203900349</v>
      </c>
      <c r="D4">
        <f>TableEVE[[#This Row],[ARIMAPP]]*$I$2+TableEVE[[#This Row],[LSTMPP]]*$I$3</f>
        <v>23.062034744076222</v>
      </c>
      <c r="E4">
        <v>30</v>
      </c>
      <c r="F4">
        <f>ABS(TableEVE[[#This Row],[PP]]-TableEVE[[#This Row],[AP]])</f>
        <v>6.9379652559237783</v>
      </c>
    </row>
    <row r="5" spans="1:9" x14ac:dyDescent="0.2">
      <c r="A5" t="s">
        <v>78</v>
      </c>
      <c r="B5">
        <v>33.900186556609818</v>
      </c>
      <c r="C5">
        <v>35.001780002424717</v>
      </c>
      <c r="D5">
        <f>TableEVE[[#This Row],[ARIMAPP]]*$I$2+TableEVE[[#This Row],[LSTMPP]]*$I$3</f>
        <v>33.754317246791572</v>
      </c>
      <c r="E5">
        <v>32</v>
      </c>
      <c r="F5">
        <f>ABS(TableEVE[[#This Row],[PP]]-TableEVE[[#This Row],[AP]])</f>
        <v>1.7543172467915724</v>
      </c>
      <c r="H5" t="s">
        <v>2</v>
      </c>
      <c r="I5">
        <f>SUM(ABS(TableEVE[[#This Row],[PP]]-TableEVE[[#This Row],[AP]]))</f>
        <v>1.7543172467915724</v>
      </c>
    </row>
    <row r="6" spans="1:9" x14ac:dyDescent="0.2">
      <c r="A6" t="s">
        <v>79</v>
      </c>
      <c r="B6">
        <v>31.63841807909602</v>
      </c>
      <c r="C6">
        <v>27.680089324801841</v>
      </c>
      <c r="D6">
        <f>TableEVE[[#This Row],[ARIMAPP]]*$I$2+TableEVE[[#This Row],[LSTMPP]]*$I$3</f>
        <v>30.262626801278579</v>
      </c>
      <c r="E6">
        <v>30</v>
      </c>
      <c r="F6">
        <f>ABS(TableEVE[[#This Row],[PP]]-TableEVE[[#This Row],[AP]])</f>
        <v>0.26262680127857863</v>
      </c>
    </row>
    <row r="7" spans="1:9" x14ac:dyDescent="0.2">
      <c r="A7" t="s">
        <v>80</v>
      </c>
      <c r="B7">
        <v>21.210270811460202</v>
      </c>
      <c r="C7">
        <v>20.87350522191716</v>
      </c>
      <c r="D7">
        <f>TableEVE[[#This Row],[ARIMAPP]]*$I$2+TableEVE[[#This Row],[LSTMPP]]*$I$3</f>
        <v>20.863936084041853</v>
      </c>
      <c r="E7">
        <v>23</v>
      </c>
      <c r="F7">
        <f>ABS(TableEVE[[#This Row],[PP]]-TableEVE[[#This Row],[AP]])</f>
        <v>2.1360639159581467</v>
      </c>
      <c r="H7" t="s">
        <v>3</v>
      </c>
      <c r="I7">
        <f>AVERAGE(TableEVE[DIFF])/10</f>
        <v>0.40371572558221125</v>
      </c>
    </row>
    <row r="8" spans="1:9" x14ac:dyDescent="0.2">
      <c r="A8" t="s">
        <v>81</v>
      </c>
      <c r="B8">
        <v>24.642857142857139</v>
      </c>
      <c r="C8">
        <v>25.614521717819159</v>
      </c>
      <c r="D8">
        <f>TableEVE[[#This Row],[ARIMAPP]]*$I$2+TableEVE[[#This Row],[LSTMPP]]*$I$3</f>
        <v>24.579305470933985</v>
      </c>
      <c r="E8">
        <v>36</v>
      </c>
      <c r="F8">
        <f>ABS(TableEVE[[#This Row],[PP]]-TableEVE[[#This Row],[AP]])</f>
        <v>11.420694529066015</v>
      </c>
    </row>
    <row r="9" spans="1:9" x14ac:dyDescent="0.2">
      <c r="A9" t="s">
        <v>82</v>
      </c>
      <c r="B9">
        <v>39.478260869565183</v>
      </c>
      <c r="C9">
        <v>40.092460564951928</v>
      </c>
      <c r="D9">
        <f>TableEVE[[#This Row],[ARIMAPP]]*$I$2+TableEVE[[#This Row],[LSTMPP]]*$I$3</f>
        <v>39.142158290728545</v>
      </c>
      <c r="E9">
        <v>27</v>
      </c>
      <c r="F9">
        <f>ABS(TableEVE[[#This Row],[PP]]-TableEVE[[#This Row],[AP]])</f>
        <v>12.142158290728545</v>
      </c>
    </row>
    <row r="10" spans="1:9" x14ac:dyDescent="0.2">
      <c r="A10" t="s">
        <v>83</v>
      </c>
      <c r="B10">
        <v>28.911562169248651</v>
      </c>
      <c r="C10">
        <v>23.590690235380588</v>
      </c>
      <c r="D10">
        <f>TableEVE[[#This Row],[ARIMAPP]]*$I$2+TableEVE[[#This Row],[LSTMPP]]*$I$3</f>
        <v>27.230797097339689</v>
      </c>
      <c r="E10">
        <v>30</v>
      </c>
      <c r="F10">
        <f>ABS(TableEVE[[#This Row],[PP]]-TableEVE[[#This Row],[AP]])</f>
        <v>2.7692029026603109</v>
      </c>
    </row>
    <row r="11" spans="1:9" x14ac:dyDescent="0.2">
      <c r="A11" t="s">
        <v>84</v>
      </c>
      <c r="B11">
        <v>22.5183503463475</v>
      </c>
      <c r="C11">
        <v>23.529775748653911</v>
      </c>
      <c r="D11">
        <f>TableEVE[[#This Row],[ARIMAPP]]*$I$2+TableEVE[[#This Row],[LSTMPP]]*$I$3</f>
        <v>22.49098781511406</v>
      </c>
      <c r="E11">
        <v>22</v>
      </c>
      <c r="F11">
        <f>ABS(TableEVE[[#This Row],[PP]]-TableEVE[[#This Row],[AP]])</f>
        <v>0.49098781511406031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2024-04-12T16:44:35Z</dcterms:created>
  <dcterms:modified xsi:type="dcterms:W3CDTF">2024-04-12T17:00:38Z</dcterms:modified>
</cp:coreProperties>
</file>