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3FCF3E76-4950-1A47-9948-EC9638BD1A2D}" xr6:coauthVersionLast="47" xr6:coauthVersionMax="47" xr10:uidLastSave="{00000000-0000-0000-0000-000000000000}"/>
  <bookViews>
    <workbookView xWindow="240" yWindow="760" windowWidth="27440" windowHeight="18440" xr2:uid="{00000000-000D-0000-FFFF-FFFF00000000}"/>
  </bookViews>
  <sheets>
    <sheet name="Sheet1" sheetId="1" r:id="rId1"/>
  </sheets>
  <definedNames>
    <definedName name="solver_adj" localSheetId="0" hidden="1">Sheet1!$AJ$2:$AJ$190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Sheet1!$AJ$2:$AJ$190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M30" i="1"/>
  <c r="AH37" i="1"/>
  <c r="AM29" i="1"/>
  <c r="AH36" i="1"/>
  <c r="AM28" i="1"/>
  <c r="AH35" i="1"/>
  <c r="AM27" i="1"/>
  <c r="AH34" i="1"/>
  <c r="AM26" i="1"/>
  <c r="AH33" i="1"/>
  <c r="AM25" i="1"/>
  <c r="AH32" i="1"/>
  <c r="AM24" i="1"/>
  <c r="AH31" i="1"/>
  <c r="AM23" i="1"/>
  <c r="AH30" i="1"/>
  <c r="AM22" i="1"/>
  <c r="AH29" i="1"/>
  <c r="AM21" i="1"/>
  <c r="AH28" i="1"/>
  <c r="AM20" i="1"/>
  <c r="AH27" i="1"/>
  <c r="AM19" i="1"/>
  <c r="AH26" i="1"/>
  <c r="AM18" i="1"/>
  <c r="AH25" i="1"/>
  <c r="AM17" i="1"/>
  <c r="AH24" i="1"/>
  <c r="AM16" i="1"/>
  <c r="AH23" i="1"/>
  <c r="AM15" i="1"/>
  <c r="AH22" i="1"/>
  <c r="AM14" i="1"/>
  <c r="AH21" i="1"/>
  <c r="AM13" i="1"/>
  <c r="AH20" i="1"/>
  <c r="AM12" i="1"/>
  <c r="AH19" i="1"/>
  <c r="AM11" i="1"/>
  <c r="AH18" i="1"/>
  <c r="AH17" i="1"/>
  <c r="AH16" i="1"/>
  <c r="AH15" i="1"/>
  <c r="AH14" i="1"/>
  <c r="AH13" i="1"/>
  <c r="AH12" i="1"/>
  <c r="AH11" i="1"/>
  <c r="AH10" i="1"/>
  <c r="AM9" i="1"/>
  <c r="AH9" i="1"/>
  <c r="AM8" i="1"/>
  <c r="AH8" i="1"/>
  <c r="AM7" i="1"/>
  <c r="AH7" i="1"/>
  <c r="AM6" i="1"/>
  <c r="AH6" i="1"/>
  <c r="AH5" i="1"/>
  <c r="AM4" i="1"/>
  <c r="AH4" i="1"/>
  <c r="AH3" i="1"/>
  <c r="AH2" i="1"/>
</calcChain>
</file>

<file path=xl/sharedStrings.xml><?xml version="1.0" encoding="utf-8"?>
<sst xmlns="http://schemas.openxmlformats.org/spreadsheetml/2006/main" count="1008" uniqueCount="438">
  <si>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</si>
  <si>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</si>
  <si>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</si>
  <si>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</si>
  <si>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</si>
  <si>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</si>
  <si>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</si>
  <si>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</si>
  <si>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</si>
  <si>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</si>
  <si>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</si>
  <si>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</si>
  <si>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</si>
  <si>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</si>
  <si>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</si>
  <si>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</si>
  <si>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</si>
  <si>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</si>
  <si>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</si>
  <si>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</si>
  <si>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</si>
  <si>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</si>
  <si>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</si>
  <si>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</si>
  <si>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</si>
  <si>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</si>
  <si>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</si>
  <si>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</si>
  <si>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</si>
  <si>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</si>
  <si>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</si>
  <si>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</si>
  <si>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</si>
  <si>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</si>
  <si>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</si>
  <si>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</si>
  <si>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</si>
  <si>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</si>
  <si>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</si>
  <si>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</si>
  <si>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</si>
  <si>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</si>
  <si>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</si>
  <si>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</si>
  <si>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</si>
  <si>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Jorge Luiz</t>
  </si>
  <si>
    <t>Frello Filho</t>
  </si>
  <si>
    <t>Jorginho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</si>
  <si>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</si>
  <si>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</si>
  <si>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</si>
  <si>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</si>
  <si>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</si>
  <si>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</si>
  <si>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</si>
  <si>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</si>
  <si>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</si>
  <si>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</si>
  <si>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</si>
  <si>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</si>
  <si>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</si>
  <si>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</si>
  <si>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</si>
  <si>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</si>
  <si>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</si>
  <si>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</si>
  <si>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</si>
  <si>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</si>
  <si>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</si>
  <si>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Douglas Luiz</t>
  </si>
  <si>
    <t>Soares de Paulo</t>
  </si>
  <si>
    <t>Boubacar</t>
  </si>
  <si>
    <t>Kamara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</si>
  <si>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</si>
  <si>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</si>
  <si>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</si>
  <si>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</si>
  <si>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</si>
  <si>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</si>
  <si>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</si>
  <si>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</si>
  <si>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</si>
  <si>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</si>
  <si>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</si>
  <si>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</si>
  <si>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</si>
  <si>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</si>
  <si>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</si>
  <si>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</si>
  <si>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Nicolò</t>
  </si>
  <si>
    <t>Zaniolo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</si>
  <si>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</si>
  <si>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</si>
  <si>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</si>
  <si>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</si>
  <si>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</si>
  <si>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</si>
  <si>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</si>
  <si>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</si>
  <si>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</si>
  <si>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</si>
  <si>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</si>
  <si>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</si>
  <si>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</si>
  <si>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</si>
  <si>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</si>
  <si>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</si>
  <si>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</si>
  <si>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</si>
  <si>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</si>
  <si>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</si>
  <si>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</si>
  <si>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</si>
  <si>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</si>
  <si>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</si>
  <si>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</si>
  <si>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</si>
  <si>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</si>
  <si>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</si>
  <si>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</si>
  <si>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</si>
  <si>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</si>
  <si>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</si>
  <si>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</si>
  <si>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</si>
  <si>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</si>
  <si>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</si>
  <si>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Christian</t>
  </si>
  <si>
    <t>Nørgaard</t>
  </si>
  <si>
    <t>Frank</t>
  </si>
  <si>
    <t>Onyeka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</si>
  <si>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</si>
  <si>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</si>
  <si>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</si>
  <si>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</si>
  <si>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</si>
  <si>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</si>
  <si>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</si>
  <si>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</si>
  <si>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</si>
  <si>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</si>
  <si>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</si>
  <si>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Dunk</t>
  </si>
  <si>
    <t>Billy</t>
  </si>
  <si>
    <t>Gilmour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</si>
  <si>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</si>
  <si>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</si>
  <si>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</si>
  <si>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</si>
  <si>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</si>
  <si>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</si>
  <si>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</si>
  <si>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</si>
  <si>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Danny</t>
  </si>
  <si>
    <t>Welbeck</t>
  </si>
  <si>
    <t>Josh</t>
  </si>
  <si>
    <t>Brownhill</t>
  </si>
  <si>
    <t>Dara</t>
  </si>
  <si>
    <t>O'Shea</t>
  </si>
  <si>
    <t>Charlie</t>
  </si>
  <si>
    <t>Taylor</t>
  </si>
  <si>
    <t>Sander</t>
  </si>
  <si>
    <t>Berge</t>
  </si>
  <si>
    <t>Jacob</t>
  </si>
  <si>
    <t>Bruun Larsen</t>
  </si>
  <si>
    <t>Wilson</t>
  </si>
  <si>
    <t>Odobert</t>
  </si>
  <si>
    <t>Moisés</t>
  </si>
  <si>
    <t>Caicedo Corozo</t>
  </si>
  <si>
    <t>Caicedo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</si>
  <si>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</si>
  <si>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</si>
  <si>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</si>
  <si>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</si>
  <si>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</si>
  <si>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</si>
  <si>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</si>
  <si>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</si>
  <si>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</si>
  <si>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</si>
  <si>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</si>
  <si>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</si>
  <si>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</si>
  <si>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</si>
  <si>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</si>
  <si>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</si>
  <si>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</si>
  <si>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</si>
  <si>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</si>
  <si>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</si>
  <si>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</si>
  <si>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</si>
  <si>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</si>
  <si>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</si>
  <si>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</si>
  <si>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</si>
  <si>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</si>
  <si>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</si>
  <si>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</si>
  <si>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</si>
  <si>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</si>
  <si>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</si>
  <si>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</si>
  <si>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</si>
  <si>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</si>
  <si>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</si>
  <si>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</si>
  <si>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</si>
  <si>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</si>
  <si>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</si>
  <si>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Jeffrey</t>
  </si>
  <si>
    <t>Schlupp</t>
  </si>
  <si>
    <t>Jarrad</t>
  </si>
  <si>
    <t>Branthwaite</t>
  </si>
  <si>
    <t>Calvert-Lewin</t>
  </si>
  <si>
    <t>Abdoulaye</t>
  </si>
  <si>
    <t>Doucouré</t>
  </si>
  <si>
    <t>A.Doucoure</t>
  </si>
  <si>
    <t>James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</si>
  <si>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</si>
  <si>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</si>
  <si>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</si>
  <si>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</si>
  <si>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</si>
  <si>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</si>
  <si>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</si>
  <si>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</si>
  <si>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</si>
  <si>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Ashley</t>
  </si>
  <si>
    <t>Young</t>
  </si>
  <si>
    <t>Norberto Bercique</t>
  </si>
  <si>
    <t>Gomes Betuncal</t>
  </si>
  <si>
    <t>Beto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</si>
  <si>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</si>
  <si>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</si>
  <si>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</si>
  <si>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</si>
  <si>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</si>
  <si>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</si>
  <si>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</si>
  <si>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</si>
  <si>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</si>
  <si>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</si>
  <si>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</si>
  <si>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Harrison</t>
  </si>
  <si>
    <t>Reed</t>
  </si>
  <si>
    <t>Antonee</t>
  </si>
  <si>
    <t>Robinson</t>
  </si>
  <si>
    <t>Harry</t>
  </si>
  <si>
    <t>Willian</t>
  </si>
  <si>
    <t>Borges da Silva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</si>
  <si>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</si>
  <si>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</si>
  <si>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</si>
  <si>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</si>
  <si>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</si>
  <si>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</si>
  <si>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</si>
  <si>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</si>
  <si>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</si>
  <si>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</si>
  <si>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</si>
  <si>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Harvey</t>
  </si>
  <si>
    <t>Elliott</t>
  </si>
  <si>
    <t>Cody</t>
  </si>
  <si>
    <t>Gakpo</t>
  </si>
  <si>
    <t>Joe</t>
  </si>
  <si>
    <t>Gomez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</si>
  <si>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</si>
  <si>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</si>
  <si>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</si>
  <si>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</si>
  <si>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</si>
  <si>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</si>
  <si>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</si>
  <si>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</si>
  <si>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</si>
  <si>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</si>
  <si>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</si>
  <si>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</si>
  <si>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</si>
  <si>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</si>
  <si>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</si>
  <si>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</si>
  <si>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</si>
  <si>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</si>
  <si>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</si>
  <si>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</si>
  <si>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</si>
  <si>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</si>
  <si>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</si>
  <si>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</si>
  <si>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</si>
  <si>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</si>
  <si>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</si>
  <si>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</si>
  <si>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</si>
  <si>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</si>
  <si>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</si>
  <si>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</si>
  <si>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</si>
  <si>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</si>
  <si>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</si>
  <si>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</si>
  <si>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</si>
  <si>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</si>
  <si>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</si>
  <si>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</si>
  <si>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</si>
  <si>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</si>
  <si>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Antony Matheus</t>
  </si>
  <si>
    <t>dos Santos</t>
  </si>
  <si>
    <t>Antony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</si>
  <si>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</si>
  <si>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</si>
  <si>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</si>
  <si>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</si>
  <si>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</si>
  <si>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</si>
  <si>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</si>
  <si>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</si>
  <si>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Scott</t>
  </si>
  <si>
    <t>McTominay</t>
  </si>
  <si>
    <t>Raphaël</t>
  </si>
  <si>
    <t>Varane</t>
  </si>
  <si>
    <t>R.Varane</t>
  </si>
  <si>
    <t>Rashford</t>
  </si>
  <si>
    <t>André</t>
  </si>
  <si>
    <t>Rasmus</t>
  </si>
  <si>
    <t>Højlund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</si>
  <si>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</si>
  <si>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</si>
  <si>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</si>
  <si>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</si>
  <si>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</si>
  <si>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</si>
  <si>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</si>
  <si>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</si>
  <si>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</si>
  <si>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</si>
  <si>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</si>
  <si>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</si>
  <si>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</si>
  <si>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</si>
  <si>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</si>
  <si>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</si>
  <si>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Elanga</t>
  </si>
  <si>
    <t>Danilo</t>
  </si>
  <si>
    <t>dos Santos de Oliveira</t>
  </si>
  <si>
    <t>Morgan</t>
  </si>
  <si>
    <t>Gibbs-White</t>
  </si>
  <si>
    <t>Orel</t>
  </si>
  <si>
    <t>Mangala</t>
  </si>
  <si>
    <t>Neco</t>
  </si>
  <si>
    <t>Williams</t>
  </si>
  <si>
    <t>Chris</t>
  </si>
  <si>
    <t>Wood</t>
  </si>
  <si>
    <t>Yates</t>
  </si>
  <si>
    <t>Murillo</t>
  </si>
  <si>
    <t>Santiago Costa dos Santos</t>
  </si>
  <si>
    <t>Cameron</t>
  </si>
  <si>
    <t>Archer</t>
  </si>
  <si>
    <t>Jayden</t>
  </si>
  <si>
    <t>Bogle</t>
  </si>
  <si>
    <t>Oliver</t>
  </si>
  <si>
    <t>Norwood</t>
  </si>
  <si>
    <t>Jack</t>
  </si>
  <si>
    <t>Gustavo</t>
  </si>
  <si>
    <t>Hamer</t>
  </si>
  <si>
    <t>Brennan</t>
  </si>
  <si>
    <t>Johnson</t>
  </si>
  <si>
    <t>Yves</t>
  </si>
  <si>
    <t>Bissouma</t>
  </si>
  <si>
    <t>Dejan</t>
  </si>
  <si>
    <t>Kulusevski</t>
  </si>
  <si>
    <t>Maddison</t>
  </si>
  <si>
    <t>Pedro</t>
  </si>
  <si>
    <t>Porro</t>
  </si>
  <si>
    <t>Pedro Porro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</si>
  <si>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</si>
  <si>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</si>
  <si>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</si>
  <si>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</si>
  <si>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</si>
  <si>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</si>
  <si>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</si>
  <si>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</si>
  <si>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</si>
  <si>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</si>
  <si>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</si>
  <si>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</si>
  <si>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</si>
  <si>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</si>
  <si>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</si>
  <si>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</si>
  <si>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</si>
  <si>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</si>
  <si>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</si>
  <si>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</si>
  <si>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</si>
  <si>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</si>
  <si>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</si>
  <si>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</si>
  <si>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</si>
  <si>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</si>
  <si>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</si>
  <si>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</si>
  <si>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</si>
  <si>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</si>
  <si>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</si>
  <si>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</si>
  <si>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</si>
  <si>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</si>
  <si>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</si>
  <si>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</si>
  <si>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</si>
  <si>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</si>
  <si>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</si>
  <si>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</si>
  <si>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</si>
  <si>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</si>
  <si>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</si>
  <si>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</si>
  <si>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</si>
  <si>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</si>
  <si>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</si>
  <si>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</si>
  <si>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</si>
  <si>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</si>
  <si>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Nélson</t>
  </si>
  <si>
    <t>Cabral Semedo</t>
  </si>
  <si>
    <t>N.Semedo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</si>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</sst>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90" totalsRowShown="0">
  <autoFilter ref="A1:AJ190" xr:uid="{00000000-0009-0000-0100-000001000000}">
    <filterColumn colId="35">
      <filters>
        <filter val="1"/>
      </filters>
    </filterColumn>
  </autoFilter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0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hidden="1" x14ac:dyDescent="0.2">
      <c r="A2" t="s">
        <v>39</v>
      </c>
      <c r="B2" t="s">
        <v>40</v>
      </c>
      <c r="C2" t="s">
        <v>39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8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5.4</v>
      </c>
      <c r="AE2">
        <v>4</v>
      </c>
      <c r="AF2">
        <v>27.469747239831491</v>
      </c>
      <c r="AG2">
        <v>0</v>
      </c>
      <c r="AH2">
        <f>6.15073443870702*1</f>
        <v>6.15073443870702</v>
      </c>
      <c r="AI2">
        <v>1</v>
      </c>
      <c r="AJ2">
        <v>0</v>
      </c>
      <c r="AL2" t="s">
        <v>0</v>
      </c>
      <c r="AM2">
        <f>SUMPRODUCT(Table1[Selected], Table1[NEXT])</f>
        <v>107.20918054758407</v>
      </c>
      <c r="AN2" t="s">
        <v>1</v>
      </c>
    </row>
    <row r="3" spans="1:40" x14ac:dyDescent="0.2">
      <c r="A3" t="s">
        <v>41</v>
      </c>
      <c r="B3" t="s">
        <v>42</v>
      </c>
      <c r="C3" s="1" t="s">
        <v>42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7.3</v>
      </c>
      <c r="AE3">
        <v>5</v>
      </c>
      <c r="AF3">
        <v>27.270621148655628</v>
      </c>
      <c r="AG3">
        <v>0</v>
      </c>
      <c r="AH3">
        <f>8.04601616269709*1</f>
        <v>8.0460161626970894</v>
      </c>
      <c r="AI3">
        <v>1</v>
      </c>
      <c r="AJ3">
        <v>1</v>
      </c>
    </row>
    <row r="4" spans="1:40" hidden="1" x14ac:dyDescent="0.2">
      <c r="A4" t="s">
        <v>39</v>
      </c>
      <c r="B4" t="s">
        <v>43</v>
      </c>
      <c r="C4" t="s">
        <v>44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8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26.944099378881969</v>
      </c>
      <c r="AG4">
        <v>0</v>
      </c>
      <c r="AH4">
        <f>6.04657002481117*1</f>
        <v>6.04657002481117</v>
      </c>
      <c r="AI4">
        <v>1</v>
      </c>
      <c r="AJ4">
        <v>0</v>
      </c>
      <c r="AL4" t="s">
        <v>2</v>
      </c>
      <c r="AM4">
        <f>SUMPRODUCT(Table1[Selected],Table1[Cost])</f>
        <v>99.5</v>
      </c>
      <c r="AN4">
        <v>100</v>
      </c>
    </row>
    <row r="5" spans="1:40" hidden="1" x14ac:dyDescent="0.2">
      <c r="A5" t="s">
        <v>45</v>
      </c>
      <c r="B5" t="s">
        <v>46</v>
      </c>
      <c r="C5" t="s">
        <v>47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8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5.3</v>
      </c>
      <c r="AE5">
        <v>7</v>
      </c>
      <c r="AF5">
        <v>22.311598245347131</v>
      </c>
      <c r="AG5">
        <v>0</v>
      </c>
      <c r="AH5">
        <f>4.55624061088245*1</f>
        <v>4.5562406108824502</v>
      </c>
      <c r="AI5">
        <v>1</v>
      </c>
      <c r="AJ5">
        <v>0</v>
      </c>
    </row>
    <row r="6" spans="1:40" hidden="1" x14ac:dyDescent="0.2">
      <c r="A6" t="s">
        <v>39</v>
      </c>
      <c r="B6" t="s">
        <v>48</v>
      </c>
      <c r="C6" t="s">
        <v>49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8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7.6</v>
      </c>
      <c r="AE6">
        <v>10</v>
      </c>
      <c r="AF6">
        <v>29.709677419354829</v>
      </c>
      <c r="AG6">
        <v>0</v>
      </c>
      <c r="AH6">
        <f>6.66719797921612*1</f>
        <v>6.6671979792161196</v>
      </c>
      <c r="AI6">
        <v>1</v>
      </c>
      <c r="AJ6">
        <v>0</v>
      </c>
      <c r="AL6" t="s">
        <v>3</v>
      </c>
      <c r="AM6">
        <f>SUMPRODUCT(Table1[Selected],Table1[GKP])</f>
        <v>2</v>
      </c>
      <c r="AN6">
        <v>2</v>
      </c>
    </row>
    <row r="7" spans="1:40" hidden="1" x14ac:dyDescent="0.2">
      <c r="A7" t="s">
        <v>50</v>
      </c>
      <c r="B7" t="s">
        <v>51</v>
      </c>
      <c r="C7" t="s">
        <v>51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8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8.6</v>
      </c>
      <c r="AE7">
        <v>12</v>
      </c>
      <c r="AF7">
        <v>33.788930922676911</v>
      </c>
      <c r="AG7">
        <v>0</v>
      </c>
      <c r="AH7">
        <f>7.58263002279467*1</f>
        <v>7.5826300227946701</v>
      </c>
      <c r="AI7">
        <v>1</v>
      </c>
      <c r="AJ7">
        <v>0</v>
      </c>
      <c r="AL7" t="s">
        <v>4</v>
      </c>
      <c r="AM7">
        <f>SUMPRODUCT(Table1[Selected],Table1[DEF])</f>
        <v>5</v>
      </c>
      <c r="AN7">
        <v>5</v>
      </c>
    </row>
    <row r="8" spans="1:40" x14ac:dyDescent="0.2">
      <c r="A8" t="s">
        <v>52</v>
      </c>
      <c r="B8" t="s">
        <v>53</v>
      </c>
      <c r="C8" s="1" t="s">
        <v>53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8.9</v>
      </c>
      <c r="AE8">
        <v>17</v>
      </c>
      <c r="AF8">
        <v>41.401001334140282</v>
      </c>
      <c r="AG8">
        <v>0</v>
      </c>
      <c r="AH8">
        <f>9.78669820213242*1</f>
        <v>9.7866982021324205</v>
      </c>
      <c r="AI8">
        <v>1</v>
      </c>
      <c r="AJ8">
        <v>1</v>
      </c>
      <c r="AL8" t="s">
        <v>5</v>
      </c>
      <c r="AM8">
        <f>SUMPRODUCT(Table1[Selected],Table1[MID])</f>
        <v>5</v>
      </c>
      <c r="AN8">
        <v>5</v>
      </c>
    </row>
    <row r="9" spans="1:40" x14ac:dyDescent="0.2">
      <c r="A9" t="s">
        <v>54</v>
      </c>
      <c r="B9" t="s">
        <v>55</v>
      </c>
      <c r="C9" s="1" t="s">
        <v>55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5.8</v>
      </c>
      <c r="AE9">
        <v>18</v>
      </c>
      <c r="AF9">
        <v>29.142857142857149</v>
      </c>
      <c r="AG9">
        <v>0</v>
      </c>
      <c r="AH9">
        <f>6.53999690097142*1</f>
        <v>6.5399969009714196</v>
      </c>
      <c r="AI9">
        <v>1</v>
      </c>
      <c r="AJ9">
        <v>1</v>
      </c>
      <c r="AL9" t="s">
        <v>6</v>
      </c>
      <c r="AM9">
        <f>SUMPRODUCT(Table1[Selected],Table1[FWD])</f>
        <v>3</v>
      </c>
      <c r="AN9">
        <v>3</v>
      </c>
    </row>
    <row r="10" spans="1:40" hidden="1" x14ac:dyDescent="0.2">
      <c r="A10" t="s">
        <v>56</v>
      </c>
      <c r="B10" t="s">
        <v>57</v>
      </c>
      <c r="C10" t="s">
        <v>57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22</v>
      </c>
      <c r="AF10">
        <v>24.14778662085223</v>
      </c>
      <c r="AG10">
        <v>0</v>
      </c>
      <c r="AH10">
        <f>5.7249213819835*1</f>
        <v>5.7249213819835001</v>
      </c>
      <c r="AI10">
        <v>1</v>
      </c>
      <c r="AJ10">
        <v>0</v>
      </c>
    </row>
    <row r="11" spans="1:40" x14ac:dyDescent="0.2">
      <c r="A11" t="s">
        <v>58</v>
      </c>
      <c r="B11" t="s">
        <v>59</v>
      </c>
      <c r="C11" s="1" t="s">
        <v>59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8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5.9</v>
      </c>
      <c r="AE11">
        <v>23</v>
      </c>
      <c r="AF11">
        <v>30.636887364413958</v>
      </c>
      <c r="AG11">
        <v>0</v>
      </c>
      <c r="AH11">
        <f>7.7209307031171*1</f>
        <v>7.7209307031170997</v>
      </c>
      <c r="AI11">
        <v>1</v>
      </c>
      <c r="AJ11">
        <v>1</v>
      </c>
      <c r="AL11" t="s">
        <v>8</v>
      </c>
      <c r="AM11">
        <f>SUMPRODUCT(Table1[Selected],Table1[ARS])</f>
        <v>5</v>
      </c>
      <c r="AN11">
        <v>5</v>
      </c>
    </row>
    <row r="12" spans="1:40" hidden="1" x14ac:dyDescent="0.2">
      <c r="A12" t="s">
        <v>60</v>
      </c>
      <c r="B12" t="s">
        <v>61</v>
      </c>
      <c r="C12" t="s">
        <v>61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25</v>
      </c>
      <c r="AF12">
        <v>22.339285714285712</v>
      </c>
      <c r="AG12">
        <v>0</v>
      </c>
      <c r="AH12">
        <f>5.01319615386964*1</f>
        <v>5.0131961538696403</v>
      </c>
      <c r="AI12">
        <v>1</v>
      </c>
      <c r="AJ12">
        <v>0</v>
      </c>
      <c r="AL12" t="s">
        <v>9</v>
      </c>
      <c r="AM12">
        <f>SUMPRODUCT(Table1[Selected],Table1[AVL])</f>
        <v>2</v>
      </c>
      <c r="AN12">
        <v>5</v>
      </c>
    </row>
    <row r="13" spans="1:40" x14ac:dyDescent="0.2">
      <c r="A13" t="s">
        <v>62</v>
      </c>
      <c r="B13" t="s">
        <v>63</v>
      </c>
      <c r="C13" s="1" t="s">
        <v>64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8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5.0999999999999996</v>
      </c>
      <c r="AE13">
        <v>26</v>
      </c>
      <c r="AF13">
        <v>25.976470588235291</v>
      </c>
      <c r="AG13">
        <v>0</v>
      </c>
      <c r="AH13">
        <f>5.82942284321882*1</f>
        <v>5.8294228432188202</v>
      </c>
      <c r="AI13">
        <v>1</v>
      </c>
      <c r="AJ13">
        <v>1</v>
      </c>
      <c r="AL13" t="s">
        <v>10</v>
      </c>
      <c r="AM13">
        <f>SUMPRODUCT(Table1[Selected],Table1[BOU])</f>
        <v>1</v>
      </c>
      <c r="AN13">
        <v>5</v>
      </c>
    </row>
    <row r="14" spans="1:40" hidden="1" x14ac:dyDescent="0.2">
      <c r="A14" t="s">
        <v>65</v>
      </c>
      <c r="B14" t="s">
        <v>66</v>
      </c>
      <c r="C14" t="s">
        <v>66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8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5.5</v>
      </c>
      <c r="AE14">
        <v>27</v>
      </c>
      <c r="AF14">
        <v>25.426987182456429</v>
      </c>
      <c r="AG14">
        <v>0</v>
      </c>
      <c r="AH14">
        <f>5.9419188072256*1</f>
        <v>5.9419188072256004</v>
      </c>
      <c r="AI14">
        <v>1</v>
      </c>
      <c r="AJ14">
        <v>0</v>
      </c>
      <c r="AL14" t="s">
        <v>11</v>
      </c>
      <c r="AM14">
        <f>SUMPRODUCT(Table1[Selected],Table1[BRE])</f>
        <v>0</v>
      </c>
      <c r="AN14">
        <v>5</v>
      </c>
    </row>
    <row r="15" spans="1:40" hidden="1" x14ac:dyDescent="0.2">
      <c r="A15" t="s">
        <v>67</v>
      </c>
      <c r="B15" t="s">
        <v>68</v>
      </c>
      <c r="C15" t="s">
        <v>68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5.6</v>
      </c>
      <c r="AE15">
        <v>39</v>
      </c>
      <c r="AF15">
        <v>18.999999999999989</v>
      </c>
      <c r="AG15">
        <v>0</v>
      </c>
      <c r="AH15">
        <f>4.12799208051999*1</f>
        <v>4.1279920805199897</v>
      </c>
      <c r="AI15">
        <v>1</v>
      </c>
      <c r="AJ15">
        <v>0</v>
      </c>
      <c r="AL15" t="s">
        <v>12</v>
      </c>
      <c r="AM15">
        <f>SUMPRODUCT(Table1[Selected],Table1[BHA])</f>
        <v>0</v>
      </c>
      <c r="AN15">
        <v>5</v>
      </c>
    </row>
    <row r="16" spans="1:40" hidden="1" x14ac:dyDescent="0.2">
      <c r="A16" t="s">
        <v>69</v>
      </c>
      <c r="B16" t="s">
        <v>70</v>
      </c>
      <c r="C16" t="s">
        <v>69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5.6</v>
      </c>
      <c r="AE16">
        <v>48</v>
      </c>
      <c r="AF16">
        <v>28.36532848890074</v>
      </c>
      <c r="AG16">
        <v>0</v>
      </c>
      <c r="AH16">
        <f>6.31726255155544*1</f>
        <v>6.3172625515554399</v>
      </c>
      <c r="AI16">
        <v>1</v>
      </c>
      <c r="AJ16">
        <v>0</v>
      </c>
      <c r="AL16" t="s">
        <v>13</v>
      </c>
      <c r="AM16">
        <f>SUMPRODUCT(Table1[Selected],Table1[BUR])</f>
        <v>0</v>
      </c>
      <c r="AN16">
        <v>5</v>
      </c>
    </row>
    <row r="17" spans="1:40" hidden="1" x14ac:dyDescent="0.2">
      <c r="A17" t="s">
        <v>71</v>
      </c>
      <c r="B17" t="s">
        <v>72</v>
      </c>
      <c r="C17" t="s">
        <v>72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52</v>
      </c>
      <c r="AF17">
        <v>15.11363636363636</v>
      </c>
      <c r="AG17">
        <v>0</v>
      </c>
      <c r="AH17">
        <f>3.28363006405*1</f>
        <v>3.28363006405</v>
      </c>
      <c r="AI17">
        <v>1</v>
      </c>
      <c r="AJ17">
        <v>0</v>
      </c>
      <c r="AL17" t="s">
        <v>14</v>
      </c>
      <c r="AM17">
        <f>SUMPRODUCT(Table1[Selected],Table1[CHE])</f>
        <v>1</v>
      </c>
      <c r="AN17">
        <v>5</v>
      </c>
    </row>
    <row r="18" spans="1:40" x14ac:dyDescent="0.2">
      <c r="A18" t="s">
        <v>73</v>
      </c>
      <c r="B18" t="s">
        <v>74</v>
      </c>
      <c r="C18" s="1" t="s">
        <v>75</v>
      </c>
      <c r="D18" t="s">
        <v>4</v>
      </c>
      <c r="E18">
        <v>0</v>
      </c>
      <c r="F18">
        <v>1</v>
      </c>
      <c r="G18">
        <v>0</v>
      </c>
      <c r="H18">
        <v>0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4.5</v>
      </c>
      <c r="AE18">
        <v>53</v>
      </c>
      <c r="AF18">
        <v>18.500364546697501</v>
      </c>
      <c r="AG18">
        <v>0</v>
      </c>
      <c r="AH18">
        <f>5.80826923311461*1</f>
        <v>5.8082692331146104</v>
      </c>
      <c r="AI18">
        <v>1</v>
      </c>
      <c r="AJ18">
        <v>1</v>
      </c>
      <c r="AL18" t="s">
        <v>15</v>
      </c>
      <c r="AM18">
        <f>SUMPRODUCT(Table1[Selected],Table1[CRY])</f>
        <v>0</v>
      </c>
      <c r="AN18">
        <v>5</v>
      </c>
    </row>
    <row r="19" spans="1:40" hidden="1" x14ac:dyDescent="0.2">
      <c r="A19" t="s">
        <v>76</v>
      </c>
      <c r="B19" t="s">
        <v>77</v>
      </c>
      <c r="C19" t="s">
        <v>78</v>
      </c>
      <c r="D19" t="s">
        <v>3</v>
      </c>
      <c r="E19">
        <v>1</v>
      </c>
      <c r="F19">
        <v>0</v>
      </c>
      <c r="G19">
        <v>0</v>
      </c>
      <c r="H19">
        <v>0</v>
      </c>
      <c r="I19" t="s">
        <v>9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5.3</v>
      </c>
      <c r="AE19">
        <v>54</v>
      </c>
      <c r="AF19">
        <v>20.580274047080572</v>
      </c>
      <c r="AG19">
        <v>0</v>
      </c>
      <c r="AH19">
        <f>3.518437254321*1</f>
        <v>3.5184372543209999</v>
      </c>
      <c r="AI19">
        <v>1</v>
      </c>
      <c r="AJ19">
        <v>0</v>
      </c>
      <c r="AL19" t="s">
        <v>16</v>
      </c>
      <c r="AM19">
        <f>SUMPRODUCT(Table1[Selected],Table1[EVE])</f>
        <v>0</v>
      </c>
      <c r="AN19">
        <v>5</v>
      </c>
    </row>
    <row r="20" spans="1:40" hidden="1" x14ac:dyDescent="0.2">
      <c r="A20" t="s">
        <v>79</v>
      </c>
      <c r="B20" t="s">
        <v>80</v>
      </c>
      <c r="C20" t="s">
        <v>80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55</v>
      </c>
      <c r="AF20">
        <v>20.064102564102551</v>
      </c>
      <c r="AG20">
        <v>0</v>
      </c>
      <c r="AH20">
        <f>4.35918192038717*1</f>
        <v>4.3591819203871696</v>
      </c>
      <c r="AI20">
        <v>1</v>
      </c>
      <c r="AJ20">
        <v>0</v>
      </c>
      <c r="AL20" t="s">
        <v>17</v>
      </c>
      <c r="AM20">
        <f>SUMPRODUCT(Table1[Selected],Table1[FUL])</f>
        <v>0</v>
      </c>
      <c r="AN20">
        <v>5</v>
      </c>
    </row>
    <row r="21" spans="1:40" hidden="1" x14ac:dyDescent="0.2">
      <c r="A21" t="s">
        <v>81</v>
      </c>
      <c r="B21" t="s">
        <v>82</v>
      </c>
      <c r="C21" t="s">
        <v>82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5.6</v>
      </c>
      <c r="AE21">
        <v>62</v>
      </c>
      <c r="AF21">
        <v>15.36482412266313</v>
      </c>
      <c r="AG21">
        <v>0</v>
      </c>
      <c r="AH21">
        <f>3.33820380510189*1</f>
        <v>3.3382038051018901</v>
      </c>
      <c r="AI21">
        <v>1</v>
      </c>
      <c r="AJ21">
        <v>0</v>
      </c>
      <c r="AL21" t="s">
        <v>18</v>
      </c>
      <c r="AM21">
        <f>SUMPRODUCT(Table1[Selected],Table1[LIV])</f>
        <v>1</v>
      </c>
      <c r="AN21">
        <v>5</v>
      </c>
    </row>
    <row r="22" spans="1:40" x14ac:dyDescent="0.2">
      <c r="A22" t="s">
        <v>83</v>
      </c>
      <c r="B22" t="s">
        <v>84</v>
      </c>
      <c r="C22" s="1" t="s">
        <v>84</v>
      </c>
      <c r="D22" t="s">
        <v>6</v>
      </c>
      <c r="E22">
        <v>0</v>
      </c>
      <c r="F22">
        <v>0</v>
      </c>
      <c r="G22">
        <v>0</v>
      </c>
      <c r="H22">
        <v>1</v>
      </c>
      <c r="I22" t="s">
        <v>9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8.8000000000000007</v>
      </c>
      <c r="AE22">
        <v>64</v>
      </c>
      <c r="AF22">
        <v>33.10257992208544</v>
      </c>
      <c r="AG22">
        <v>0</v>
      </c>
      <c r="AH22">
        <f>7.19195725069205*1</f>
        <v>7.1919572506920497</v>
      </c>
      <c r="AI22">
        <v>1</v>
      </c>
      <c r="AJ22">
        <v>1</v>
      </c>
      <c r="AL22" t="s">
        <v>19</v>
      </c>
      <c r="AM22">
        <f>SUMPRODUCT(Table1[Selected],Table1[LUT])</f>
        <v>0</v>
      </c>
      <c r="AN22">
        <v>5</v>
      </c>
    </row>
    <row r="23" spans="1:40" hidden="1" x14ac:dyDescent="0.2">
      <c r="A23" t="s">
        <v>85</v>
      </c>
      <c r="B23" t="s">
        <v>86</v>
      </c>
      <c r="C23" t="s">
        <v>85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9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66</v>
      </c>
      <c r="AF23">
        <v>16.041666666666671</v>
      </c>
      <c r="AG23">
        <v>0</v>
      </c>
      <c r="AH23">
        <f>3.48525647149166*1</f>
        <v>3.4852564714916601</v>
      </c>
      <c r="AI23">
        <v>1</v>
      </c>
      <c r="AJ23">
        <v>0</v>
      </c>
      <c r="AL23" t="s">
        <v>20</v>
      </c>
      <c r="AM23">
        <f>SUMPRODUCT(Table1[Selected],Table1[MCI])</f>
        <v>0</v>
      </c>
      <c r="AN23">
        <v>5</v>
      </c>
    </row>
    <row r="24" spans="1:40" hidden="1" x14ac:dyDescent="0.2">
      <c r="A24" t="s">
        <v>87</v>
      </c>
      <c r="B24" t="s">
        <v>88</v>
      </c>
      <c r="C24" t="s">
        <v>88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9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6.3</v>
      </c>
      <c r="AE24">
        <v>67</v>
      </c>
      <c r="AF24">
        <v>19.21875</v>
      </c>
      <c r="AG24">
        <v>0</v>
      </c>
      <c r="AH24">
        <f>4.17551830513125*1</f>
        <v>4.1755183051312503</v>
      </c>
      <c r="AI24">
        <v>1</v>
      </c>
      <c r="AJ24">
        <v>0</v>
      </c>
      <c r="AL24" t="s">
        <v>21</v>
      </c>
      <c r="AM24">
        <f>SUMPRODUCT(Table1[Selected],Table1[MUN])</f>
        <v>1</v>
      </c>
      <c r="AN24">
        <v>5</v>
      </c>
    </row>
    <row r="25" spans="1:40" hidden="1" x14ac:dyDescent="0.2">
      <c r="A25" t="s">
        <v>89</v>
      </c>
      <c r="B25" t="s">
        <v>90</v>
      </c>
      <c r="C25" t="s">
        <v>90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9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5.4</v>
      </c>
      <c r="AE25">
        <v>70</v>
      </c>
      <c r="AF25">
        <v>13.90790032227812</v>
      </c>
      <c r="AG25">
        <v>0</v>
      </c>
      <c r="AH25">
        <f>3.74917609937325*1</f>
        <v>3.7491760993732499</v>
      </c>
      <c r="AI25">
        <v>1</v>
      </c>
      <c r="AJ25">
        <v>0</v>
      </c>
      <c r="AL25" t="s">
        <v>22</v>
      </c>
      <c r="AM25">
        <f>SUMPRODUCT(Table1[Selected],Table1[NEW])</f>
        <v>1</v>
      </c>
      <c r="AN25">
        <v>5</v>
      </c>
    </row>
    <row r="26" spans="1:40" hidden="1" x14ac:dyDescent="0.2">
      <c r="A26" t="s">
        <v>91</v>
      </c>
      <c r="B26" t="s">
        <v>92</v>
      </c>
      <c r="C26" t="s">
        <v>92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82</v>
      </c>
      <c r="AF26">
        <v>15.1</v>
      </c>
      <c r="AG26">
        <v>15.89100406409373</v>
      </c>
      <c r="AH26">
        <f>2.69469357268797*1</f>
        <v>2.6946935726879699</v>
      </c>
      <c r="AI26">
        <v>1</v>
      </c>
      <c r="AJ26">
        <v>0</v>
      </c>
      <c r="AL26" t="s">
        <v>23</v>
      </c>
      <c r="AM26">
        <f>SUMPRODUCT(Table1[Selected],Table1[NFO])</f>
        <v>3</v>
      </c>
      <c r="AN26">
        <v>5</v>
      </c>
    </row>
    <row r="27" spans="1:40" hidden="1" x14ac:dyDescent="0.2">
      <c r="A27" t="s">
        <v>93</v>
      </c>
      <c r="B27" t="s">
        <v>94</v>
      </c>
      <c r="C27" t="s">
        <v>95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83</v>
      </c>
      <c r="AF27">
        <v>15.354838709677409</v>
      </c>
      <c r="AG27">
        <v>12.20500382770746</v>
      </c>
      <c r="AH27">
        <f>2.61839348743831*1</f>
        <v>2.6183934874383099</v>
      </c>
      <c r="AI27">
        <v>1</v>
      </c>
      <c r="AJ27">
        <v>0</v>
      </c>
      <c r="AL27" t="s">
        <v>24</v>
      </c>
      <c r="AM27">
        <f>SUMPRODUCT(Table1[Selected],Table1[SHU])</f>
        <v>0</v>
      </c>
      <c r="AN27">
        <v>5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89</v>
      </c>
      <c r="AF28">
        <v>28.401979134147251</v>
      </c>
      <c r="AG28">
        <v>27.490436454522559</v>
      </c>
      <c r="AH28">
        <f>3.99186505848276*1</f>
        <v>3.9918650584827602</v>
      </c>
      <c r="AI28">
        <v>1</v>
      </c>
      <c r="AJ28">
        <v>0</v>
      </c>
      <c r="AL28" t="s">
        <v>25</v>
      </c>
      <c r="AM28">
        <f>SUMPRODUCT(Table1[Selected],Table1[TOT])</f>
        <v>0</v>
      </c>
      <c r="AN28">
        <v>5</v>
      </c>
    </row>
    <row r="29" spans="1:40" hidden="1" x14ac:dyDescent="0.2">
      <c r="A29" t="s">
        <v>98</v>
      </c>
      <c r="B29" t="s">
        <v>99</v>
      </c>
      <c r="C29" t="s">
        <v>100</v>
      </c>
      <c r="D29" t="s">
        <v>3</v>
      </c>
      <c r="E29">
        <v>1</v>
      </c>
      <c r="F29">
        <v>0</v>
      </c>
      <c r="G29">
        <v>0</v>
      </c>
      <c r="H29">
        <v>0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4.7</v>
      </c>
      <c r="AE29">
        <v>94</v>
      </c>
      <c r="AF29">
        <v>21.161775816794229</v>
      </c>
      <c r="AG29">
        <v>28.17015309436389</v>
      </c>
      <c r="AH29">
        <f>2.30815648592114*1</f>
        <v>2.3081564859211401</v>
      </c>
      <c r="AI29">
        <v>1</v>
      </c>
      <c r="AJ29">
        <v>0</v>
      </c>
      <c r="AL29" t="s">
        <v>26</v>
      </c>
      <c r="AM29">
        <f>SUMPRODUCT(Table1[Selected],Table1[WHU])</f>
        <v>0</v>
      </c>
      <c r="AN29">
        <v>5</v>
      </c>
    </row>
    <row r="30" spans="1:40" hidden="1" x14ac:dyDescent="0.2">
      <c r="A30" t="s">
        <v>101</v>
      </c>
      <c r="B30" t="s">
        <v>102</v>
      </c>
      <c r="C30" t="s">
        <v>102</v>
      </c>
      <c r="D30" t="s">
        <v>6</v>
      </c>
      <c r="E30">
        <v>0</v>
      </c>
      <c r="F30">
        <v>0</v>
      </c>
      <c r="G30">
        <v>0</v>
      </c>
      <c r="H30">
        <v>1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99</v>
      </c>
      <c r="AF30">
        <v>20.833333333333329</v>
      </c>
      <c r="AG30">
        <v>17.819067810597389</v>
      </c>
      <c r="AH30">
        <f>3.53228627027811*1</f>
        <v>3.5322862702781102</v>
      </c>
      <c r="AI30">
        <v>1</v>
      </c>
      <c r="AJ30">
        <v>0</v>
      </c>
      <c r="AL30" t="s">
        <v>27</v>
      </c>
      <c r="AM30">
        <f>SUMPRODUCT(Table1[Selected],Table1[WOL])</f>
        <v>0</v>
      </c>
      <c r="AN30">
        <v>5</v>
      </c>
    </row>
    <row r="31" spans="1:40" hidden="1" x14ac:dyDescent="0.2">
      <c r="A31" t="s">
        <v>103</v>
      </c>
      <c r="B31" t="s">
        <v>104</v>
      </c>
      <c r="C31" t="s">
        <v>104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100</v>
      </c>
      <c r="AF31">
        <v>21.287593535436571</v>
      </c>
      <c r="AG31">
        <v>21.094010877518361</v>
      </c>
      <c r="AH31">
        <f>3.40004737855897*1</f>
        <v>3.4000473785589702</v>
      </c>
      <c r="AI31">
        <v>1</v>
      </c>
      <c r="AJ31">
        <v>0</v>
      </c>
    </row>
    <row r="32" spans="1:40" hidden="1" x14ac:dyDescent="0.2">
      <c r="A32" t="s">
        <v>105</v>
      </c>
      <c r="B32" t="s">
        <v>106</v>
      </c>
      <c r="C32" t="s">
        <v>106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101</v>
      </c>
      <c r="AF32">
        <v>20.377358490566049</v>
      </c>
      <c r="AG32">
        <v>20.26983963040303</v>
      </c>
      <c r="AH32">
        <f>3.66020360752719*1</f>
        <v>3.66020360752719</v>
      </c>
      <c r="AI32">
        <v>1</v>
      </c>
      <c r="AJ32">
        <v>0</v>
      </c>
    </row>
    <row r="33" spans="1:36" x14ac:dyDescent="0.2">
      <c r="A33" t="s">
        <v>107</v>
      </c>
      <c r="B33" t="s">
        <v>108</v>
      </c>
      <c r="C33" s="1" t="s">
        <v>108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10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7.3</v>
      </c>
      <c r="AE33">
        <v>102</v>
      </c>
      <c r="AF33">
        <v>35.427447634961062</v>
      </c>
      <c r="AG33">
        <v>17.466795850082871</v>
      </c>
      <c r="AH33">
        <f>6.56673502361566*1</f>
        <v>6.5667350236156601</v>
      </c>
      <c r="AI33">
        <v>1</v>
      </c>
      <c r="AJ33">
        <v>1</v>
      </c>
    </row>
    <row r="34" spans="1:36" hidden="1" x14ac:dyDescent="0.2">
      <c r="A34" t="s">
        <v>109</v>
      </c>
      <c r="B34" t="s">
        <v>110</v>
      </c>
      <c r="C34" t="s">
        <v>110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5.2</v>
      </c>
      <c r="AE34">
        <v>103</v>
      </c>
      <c r="AF34">
        <v>19.429771713975558</v>
      </c>
      <c r="AG34">
        <v>28.268120673274449</v>
      </c>
      <c r="AH34">
        <f>5.15913192483649*1</f>
        <v>5.1591319248364904</v>
      </c>
      <c r="AI34">
        <v>1</v>
      </c>
      <c r="AJ34">
        <v>0</v>
      </c>
    </row>
    <row r="35" spans="1:36" hidden="1" x14ac:dyDescent="0.2">
      <c r="A35" t="s">
        <v>111</v>
      </c>
      <c r="B35" t="s">
        <v>112</v>
      </c>
      <c r="C35" t="s">
        <v>112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106</v>
      </c>
      <c r="AF35">
        <v>13.756776918395911</v>
      </c>
      <c r="AG35">
        <v>13.50277537954989</v>
      </c>
      <c r="AH35">
        <f>0.91549344691418*1</f>
        <v>0.91549344691418</v>
      </c>
      <c r="AI35">
        <v>1</v>
      </c>
      <c r="AJ35">
        <v>0</v>
      </c>
    </row>
    <row r="36" spans="1:36" hidden="1" x14ac:dyDescent="0.2">
      <c r="A36" t="s">
        <v>113</v>
      </c>
      <c r="B36" t="s">
        <v>114</v>
      </c>
      <c r="C36" t="s">
        <v>114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4.4000000000000004</v>
      </c>
      <c r="AE36">
        <v>107</v>
      </c>
      <c r="AF36">
        <v>15.75</v>
      </c>
      <c r="AG36">
        <v>13.19485192051391</v>
      </c>
      <c r="AH36">
        <f>2.62558372535974*1</f>
        <v>2.6255837253597401</v>
      </c>
      <c r="AI36">
        <v>1</v>
      </c>
      <c r="AJ36">
        <v>0</v>
      </c>
    </row>
    <row r="37" spans="1:36" hidden="1" x14ac:dyDescent="0.2">
      <c r="A37" t="s">
        <v>115</v>
      </c>
      <c r="B37" t="s">
        <v>116</v>
      </c>
      <c r="C37" t="s">
        <v>116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118</v>
      </c>
      <c r="AF37">
        <v>0</v>
      </c>
      <c r="AG37">
        <v>22.432908012808792</v>
      </c>
      <c r="AH37">
        <f>4.46103481168908*1</f>
        <v>4.4610348116890801</v>
      </c>
      <c r="AI37">
        <v>1</v>
      </c>
      <c r="AJ37">
        <v>0</v>
      </c>
    </row>
    <row r="38" spans="1:36" hidden="1" x14ac:dyDescent="0.2">
      <c r="A38" t="s">
        <v>117</v>
      </c>
      <c r="B38" t="s">
        <v>118</v>
      </c>
      <c r="C38" t="s">
        <v>118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124</v>
      </c>
      <c r="AF38">
        <v>0</v>
      </c>
      <c r="AG38">
        <v>15.53011944181028</v>
      </c>
      <c r="AH38">
        <f>2.53360872827232*1</f>
        <v>2.5336087282723199</v>
      </c>
      <c r="AI38">
        <v>1</v>
      </c>
      <c r="AJ38">
        <v>0</v>
      </c>
    </row>
    <row r="39" spans="1:36" hidden="1" x14ac:dyDescent="0.2">
      <c r="A39" t="s">
        <v>119</v>
      </c>
      <c r="B39" t="s">
        <v>120</v>
      </c>
      <c r="C39" t="s">
        <v>120</v>
      </c>
      <c r="D39" t="s">
        <v>3</v>
      </c>
      <c r="E39">
        <v>1</v>
      </c>
      <c r="F39">
        <v>0</v>
      </c>
      <c r="G39">
        <v>0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4.5999999999999996</v>
      </c>
      <c r="AE39">
        <v>129</v>
      </c>
      <c r="AF39">
        <v>0</v>
      </c>
      <c r="AG39">
        <v>8.8735505195538131</v>
      </c>
      <c r="AH39">
        <f>2.09870576536713*1</f>
        <v>2.0987057653671299</v>
      </c>
      <c r="AI39">
        <v>1</v>
      </c>
      <c r="AJ39">
        <v>0</v>
      </c>
    </row>
    <row r="40" spans="1:36" hidden="1" x14ac:dyDescent="0.2">
      <c r="A40" t="s">
        <v>121</v>
      </c>
      <c r="B40" t="s">
        <v>122</v>
      </c>
      <c r="C40" t="s">
        <v>122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5.3</v>
      </c>
      <c r="AE40">
        <v>133</v>
      </c>
      <c r="AF40">
        <v>0</v>
      </c>
      <c r="AG40">
        <v>14.668993087881841</v>
      </c>
      <c r="AH40">
        <f>3.15271163532939*1</f>
        <v>3.15271163532939</v>
      </c>
      <c r="AI40">
        <v>1</v>
      </c>
      <c r="AJ40">
        <v>0</v>
      </c>
    </row>
    <row r="41" spans="1:36" hidden="1" x14ac:dyDescent="0.2">
      <c r="A41" t="s">
        <v>123</v>
      </c>
      <c r="B41" t="s">
        <v>124</v>
      </c>
      <c r="C41" t="s">
        <v>124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5.3</v>
      </c>
      <c r="AE41">
        <v>134</v>
      </c>
      <c r="AF41">
        <v>0</v>
      </c>
      <c r="AG41">
        <v>17.882202842715429</v>
      </c>
      <c r="AH41">
        <f>3.59603354666259*1</f>
        <v>3.5960335466625901</v>
      </c>
      <c r="AI41">
        <v>1</v>
      </c>
      <c r="AJ41">
        <v>0</v>
      </c>
    </row>
    <row r="42" spans="1:36" hidden="1" x14ac:dyDescent="0.2">
      <c r="A42" t="s">
        <v>125</v>
      </c>
      <c r="B42" t="s">
        <v>126</v>
      </c>
      <c r="C42" t="s">
        <v>126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135</v>
      </c>
      <c r="AF42">
        <v>0</v>
      </c>
      <c r="AG42">
        <v>12.440305057800041</v>
      </c>
      <c r="AH42">
        <f>2.58535921438425*1</f>
        <v>2.5853592143842499</v>
      </c>
      <c r="AI42">
        <v>1</v>
      </c>
      <c r="AJ42">
        <v>0</v>
      </c>
    </row>
    <row r="43" spans="1:36" hidden="1" x14ac:dyDescent="0.2">
      <c r="A43" t="s">
        <v>127</v>
      </c>
      <c r="B43" t="s">
        <v>128</v>
      </c>
      <c r="C43" t="s">
        <v>128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11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5.2</v>
      </c>
      <c r="AE43">
        <v>138</v>
      </c>
      <c r="AF43">
        <v>0</v>
      </c>
      <c r="AG43">
        <v>20.739136588643241</v>
      </c>
      <c r="AH43">
        <f>4.25829436976048*1</f>
        <v>4.2582943697604803</v>
      </c>
      <c r="AI43">
        <v>1</v>
      </c>
      <c r="AJ43">
        <v>0</v>
      </c>
    </row>
    <row r="44" spans="1:36" hidden="1" x14ac:dyDescent="0.2">
      <c r="A44" t="s">
        <v>129</v>
      </c>
      <c r="B44" t="s">
        <v>130</v>
      </c>
      <c r="C44" t="s">
        <v>130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139</v>
      </c>
      <c r="AF44">
        <v>0</v>
      </c>
      <c r="AG44">
        <v>9.7516551390394621</v>
      </c>
      <c r="AH44">
        <f>1.96486515855845*1</f>
        <v>1.96486515855845</v>
      </c>
      <c r="AI44">
        <v>1</v>
      </c>
      <c r="AJ44">
        <v>0</v>
      </c>
    </row>
    <row r="45" spans="1:36" hidden="1" x14ac:dyDescent="0.2">
      <c r="A45" t="s">
        <v>131</v>
      </c>
      <c r="B45" t="s">
        <v>132</v>
      </c>
      <c r="C45" t="s">
        <v>132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140</v>
      </c>
      <c r="AF45">
        <v>0</v>
      </c>
      <c r="AG45">
        <v>15.68429630858115</v>
      </c>
      <c r="AH45">
        <f>3.32551042754285*1</f>
        <v>3.32551042754285</v>
      </c>
      <c r="AI45">
        <v>1</v>
      </c>
      <c r="AJ45">
        <v>0</v>
      </c>
    </row>
    <row r="46" spans="1:36" hidden="1" x14ac:dyDescent="0.2">
      <c r="A46" t="s">
        <v>133</v>
      </c>
      <c r="B46" t="s">
        <v>134</v>
      </c>
      <c r="C46" t="s">
        <v>135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11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141</v>
      </c>
      <c r="AF46">
        <v>0</v>
      </c>
      <c r="AG46">
        <v>8.1893867077106783</v>
      </c>
      <c r="AH46">
        <f>2.6330817567827*1</f>
        <v>2.6330817567826998</v>
      </c>
      <c r="AI46">
        <v>1</v>
      </c>
      <c r="AJ46">
        <v>0</v>
      </c>
    </row>
    <row r="47" spans="1:36" hidden="1" x14ac:dyDescent="0.2">
      <c r="A47" t="s">
        <v>136</v>
      </c>
      <c r="B47" t="s">
        <v>137</v>
      </c>
      <c r="C47" t="s">
        <v>137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11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146</v>
      </c>
      <c r="AF47">
        <v>0</v>
      </c>
      <c r="AG47">
        <v>17.205966416269181</v>
      </c>
      <c r="AH47">
        <f>2.81544284721077*1</f>
        <v>2.81544284721077</v>
      </c>
      <c r="AI47">
        <v>1</v>
      </c>
      <c r="AJ47">
        <v>0</v>
      </c>
    </row>
    <row r="48" spans="1:36" hidden="1" x14ac:dyDescent="0.2">
      <c r="A48" t="s">
        <v>138</v>
      </c>
      <c r="B48" t="s">
        <v>139</v>
      </c>
      <c r="C48" t="s">
        <v>139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12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161</v>
      </c>
      <c r="AF48">
        <v>20.184039448801069</v>
      </c>
      <c r="AG48">
        <v>0</v>
      </c>
      <c r="AH48">
        <f>6.40872428997585*1</f>
        <v>6.4087242899758499</v>
      </c>
      <c r="AI48">
        <v>1</v>
      </c>
      <c r="AJ48">
        <v>0</v>
      </c>
    </row>
    <row r="49" spans="1:36" hidden="1" x14ac:dyDescent="0.2">
      <c r="A49" t="s">
        <v>140</v>
      </c>
      <c r="B49" t="s">
        <v>141</v>
      </c>
      <c r="C49" t="s">
        <v>141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12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4.7</v>
      </c>
      <c r="AE49">
        <v>164</v>
      </c>
      <c r="AF49">
        <v>16.09375</v>
      </c>
      <c r="AG49">
        <v>0</v>
      </c>
      <c r="AH49">
        <f>4.34463534034062*1</f>
        <v>4.3446353403406199</v>
      </c>
      <c r="AI49">
        <v>1</v>
      </c>
      <c r="AJ49">
        <v>0</v>
      </c>
    </row>
    <row r="50" spans="1:36" hidden="1" x14ac:dyDescent="0.2">
      <c r="A50" t="s">
        <v>93</v>
      </c>
      <c r="B50" t="s">
        <v>142</v>
      </c>
      <c r="C50" t="s">
        <v>142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12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5.2</v>
      </c>
      <c r="AE50">
        <v>167</v>
      </c>
      <c r="AF50">
        <v>19.705882352941192</v>
      </c>
      <c r="AG50">
        <v>0</v>
      </c>
      <c r="AH50">
        <f>5.31975909177059*1</f>
        <v>5.3197590917705897</v>
      </c>
      <c r="AI50">
        <v>1</v>
      </c>
      <c r="AJ50">
        <v>0</v>
      </c>
    </row>
    <row r="51" spans="1:36" hidden="1" x14ac:dyDescent="0.2">
      <c r="A51" t="s">
        <v>143</v>
      </c>
      <c r="B51" t="s">
        <v>144</v>
      </c>
      <c r="C51" t="s">
        <v>144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12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4.8</v>
      </c>
      <c r="AE51">
        <v>171</v>
      </c>
      <c r="AF51">
        <v>14.262446326710229</v>
      </c>
      <c r="AG51">
        <v>0</v>
      </c>
      <c r="AH51">
        <f>4.70998216585688*1</f>
        <v>4.7099821658568803</v>
      </c>
      <c r="AI51">
        <v>1</v>
      </c>
      <c r="AJ51">
        <v>0</v>
      </c>
    </row>
    <row r="52" spans="1:36" hidden="1" x14ac:dyDescent="0.2">
      <c r="A52" t="s">
        <v>145</v>
      </c>
      <c r="B52" t="s">
        <v>146</v>
      </c>
      <c r="C52" t="s">
        <v>147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12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6.3</v>
      </c>
      <c r="AE52">
        <v>172</v>
      </c>
      <c r="AF52">
        <v>24.00345549831335</v>
      </c>
      <c r="AG52">
        <v>0</v>
      </c>
      <c r="AH52">
        <f>6.21467726813935*1</f>
        <v>6.2146772681393498</v>
      </c>
      <c r="AI52">
        <v>1</v>
      </c>
      <c r="AJ52">
        <v>0</v>
      </c>
    </row>
    <row r="53" spans="1:36" hidden="1" x14ac:dyDescent="0.2">
      <c r="A53" t="s">
        <v>148</v>
      </c>
      <c r="B53" t="s">
        <v>149</v>
      </c>
      <c r="C53" t="s">
        <v>148</v>
      </c>
      <c r="D53" t="s">
        <v>6</v>
      </c>
      <c r="E53">
        <v>0</v>
      </c>
      <c r="F53">
        <v>0</v>
      </c>
      <c r="G53">
        <v>0</v>
      </c>
      <c r="H53">
        <v>1</v>
      </c>
      <c r="I53" t="s">
        <v>12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5.2</v>
      </c>
      <c r="AE53">
        <v>173</v>
      </c>
      <c r="AF53">
        <v>17.351539772122429</v>
      </c>
      <c r="AG53">
        <v>0</v>
      </c>
      <c r="AH53">
        <f>4.68418565612669*1</f>
        <v>4.6841856561266901</v>
      </c>
      <c r="AI53">
        <v>1</v>
      </c>
      <c r="AJ53">
        <v>0</v>
      </c>
    </row>
    <row r="54" spans="1:36" hidden="1" x14ac:dyDescent="0.2">
      <c r="A54" t="s">
        <v>150</v>
      </c>
      <c r="B54" t="s">
        <v>151</v>
      </c>
      <c r="C54" t="s">
        <v>152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12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4.0999999999999996</v>
      </c>
      <c r="AE54">
        <v>187</v>
      </c>
      <c r="AF54">
        <v>18.355867399277049</v>
      </c>
      <c r="AG54">
        <v>0</v>
      </c>
      <c r="AH54">
        <f>3.44921110770492*1</f>
        <v>3.4492111077049201</v>
      </c>
      <c r="AI54">
        <v>1</v>
      </c>
      <c r="AJ54">
        <v>0</v>
      </c>
    </row>
    <row r="55" spans="1:36" hidden="1" x14ac:dyDescent="0.2">
      <c r="A55" t="s">
        <v>153</v>
      </c>
      <c r="B55" t="s">
        <v>154</v>
      </c>
      <c r="C55" t="s">
        <v>154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12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5.7</v>
      </c>
      <c r="AE55">
        <v>191</v>
      </c>
      <c r="AF55">
        <v>15.81908109648022</v>
      </c>
      <c r="AG55">
        <v>0</v>
      </c>
      <c r="AH55">
        <f>3.95521494370844*1</f>
        <v>3.9552149437084401</v>
      </c>
      <c r="AI55">
        <v>1</v>
      </c>
      <c r="AJ55">
        <v>0</v>
      </c>
    </row>
    <row r="56" spans="1:36" hidden="1" x14ac:dyDescent="0.2">
      <c r="A56" t="s">
        <v>155</v>
      </c>
      <c r="B56" t="s">
        <v>156</v>
      </c>
      <c r="C56" t="s">
        <v>156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212</v>
      </c>
      <c r="AF56">
        <v>14.999999999999989</v>
      </c>
      <c r="AG56">
        <v>0</v>
      </c>
      <c r="AH56">
        <f>3.25486179029999*1</f>
        <v>3.2548617902999899</v>
      </c>
      <c r="AI56">
        <v>1</v>
      </c>
      <c r="AJ56">
        <v>0</v>
      </c>
    </row>
    <row r="57" spans="1:36" hidden="1" x14ac:dyDescent="0.2">
      <c r="A57" t="s">
        <v>157</v>
      </c>
      <c r="B57" t="s">
        <v>158</v>
      </c>
      <c r="C57" t="s">
        <v>158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4.4000000000000004</v>
      </c>
      <c r="AE57">
        <v>224</v>
      </c>
      <c r="AF57">
        <v>24.425049896075709</v>
      </c>
      <c r="AG57">
        <v>0</v>
      </c>
      <c r="AH57">
        <f>4.4912471570168*1</f>
        <v>4.4912471570168</v>
      </c>
      <c r="AI57">
        <v>1</v>
      </c>
      <c r="AJ57">
        <v>0</v>
      </c>
    </row>
    <row r="58" spans="1:36" hidden="1" x14ac:dyDescent="0.2">
      <c r="A58" t="s">
        <v>159</v>
      </c>
      <c r="B58" t="s">
        <v>160</v>
      </c>
      <c r="C58" t="s">
        <v>160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3.9</v>
      </c>
      <c r="AE58">
        <v>229</v>
      </c>
      <c r="AF58">
        <v>15.142857142857141</v>
      </c>
      <c r="AG58">
        <v>0</v>
      </c>
      <c r="AH58">
        <f>3.28586047401714*1</f>
        <v>3.2858604740171402</v>
      </c>
      <c r="AI58">
        <v>1</v>
      </c>
      <c r="AJ58">
        <v>0</v>
      </c>
    </row>
    <row r="59" spans="1:36" hidden="1" x14ac:dyDescent="0.2">
      <c r="A59" t="s">
        <v>161</v>
      </c>
      <c r="B59" t="s">
        <v>162</v>
      </c>
      <c r="C59" t="s">
        <v>162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4.5999999999999996</v>
      </c>
      <c r="AE59">
        <v>237</v>
      </c>
      <c r="AF59">
        <v>15.08620689655173</v>
      </c>
      <c r="AG59">
        <v>0</v>
      </c>
      <c r="AH59">
        <f>3.2735678925431*1</f>
        <v>3.2735678925431002</v>
      </c>
      <c r="AI59">
        <v>1</v>
      </c>
      <c r="AJ59">
        <v>0</v>
      </c>
    </row>
    <row r="60" spans="1:36" hidden="1" x14ac:dyDescent="0.2">
      <c r="A60" t="s">
        <v>163</v>
      </c>
      <c r="B60" t="s">
        <v>164</v>
      </c>
      <c r="C60" t="s">
        <v>164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4.8</v>
      </c>
      <c r="AE60">
        <v>242</v>
      </c>
      <c r="AF60">
        <v>12.91908348406521</v>
      </c>
      <c r="AG60">
        <v>0</v>
      </c>
      <c r="AH60">
        <f>4.0576155567939*1</f>
        <v>4.0576155567939001</v>
      </c>
      <c r="AI60">
        <v>1</v>
      </c>
      <c r="AJ60">
        <v>0</v>
      </c>
    </row>
    <row r="61" spans="1:36" hidden="1" x14ac:dyDescent="0.2">
      <c r="A61" t="s">
        <v>165</v>
      </c>
      <c r="B61" t="s">
        <v>166</v>
      </c>
      <c r="C61" t="s">
        <v>166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13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244</v>
      </c>
      <c r="AF61">
        <v>16.521739130434781</v>
      </c>
      <c r="AG61">
        <v>0</v>
      </c>
      <c r="AH61">
        <f>3.58506516033043*1</f>
        <v>3.58506516033043</v>
      </c>
      <c r="AI61">
        <v>1</v>
      </c>
      <c r="AJ61">
        <v>0</v>
      </c>
    </row>
    <row r="62" spans="1:36" hidden="1" x14ac:dyDescent="0.2">
      <c r="A62" t="s">
        <v>167</v>
      </c>
      <c r="B62" t="s">
        <v>168</v>
      </c>
      <c r="C62" t="s">
        <v>169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251</v>
      </c>
      <c r="AF62">
        <v>19.611455234365629</v>
      </c>
      <c r="AG62">
        <v>0</v>
      </c>
      <c r="AH62">
        <f>4.2690318213779*1</f>
        <v>4.2690318213778999</v>
      </c>
      <c r="AI62">
        <v>1</v>
      </c>
      <c r="AJ62">
        <v>0</v>
      </c>
    </row>
    <row r="63" spans="1:36" hidden="1" x14ac:dyDescent="0.2">
      <c r="A63" t="s">
        <v>170</v>
      </c>
      <c r="B63" t="s">
        <v>171</v>
      </c>
      <c r="C63" t="s">
        <v>171</v>
      </c>
      <c r="D63" t="s">
        <v>4</v>
      </c>
      <c r="E63">
        <v>0</v>
      </c>
      <c r="F63">
        <v>1</v>
      </c>
      <c r="G63">
        <v>0</v>
      </c>
      <c r="H63">
        <v>0</v>
      </c>
      <c r="I63" t="s">
        <v>14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4.5999999999999996</v>
      </c>
      <c r="AE63">
        <v>264</v>
      </c>
      <c r="AF63">
        <v>18</v>
      </c>
      <c r="AG63">
        <v>0</v>
      </c>
      <c r="AH63">
        <f>3.1046095335*1</f>
        <v>3.1046095335000001</v>
      </c>
      <c r="AI63">
        <v>1</v>
      </c>
      <c r="AJ63">
        <v>0</v>
      </c>
    </row>
    <row r="64" spans="1:36" hidden="1" x14ac:dyDescent="0.2">
      <c r="A64" t="s">
        <v>172</v>
      </c>
      <c r="B64" t="s">
        <v>173</v>
      </c>
      <c r="C64" t="s">
        <v>172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4.8</v>
      </c>
      <c r="AE64">
        <v>266</v>
      </c>
      <c r="AF64">
        <v>20.595848121037459</v>
      </c>
      <c r="AG64">
        <v>0</v>
      </c>
      <c r="AH64">
        <f>3.61970243818717*1</f>
        <v>3.6197024381871699</v>
      </c>
      <c r="AI64">
        <v>1</v>
      </c>
      <c r="AJ64">
        <v>0</v>
      </c>
    </row>
    <row r="65" spans="1:36" hidden="1" x14ac:dyDescent="0.2">
      <c r="A65" t="s">
        <v>174</v>
      </c>
      <c r="B65" t="s">
        <v>175</v>
      </c>
      <c r="C65" t="s">
        <v>175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268</v>
      </c>
      <c r="AF65">
        <v>24.975609756097569</v>
      </c>
      <c r="AG65">
        <v>0</v>
      </c>
      <c r="AH65">
        <f>4.30775089743089*1</f>
        <v>4.30775089743089</v>
      </c>
      <c r="AI65">
        <v>1</v>
      </c>
      <c r="AJ65">
        <v>0</v>
      </c>
    </row>
    <row r="66" spans="1:36" hidden="1" x14ac:dyDescent="0.2">
      <c r="A66" t="s">
        <v>176</v>
      </c>
      <c r="B66" t="s">
        <v>177</v>
      </c>
      <c r="C66" t="s">
        <v>177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14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6.3</v>
      </c>
      <c r="AE66">
        <v>273</v>
      </c>
      <c r="AF66">
        <v>18.486486486486491</v>
      </c>
      <c r="AG66">
        <v>0</v>
      </c>
      <c r="AH66">
        <f>3.18851789927027*1</f>
        <v>3.1885178992702699</v>
      </c>
      <c r="AI66">
        <v>1</v>
      </c>
      <c r="AJ66">
        <v>0</v>
      </c>
    </row>
    <row r="67" spans="1:36" hidden="1" x14ac:dyDescent="0.2">
      <c r="A67" t="s">
        <v>178</v>
      </c>
      <c r="B67" t="s">
        <v>179</v>
      </c>
      <c r="C67" t="s">
        <v>180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6.8</v>
      </c>
      <c r="AE67">
        <v>274</v>
      </c>
      <c r="AF67">
        <v>28.666666666666671</v>
      </c>
      <c r="AG67">
        <v>0</v>
      </c>
      <c r="AH67">
        <f>4.94437814594444*1</f>
        <v>4.94437814594444</v>
      </c>
      <c r="AI67">
        <v>1</v>
      </c>
      <c r="AJ67">
        <v>0</v>
      </c>
    </row>
    <row r="68" spans="1:36" hidden="1" x14ac:dyDescent="0.2">
      <c r="A68" t="s">
        <v>181</v>
      </c>
      <c r="B68" t="s">
        <v>182</v>
      </c>
      <c r="C68" t="s">
        <v>182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6.9</v>
      </c>
      <c r="AE68">
        <v>279</v>
      </c>
      <c r="AF68">
        <v>28.25909859635669</v>
      </c>
      <c r="AG68">
        <v>0</v>
      </c>
      <c r="AH68">
        <f>4.8740814950203*1</f>
        <v>4.8740814950202997</v>
      </c>
      <c r="AI68">
        <v>1</v>
      </c>
      <c r="AJ68">
        <v>0</v>
      </c>
    </row>
    <row r="69" spans="1:36" hidden="1" x14ac:dyDescent="0.2">
      <c r="A69" t="s">
        <v>183</v>
      </c>
      <c r="B69" t="s">
        <v>184</v>
      </c>
      <c r="C69" t="s">
        <v>185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</v>
      </c>
      <c r="AE69">
        <v>280</v>
      </c>
      <c r="AF69">
        <v>22.556962025316459</v>
      </c>
      <c r="AG69">
        <v>0</v>
      </c>
      <c r="AH69">
        <f>3.8905866305886*1</f>
        <v>3.8905866305885999</v>
      </c>
      <c r="AI69">
        <v>1</v>
      </c>
      <c r="AJ69">
        <v>0</v>
      </c>
    </row>
    <row r="70" spans="1:36" x14ac:dyDescent="0.2">
      <c r="A70" t="s">
        <v>186</v>
      </c>
      <c r="B70" t="s">
        <v>187</v>
      </c>
      <c r="C70" s="1" t="s">
        <v>187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6.1</v>
      </c>
      <c r="AE70">
        <v>282</v>
      </c>
      <c r="AF70">
        <v>64.282206267243168</v>
      </c>
      <c r="AG70">
        <v>0</v>
      </c>
      <c r="AH70">
        <f>11.0872861339831*1</f>
        <v>11.087286133983101</v>
      </c>
      <c r="AI70">
        <v>1</v>
      </c>
      <c r="AJ70">
        <v>1</v>
      </c>
    </row>
    <row r="71" spans="1:36" hidden="1" x14ac:dyDescent="0.2">
      <c r="A71" t="s">
        <v>188</v>
      </c>
      <c r="B71" t="s">
        <v>189</v>
      </c>
      <c r="C71" t="s">
        <v>189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285</v>
      </c>
      <c r="AF71">
        <v>19.92857142857142</v>
      </c>
      <c r="AG71">
        <v>0</v>
      </c>
      <c r="AH71">
        <f>3.43724626923214*1</f>
        <v>3.4372462692321402</v>
      </c>
      <c r="AI71">
        <v>1</v>
      </c>
      <c r="AJ71">
        <v>0</v>
      </c>
    </row>
    <row r="72" spans="1:36" hidden="1" x14ac:dyDescent="0.2">
      <c r="A72" t="s">
        <v>190</v>
      </c>
      <c r="B72" t="s">
        <v>191</v>
      </c>
      <c r="C72" t="s">
        <v>191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4.7</v>
      </c>
      <c r="AE72">
        <v>308</v>
      </c>
      <c r="AF72">
        <v>22.57377049180327</v>
      </c>
      <c r="AG72">
        <v>0</v>
      </c>
      <c r="AH72">
        <f>4.35284833192376*1</f>
        <v>4.3528483319237603</v>
      </c>
      <c r="AI72">
        <v>1</v>
      </c>
      <c r="AJ72">
        <v>0</v>
      </c>
    </row>
    <row r="73" spans="1:36" hidden="1" x14ac:dyDescent="0.2">
      <c r="A73" t="s">
        <v>192</v>
      </c>
      <c r="B73" t="s">
        <v>193</v>
      </c>
      <c r="C73" t="s">
        <v>194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5.4</v>
      </c>
      <c r="AE73">
        <v>309</v>
      </c>
      <c r="AF73">
        <v>20.34153293864334</v>
      </c>
      <c r="AG73">
        <v>0</v>
      </c>
      <c r="AH73">
        <f>3.72836624703705*1</f>
        <v>3.7283662470370502</v>
      </c>
      <c r="AI73">
        <v>1</v>
      </c>
      <c r="AJ73">
        <v>0</v>
      </c>
    </row>
    <row r="74" spans="1:36" hidden="1" x14ac:dyDescent="0.2">
      <c r="A74" t="s">
        <v>195</v>
      </c>
      <c r="B74" t="s">
        <v>196</v>
      </c>
      <c r="C74" t="s">
        <v>196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313</v>
      </c>
      <c r="AF74">
        <v>19.835294117647049</v>
      </c>
      <c r="AG74">
        <v>0</v>
      </c>
      <c r="AH74">
        <f>3.82479422055646*1</f>
        <v>3.82479422055646</v>
      </c>
      <c r="AI74">
        <v>1</v>
      </c>
      <c r="AJ74">
        <v>0</v>
      </c>
    </row>
    <row r="75" spans="1:36" hidden="1" x14ac:dyDescent="0.2">
      <c r="A75" t="s">
        <v>197</v>
      </c>
      <c r="B75" t="s">
        <v>198</v>
      </c>
      <c r="C75" t="s">
        <v>198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314</v>
      </c>
      <c r="AF75">
        <v>24.534653465346551</v>
      </c>
      <c r="AG75">
        <v>0</v>
      </c>
      <c r="AH75">
        <f>4.73096089329604*1</f>
        <v>4.7309608932960403</v>
      </c>
      <c r="AI75">
        <v>1</v>
      </c>
      <c r="AJ75">
        <v>0</v>
      </c>
    </row>
    <row r="76" spans="1:36" hidden="1" x14ac:dyDescent="0.2">
      <c r="A76" t="s">
        <v>199</v>
      </c>
      <c r="B76" t="s">
        <v>200</v>
      </c>
      <c r="C76" t="s">
        <v>200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4.2</v>
      </c>
      <c r="AE76">
        <v>316</v>
      </c>
      <c r="AF76">
        <v>20.769230769230759</v>
      </c>
      <c r="AG76">
        <v>0</v>
      </c>
      <c r="AH76">
        <f>4.00488308065384*1</f>
        <v>4.0048830806538396</v>
      </c>
      <c r="AI76">
        <v>1</v>
      </c>
      <c r="AJ76">
        <v>0</v>
      </c>
    </row>
    <row r="77" spans="1:36" hidden="1" x14ac:dyDescent="0.2">
      <c r="A77" t="s">
        <v>201</v>
      </c>
      <c r="B77" t="s">
        <v>202</v>
      </c>
      <c r="C77" t="s">
        <v>202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15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317</v>
      </c>
      <c r="AF77">
        <v>17.380952380952369</v>
      </c>
      <c r="AG77">
        <v>0</v>
      </c>
      <c r="AH77">
        <f>3.3515291389246*1</f>
        <v>3.3515291389246</v>
      </c>
      <c r="AI77">
        <v>1</v>
      </c>
      <c r="AJ77">
        <v>0</v>
      </c>
    </row>
    <row r="78" spans="1:36" hidden="1" x14ac:dyDescent="0.2">
      <c r="A78" t="s">
        <v>203</v>
      </c>
      <c r="B78" t="s">
        <v>204</v>
      </c>
      <c r="C78" s="1" t="s">
        <v>204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4.4000000000000004</v>
      </c>
      <c r="AE78">
        <v>318</v>
      </c>
      <c r="AF78">
        <v>22.707692307692309</v>
      </c>
      <c r="AG78">
        <v>0</v>
      </c>
      <c r="AH78">
        <v>0</v>
      </c>
      <c r="AI78">
        <v>0</v>
      </c>
      <c r="AJ78">
        <v>0</v>
      </c>
    </row>
    <row r="79" spans="1:36" hidden="1" x14ac:dyDescent="0.2">
      <c r="A79" t="s">
        <v>205</v>
      </c>
      <c r="B79" t="s">
        <v>206</v>
      </c>
      <c r="C79" t="s">
        <v>207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4.7</v>
      </c>
      <c r="AE79">
        <v>319</v>
      </c>
      <c r="AF79">
        <v>20.612903225806441</v>
      </c>
      <c r="AG79">
        <v>0</v>
      </c>
      <c r="AH79">
        <f>3.97473879940161*1</f>
        <v>3.9747387994016101</v>
      </c>
      <c r="AI79">
        <v>1</v>
      </c>
      <c r="AJ79">
        <v>0</v>
      </c>
    </row>
    <row r="80" spans="1:36" hidden="1" x14ac:dyDescent="0.2">
      <c r="A80" t="s">
        <v>208</v>
      </c>
      <c r="B80" t="s">
        <v>209</v>
      </c>
      <c r="C80" t="s">
        <v>209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15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</v>
      </c>
      <c r="AE80">
        <v>320</v>
      </c>
      <c r="AF80">
        <v>17.493975903614459</v>
      </c>
      <c r="AG80">
        <v>0</v>
      </c>
      <c r="AH80">
        <f>3.37332320528433*1</f>
        <v>3.3733232052843301</v>
      </c>
      <c r="AI80">
        <v>1</v>
      </c>
      <c r="AJ80">
        <v>0</v>
      </c>
    </row>
    <row r="81" spans="1:36" hidden="1" x14ac:dyDescent="0.2">
      <c r="A81" t="s">
        <v>210</v>
      </c>
      <c r="B81" t="s">
        <v>211</v>
      </c>
      <c r="C81" t="s">
        <v>211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328</v>
      </c>
      <c r="AF81">
        <v>18.03797468354432</v>
      </c>
      <c r="AG81">
        <v>0</v>
      </c>
      <c r="AH81">
        <f>3.47822124093354*1</f>
        <v>3.4782212409335398</v>
      </c>
      <c r="AI81">
        <v>1</v>
      </c>
      <c r="AJ81">
        <v>0</v>
      </c>
    </row>
    <row r="82" spans="1:36" hidden="1" x14ac:dyDescent="0.2">
      <c r="A82" t="s">
        <v>212</v>
      </c>
      <c r="B82" t="s">
        <v>213</v>
      </c>
      <c r="C82" t="s">
        <v>213</v>
      </c>
      <c r="D82" t="s">
        <v>4</v>
      </c>
      <c r="E82">
        <v>0</v>
      </c>
      <c r="F82">
        <v>1</v>
      </c>
      <c r="G82">
        <v>0</v>
      </c>
      <c r="H82">
        <v>0</v>
      </c>
      <c r="I82" t="s">
        <v>16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4.3</v>
      </c>
      <c r="AE82">
        <v>346</v>
      </c>
      <c r="AF82">
        <v>21.789473684210531</v>
      </c>
      <c r="AG82">
        <v>20.74570101183858</v>
      </c>
      <c r="AH82">
        <f>3.44482307260002*1</f>
        <v>3.4448230726000202</v>
      </c>
      <c r="AI82">
        <v>1</v>
      </c>
      <c r="AJ82">
        <v>0</v>
      </c>
    </row>
    <row r="83" spans="1:36" hidden="1" x14ac:dyDescent="0.2">
      <c r="A83" t="s">
        <v>107</v>
      </c>
      <c r="B83" t="s">
        <v>214</v>
      </c>
      <c r="C83" t="s">
        <v>214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5.8</v>
      </c>
      <c r="AE83">
        <v>347</v>
      </c>
      <c r="AF83">
        <v>24.418621248942049</v>
      </c>
      <c r="AG83">
        <v>23.579063907548669</v>
      </c>
      <c r="AH83">
        <f>4.21312704731697*1</f>
        <v>4.21312704731697</v>
      </c>
      <c r="AI83">
        <v>1</v>
      </c>
      <c r="AJ83">
        <v>0</v>
      </c>
    </row>
    <row r="84" spans="1:36" hidden="1" x14ac:dyDescent="0.2">
      <c r="A84" t="s">
        <v>215</v>
      </c>
      <c r="B84" t="s">
        <v>216</v>
      </c>
      <c r="C84" t="s">
        <v>217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5.5</v>
      </c>
      <c r="AE84">
        <v>350</v>
      </c>
      <c r="AF84">
        <v>24.418604651162809</v>
      </c>
      <c r="AG84">
        <v>23.6790882009774</v>
      </c>
      <c r="AH84">
        <f>3.8907890691132*1</f>
        <v>3.8907890691131999</v>
      </c>
      <c r="AI84">
        <v>1</v>
      </c>
      <c r="AJ84">
        <v>0</v>
      </c>
    </row>
    <row r="85" spans="1:36" hidden="1" x14ac:dyDescent="0.2">
      <c r="A85" t="s">
        <v>218</v>
      </c>
      <c r="B85" t="s">
        <v>219</v>
      </c>
      <c r="C85" t="s">
        <v>219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351</v>
      </c>
      <c r="AF85">
        <v>17.20784734177753</v>
      </c>
      <c r="AG85">
        <v>16.9614291887702</v>
      </c>
      <c r="AH85">
        <f>2.80884581507254*1</f>
        <v>2.8088458150725399</v>
      </c>
      <c r="AI85">
        <v>1</v>
      </c>
      <c r="AJ85">
        <v>0</v>
      </c>
    </row>
    <row r="86" spans="1:36" hidden="1" x14ac:dyDescent="0.2">
      <c r="A86" t="s">
        <v>220</v>
      </c>
      <c r="B86" t="s">
        <v>221</v>
      </c>
      <c r="C86" t="s">
        <v>221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5.4</v>
      </c>
      <c r="AE86">
        <v>357</v>
      </c>
      <c r="AF86">
        <v>20.983957219251359</v>
      </c>
      <c r="AG86">
        <v>19.53817310094048</v>
      </c>
      <c r="AH86">
        <f>3.35124321750007*1</f>
        <v>3.3512432175000701</v>
      </c>
      <c r="AI86">
        <v>1</v>
      </c>
      <c r="AJ86">
        <v>0</v>
      </c>
    </row>
    <row r="87" spans="1:36" hidden="1" x14ac:dyDescent="0.2">
      <c r="A87" t="s">
        <v>222</v>
      </c>
      <c r="B87" t="s">
        <v>223</v>
      </c>
      <c r="C87" t="s">
        <v>223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4.5999999999999996</v>
      </c>
      <c r="AE87">
        <v>358</v>
      </c>
      <c r="AF87">
        <v>20.68302777570219</v>
      </c>
      <c r="AG87">
        <v>22.599589509569729</v>
      </c>
      <c r="AH87">
        <f>3.86145634817643*1</f>
        <v>3.8614563481764299</v>
      </c>
      <c r="AI87">
        <v>1</v>
      </c>
      <c r="AJ87">
        <v>0</v>
      </c>
    </row>
    <row r="88" spans="1:36" hidden="1" x14ac:dyDescent="0.2">
      <c r="A88" t="s">
        <v>224</v>
      </c>
      <c r="B88" t="s">
        <v>225</v>
      </c>
      <c r="C88" t="s">
        <v>225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4.7</v>
      </c>
      <c r="AE88">
        <v>359</v>
      </c>
      <c r="AF88">
        <v>19.82142857142858</v>
      </c>
      <c r="AG88">
        <v>18.83611501917272</v>
      </c>
      <c r="AH88">
        <f>3.25522419924497*1</f>
        <v>3.25522419924497</v>
      </c>
      <c r="AI88">
        <v>1</v>
      </c>
      <c r="AJ88">
        <v>0</v>
      </c>
    </row>
    <row r="89" spans="1:36" hidden="1" x14ac:dyDescent="0.2">
      <c r="A89" t="s">
        <v>192</v>
      </c>
      <c r="B89" t="s">
        <v>226</v>
      </c>
      <c r="C89" t="s">
        <v>226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4.7</v>
      </c>
      <c r="AE89">
        <v>361</v>
      </c>
      <c r="AF89">
        <v>23.172413793103459</v>
      </c>
      <c r="AG89">
        <v>20.352180639170321</v>
      </c>
      <c r="AH89">
        <f>3.65347291040259*1</f>
        <v>3.65347291040259</v>
      </c>
      <c r="AI89">
        <v>1</v>
      </c>
      <c r="AJ89">
        <v>0</v>
      </c>
    </row>
    <row r="90" spans="1:36" hidden="1" x14ac:dyDescent="0.2">
      <c r="A90" t="s">
        <v>218</v>
      </c>
      <c r="B90" t="s">
        <v>227</v>
      </c>
      <c r="C90" t="s">
        <v>227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4.5999999999999996</v>
      </c>
      <c r="AE90">
        <v>363</v>
      </c>
      <c r="AF90">
        <v>22.137084521203121</v>
      </c>
      <c r="AG90">
        <v>27.772539825382591</v>
      </c>
      <c r="AH90">
        <f>3.83349782623076*1</f>
        <v>3.8334978262307602</v>
      </c>
      <c r="AI90">
        <v>1</v>
      </c>
      <c r="AJ90">
        <v>0</v>
      </c>
    </row>
    <row r="91" spans="1:36" hidden="1" x14ac:dyDescent="0.2">
      <c r="A91" t="s">
        <v>228</v>
      </c>
      <c r="B91" t="s">
        <v>229</v>
      </c>
      <c r="C91" t="s">
        <v>229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4.4000000000000004</v>
      </c>
      <c r="AE91">
        <v>366</v>
      </c>
      <c r="AF91">
        <v>20.314248006915239</v>
      </c>
      <c r="AG91">
        <v>20.90560991965377</v>
      </c>
      <c r="AH91">
        <f>3.65880495408994*1</f>
        <v>3.6588049540899399</v>
      </c>
      <c r="AI91">
        <v>1</v>
      </c>
      <c r="AJ91">
        <v>0</v>
      </c>
    </row>
    <row r="92" spans="1:36" hidden="1" x14ac:dyDescent="0.2">
      <c r="A92" t="s">
        <v>230</v>
      </c>
      <c r="B92" t="s">
        <v>231</v>
      </c>
      <c r="C92" t="s">
        <v>232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16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5.7</v>
      </c>
      <c r="AE92">
        <v>373</v>
      </c>
      <c r="AF92">
        <v>12.23076923076923</v>
      </c>
      <c r="AG92">
        <v>9.6815766929743656</v>
      </c>
      <c r="AH92">
        <f>2.00464047352893*1</f>
        <v>2.00464047352893</v>
      </c>
      <c r="AI92">
        <v>1</v>
      </c>
      <c r="AJ92">
        <v>0</v>
      </c>
    </row>
    <row r="93" spans="1:36" hidden="1" x14ac:dyDescent="0.2">
      <c r="A93" t="s">
        <v>233</v>
      </c>
      <c r="B93" t="s">
        <v>234</v>
      </c>
      <c r="C93" t="s">
        <v>234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5.3</v>
      </c>
      <c r="AE93">
        <v>379</v>
      </c>
      <c r="AF93">
        <v>17.566734478594562</v>
      </c>
      <c r="AG93">
        <v>13.0271043904806</v>
      </c>
      <c r="AH93">
        <f>2.94536044001175*1</f>
        <v>2.9453604400117501</v>
      </c>
      <c r="AI93">
        <v>1</v>
      </c>
      <c r="AJ93">
        <v>0</v>
      </c>
    </row>
    <row r="94" spans="1:36" hidden="1" x14ac:dyDescent="0.2">
      <c r="A94" t="s">
        <v>235</v>
      </c>
      <c r="B94" t="s">
        <v>236</v>
      </c>
      <c r="C94" t="s">
        <v>235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17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5.3</v>
      </c>
      <c r="AE94">
        <v>380</v>
      </c>
      <c r="AF94">
        <v>21.825926768721821</v>
      </c>
      <c r="AG94">
        <v>24.24447367959759</v>
      </c>
      <c r="AH94">
        <f>4.97991208423484*1</f>
        <v>4.9799120842348401</v>
      </c>
      <c r="AI94">
        <v>1</v>
      </c>
      <c r="AJ94">
        <v>0</v>
      </c>
    </row>
    <row r="95" spans="1:36" hidden="1" x14ac:dyDescent="0.2">
      <c r="A95" t="s">
        <v>237</v>
      </c>
      <c r="B95" t="s">
        <v>238</v>
      </c>
      <c r="C95" t="s">
        <v>238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17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383</v>
      </c>
      <c r="AF95">
        <v>17.459016393442621</v>
      </c>
      <c r="AG95">
        <v>15.994234099597699</v>
      </c>
      <c r="AH95">
        <f>3.03153897057279*1</f>
        <v>3.03153897057279</v>
      </c>
      <c r="AI95">
        <v>1</v>
      </c>
      <c r="AJ95">
        <v>0</v>
      </c>
    </row>
    <row r="96" spans="1:36" hidden="1" x14ac:dyDescent="0.2">
      <c r="A96" t="s">
        <v>239</v>
      </c>
      <c r="B96" t="s">
        <v>240</v>
      </c>
      <c r="C96" t="s">
        <v>240</v>
      </c>
      <c r="D96" t="s">
        <v>3</v>
      </c>
      <c r="E96">
        <v>1</v>
      </c>
      <c r="F96">
        <v>0</v>
      </c>
      <c r="G96">
        <v>0</v>
      </c>
      <c r="H96">
        <v>0</v>
      </c>
      <c r="I96" t="s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4.8</v>
      </c>
      <c r="AE96">
        <v>388</v>
      </c>
      <c r="AF96">
        <v>19.14725493031014</v>
      </c>
      <c r="AG96">
        <v>16.05093043265645</v>
      </c>
      <c r="AH96">
        <f>3.58713782611896*1</f>
        <v>3.5871378261189601</v>
      </c>
      <c r="AI96">
        <v>1</v>
      </c>
      <c r="AJ96">
        <v>0</v>
      </c>
    </row>
    <row r="97" spans="1:36" hidden="1" x14ac:dyDescent="0.2">
      <c r="A97" t="s">
        <v>241</v>
      </c>
      <c r="B97" t="s">
        <v>242</v>
      </c>
      <c r="C97" t="s">
        <v>243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17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393</v>
      </c>
      <c r="AF97">
        <v>21.333333333333339</v>
      </c>
      <c r="AG97">
        <v>21.932289900841639</v>
      </c>
      <c r="AH97">
        <f>3.96313500699601*1</f>
        <v>3.9631350069960098</v>
      </c>
      <c r="AI97">
        <v>1</v>
      </c>
      <c r="AJ97">
        <v>0</v>
      </c>
    </row>
    <row r="98" spans="1:36" hidden="1" x14ac:dyDescent="0.2">
      <c r="A98" t="s">
        <v>244</v>
      </c>
      <c r="B98" t="s">
        <v>245</v>
      </c>
      <c r="C98" t="s">
        <v>245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17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4.4000000000000004</v>
      </c>
      <c r="AE98">
        <v>395</v>
      </c>
      <c r="AF98">
        <v>14.88505747126437</v>
      </c>
      <c r="AG98">
        <v>17.128629313854638</v>
      </c>
      <c r="AH98">
        <f>3.46807926905642*1</f>
        <v>3.4680792690564202</v>
      </c>
      <c r="AI98">
        <v>1</v>
      </c>
      <c r="AJ98">
        <v>0</v>
      </c>
    </row>
    <row r="99" spans="1:36" hidden="1" x14ac:dyDescent="0.2">
      <c r="A99" t="s">
        <v>246</v>
      </c>
      <c r="B99" t="s">
        <v>247</v>
      </c>
      <c r="C99" t="s">
        <v>247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17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4.5999999999999996</v>
      </c>
      <c r="AE99">
        <v>396</v>
      </c>
      <c r="AF99">
        <v>16.263736263736259</v>
      </c>
      <c r="AG99">
        <v>15.53334053384112</v>
      </c>
      <c r="AH99">
        <f>3.15769954292082*1</f>
        <v>3.1576995429208199</v>
      </c>
      <c r="AI99">
        <v>1</v>
      </c>
      <c r="AJ99">
        <v>0</v>
      </c>
    </row>
    <row r="100" spans="1:36" hidden="1" x14ac:dyDescent="0.2">
      <c r="A100" t="s">
        <v>248</v>
      </c>
      <c r="B100" t="s">
        <v>165</v>
      </c>
      <c r="C100" t="s">
        <v>165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17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401</v>
      </c>
      <c r="AF100">
        <v>15.11494252873563</v>
      </c>
      <c r="AG100">
        <v>12.899090529561761</v>
      </c>
      <c r="AH100">
        <f>2.67574552991718*1</f>
        <v>2.67574552991718</v>
      </c>
      <c r="AI100">
        <v>1</v>
      </c>
      <c r="AJ100">
        <v>0</v>
      </c>
    </row>
    <row r="101" spans="1:36" hidden="1" x14ac:dyDescent="0.2">
      <c r="A101" t="s">
        <v>249</v>
      </c>
      <c r="B101" t="s">
        <v>250</v>
      </c>
      <c r="C101" t="s">
        <v>249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17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5.3</v>
      </c>
      <c r="AE101">
        <v>403</v>
      </c>
      <c r="AF101">
        <v>19.84357908591468</v>
      </c>
      <c r="AG101">
        <v>25.23590231883357</v>
      </c>
      <c r="AH101">
        <f>5.54928576087333*1</f>
        <v>5.5492857608733299</v>
      </c>
      <c r="AI101">
        <v>1</v>
      </c>
      <c r="AJ101">
        <v>0</v>
      </c>
    </row>
    <row r="102" spans="1:36" hidden="1" x14ac:dyDescent="0.2">
      <c r="A102" t="s">
        <v>251</v>
      </c>
      <c r="B102" t="s">
        <v>252</v>
      </c>
      <c r="C102" t="s">
        <v>252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17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4.4000000000000004</v>
      </c>
      <c r="AE102">
        <v>404</v>
      </c>
      <c r="AF102">
        <v>14.565217391304349</v>
      </c>
      <c r="AG102">
        <v>14.91252875749794</v>
      </c>
      <c r="AH102">
        <f>2.9413360396363*1</f>
        <v>2.9413360396363002</v>
      </c>
      <c r="AI102">
        <v>1</v>
      </c>
      <c r="AJ102">
        <v>0</v>
      </c>
    </row>
    <row r="103" spans="1:36" hidden="1" x14ac:dyDescent="0.2">
      <c r="A103" t="s">
        <v>253</v>
      </c>
      <c r="B103" t="s">
        <v>254</v>
      </c>
      <c r="C103" t="s">
        <v>254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17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410</v>
      </c>
      <c r="AF103">
        <v>17.74827930090575</v>
      </c>
      <c r="AG103">
        <v>15.54481248550978</v>
      </c>
      <c r="AH103">
        <f>3.25923351915118*1</f>
        <v>3.2592335191511799</v>
      </c>
      <c r="AI103">
        <v>1</v>
      </c>
      <c r="AJ103">
        <v>0</v>
      </c>
    </row>
    <row r="104" spans="1:36" hidden="1" x14ac:dyDescent="0.2">
      <c r="A104" t="s">
        <v>255</v>
      </c>
      <c r="B104" t="s">
        <v>256</v>
      </c>
      <c r="C104" t="s">
        <v>256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18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8.4</v>
      </c>
      <c r="AE104">
        <v>417</v>
      </c>
      <c r="AF104">
        <v>34.380772569186952</v>
      </c>
      <c r="AG104">
        <v>32.159821730698283</v>
      </c>
      <c r="AH104">
        <f>5.82258803123846*1</f>
        <v>5.8225880312384604</v>
      </c>
      <c r="AI104">
        <v>1</v>
      </c>
      <c r="AJ104">
        <v>0</v>
      </c>
    </row>
    <row r="105" spans="1:36" hidden="1" x14ac:dyDescent="0.2">
      <c r="A105" t="s">
        <v>257</v>
      </c>
      <c r="B105" t="s">
        <v>258</v>
      </c>
      <c r="C105" t="s">
        <v>259</v>
      </c>
      <c r="D105" t="s">
        <v>3</v>
      </c>
      <c r="E105">
        <v>1</v>
      </c>
      <c r="F105">
        <v>0</v>
      </c>
      <c r="G105">
        <v>0</v>
      </c>
      <c r="H105">
        <v>0</v>
      </c>
      <c r="I105" t="s">
        <v>18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5.7</v>
      </c>
      <c r="AE105">
        <v>418</v>
      </c>
      <c r="AF105">
        <v>26.68784917906164</v>
      </c>
      <c r="AG105">
        <v>25.108877741186749</v>
      </c>
      <c r="AH105">
        <f>4.30448205422609*0.5</f>
        <v>2.1522410271130452</v>
      </c>
      <c r="AI105">
        <v>0.5</v>
      </c>
      <c r="AJ105">
        <v>0</v>
      </c>
    </row>
    <row r="106" spans="1:36" hidden="1" x14ac:dyDescent="0.2">
      <c r="A106" t="s">
        <v>260</v>
      </c>
      <c r="B106" t="s">
        <v>261</v>
      </c>
      <c r="C106" t="s">
        <v>260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18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7.7</v>
      </c>
      <c r="AE106">
        <v>420</v>
      </c>
      <c r="AF106">
        <v>28.178571428571441</v>
      </c>
      <c r="AG106">
        <v>24.736733543247631</v>
      </c>
      <c r="AH106">
        <f>4.98253677086943*1</f>
        <v>4.9825367708694301</v>
      </c>
      <c r="AI106">
        <v>1</v>
      </c>
      <c r="AJ106">
        <v>0</v>
      </c>
    </row>
    <row r="107" spans="1:36" hidden="1" x14ac:dyDescent="0.2">
      <c r="A107" t="s">
        <v>262</v>
      </c>
      <c r="B107" t="s">
        <v>263</v>
      </c>
      <c r="C107" t="s">
        <v>263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18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</v>
      </c>
      <c r="AE107">
        <v>422</v>
      </c>
      <c r="AF107">
        <v>13.72727272727272</v>
      </c>
      <c r="AG107">
        <v>12.766406697177899</v>
      </c>
      <c r="AH107">
        <f>2.53246988519185*1</f>
        <v>2.5324698851918499</v>
      </c>
      <c r="AI107">
        <v>1</v>
      </c>
      <c r="AJ107">
        <v>0</v>
      </c>
    </row>
    <row r="108" spans="1:36" hidden="1" x14ac:dyDescent="0.2">
      <c r="A108" t="s">
        <v>264</v>
      </c>
      <c r="B108" t="s">
        <v>265</v>
      </c>
      <c r="C108" t="s">
        <v>265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18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7.1</v>
      </c>
      <c r="AE108">
        <v>424</v>
      </c>
      <c r="AF108">
        <v>19.764778480843479</v>
      </c>
      <c r="AG108">
        <v>20.788492508387002</v>
      </c>
      <c r="AH108">
        <f>4.0488740584456*1</f>
        <v>4.0488740584456</v>
      </c>
      <c r="AI108">
        <v>1</v>
      </c>
      <c r="AJ108">
        <v>0</v>
      </c>
    </row>
    <row r="109" spans="1:36" hidden="1" x14ac:dyDescent="0.2">
      <c r="A109" t="s">
        <v>266</v>
      </c>
      <c r="B109" t="s">
        <v>267</v>
      </c>
      <c r="C109" t="s">
        <v>267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18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4.5999999999999996</v>
      </c>
      <c r="AE109">
        <v>425</v>
      </c>
      <c r="AF109">
        <v>20.307692307692299</v>
      </c>
      <c r="AG109">
        <v>21.68475274618633</v>
      </c>
      <c r="AH109">
        <f>4.13436570254543*1</f>
        <v>4.1343657025454297</v>
      </c>
      <c r="AI109">
        <v>1</v>
      </c>
      <c r="AJ109">
        <v>0</v>
      </c>
    </row>
    <row r="110" spans="1:36" hidden="1" x14ac:dyDescent="0.2">
      <c r="A110" t="s">
        <v>268</v>
      </c>
      <c r="B110" t="s">
        <v>269</v>
      </c>
      <c r="C110" t="s">
        <v>270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18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7.6</v>
      </c>
      <c r="AE110">
        <v>430</v>
      </c>
      <c r="AF110">
        <v>24.54545454545454</v>
      </c>
      <c r="AG110">
        <v>19.356507442914619</v>
      </c>
      <c r="AH110">
        <f>4.15587846416378*1</f>
        <v>4.1558784641637798</v>
      </c>
      <c r="AI110">
        <v>1</v>
      </c>
      <c r="AJ110">
        <v>0</v>
      </c>
    </row>
    <row r="111" spans="1:36" hidden="1" x14ac:dyDescent="0.2">
      <c r="A111" t="s">
        <v>271</v>
      </c>
      <c r="B111" t="s">
        <v>272</v>
      </c>
      <c r="C111" t="s">
        <v>272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18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5.9</v>
      </c>
      <c r="AE111">
        <v>431</v>
      </c>
      <c r="AF111">
        <v>26.934391997178029</v>
      </c>
      <c r="AG111">
        <v>18.630248266461109</v>
      </c>
      <c r="AH111">
        <f>3.99640837393145*1</f>
        <v>3.99640837393145</v>
      </c>
      <c r="AI111">
        <v>1</v>
      </c>
      <c r="AJ111">
        <v>0</v>
      </c>
    </row>
    <row r="112" spans="1:36" x14ac:dyDescent="0.2">
      <c r="A112" t="s">
        <v>273</v>
      </c>
      <c r="B112" t="s">
        <v>274</v>
      </c>
      <c r="C112" s="1" t="s">
        <v>274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18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13.4</v>
      </c>
      <c r="AE112">
        <v>435</v>
      </c>
      <c r="AF112">
        <v>42.152284263959388</v>
      </c>
      <c r="AG112">
        <v>39.932827037541287</v>
      </c>
      <c r="AH112">
        <f>7.46580414544564*1</f>
        <v>7.4658041454456399</v>
      </c>
      <c r="AI112">
        <v>1</v>
      </c>
      <c r="AJ112">
        <v>1</v>
      </c>
    </row>
    <row r="113" spans="1:36" hidden="1" x14ac:dyDescent="0.2">
      <c r="A113" t="s">
        <v>275</v>
      </c>
      <c r="B113" t="s">
        <v>276</v>
      </c>
      <c r="C113" t="s">
        <v>276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7.1</v>
      </c>
      <c r="AE113">
        <v>436</v>
      </c>
      <c r="AF113">
        <v>21.92307692307692</v>
      </c>
      <c r="AG113">
        <v>20.231760810406328</v>
      </c>
      <c r="AH113">
        <f>4.03931853872747*1</f>
        <v>4.0393185387274704</v>
      </c>
      <c r="AI113">
        <v>1</v>
      </c>
      <c r="AJ113">
        <v>0</v>
      </c>
    </row>
    <row r="114" spans="1:36" hidden="1" x14ac:dyDescent="0.2">
      <c r="A114" t="s">
        <v>277</v>
      </c>
      <c r="B114" t="s">
        <v>278</v>
      </c>
      <c r="C114" t="s">
        <v>277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18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6.6</v>
      </c>
      <c r="AE114">
        <v>440</v>
      </c>
      <c r="AF114">
        <v>31.763270298301091</v>
      </c>
      <c r="AG114">
        <v>29.65767591515095</v>
      </c>
      <c r="AH114">
        <f>5.64793080227366*1</f>
        <v>5.6479308022736596</v>
      </c>
      <c r="AI114">
        <v>1</v>
      </c>
      <c r="AJ114">
        <v>0</v>
      </c>
    </row>
    <row r="115" spans="1:36" hidden="1" x14ac:dyDescent="0.2">
      <c r="A115" t="s">
        <v>279</v>
      </c>
      <c r="B115" t="s">
        <v>280</v>
      </c>
      <c r="C115" t="s">
        <v>280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19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4.5999999999999996</v>
      </c>
      <c r="AE115">
        <v>467</v>
      </c>
      <c r="AF115">
        <v>6.2514067510182043</v>
      </c>
      <c r="AG115">
        <v>0</v>
      </c>
      <c r="AH115">
        <f>1.83210569758796*1</f>
        <v>1.8321056975879599</v>
      </c>
      <c r="AI115">
        <v>1</v>
      </c>
      <c r="AJ115">
        <v>0</v>
      </c>
    </row>
    <row r="116" spans="1:36" hidden="1" x14ac:dyDescent="0.2">
      <c r="A116" t="s">
        <v>281</v>
      </c>
      <c r="B116" t="s">
        <v>282</v>
      </c>
      <c r="C116" t="s">
        <v>282</v>
      </c>
      <c r="D116" t="s">
        <v>6</v>
      </c>
      <c r="E116">
        <v>0</v>
      </c>
      <c r="F116">
        <v>0</v>
      </c>
      <c r="G116">
        <v>0</v>
      </c>
      <c r="H116">
        <v>1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</v>
      </c>
      <c r="AE116">
        <v>472</v>
      </c>
      <c r="AF116">
        <v>20.885820195759671</v>
      </c>
      <c r="AG116">
        <v>0</v>
      </c>
      <c r="AH116">
        <f>4.59439293980126*1</f>
        <v>4.59439293980126</v>
      </c>
      <c r="AI116">
        <v>1</v>
      </c>
      <c r="AJ116">
        <v>0</v>
      </c>
    </row>
    <row r="117" spans="1:36" hidden="1" x14ac:dyDescent="0.2">
      <c r="A117" t="s">
        <v>283</v>
      </c>
      <c r="B117" t="s">
        <v>284</v>
      </c>
      <c r="C117" s="1" t="s">
        <v>284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19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474</v>
      </c>
      <c r="AF117">
        <v>17.17264693426479</v>
      </c>
      <c r="AG117">
        <v>0</v>
      </c>
      <c r="AH117">
        <v>0</v>
      </c>
      <c r="AI117">
        <v>0</v>
      </c>
      <c r="AJ117">
        <v>0</v>
      </c>
    </row>
    <row r="118" spans="1:36" hidden="1" x14ac:dyDescent="0.2">
      <c r="A118" t="s">
        <v>285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19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4.5999999999999996</v>
      </c>
      <c r="AE118">
        <v>491</v>
      </c>
      <c r="AF118">
        <v>12.83333333333333</v>
      </c>
      <c r="AG118">
        <v>0</v>
      </c>
      <c r="AH118">
        <f>3.68467171662333*1</f>
        <v>3.6846717166233298</v>
      </c>
      <c r="AI118">
        <v>1</v>
      </c>
      <c r="AJ118">
        <v>0</v>
      </c>
    </row>
    <row r="119" spans="1:36" hidden="1" x14ac:dyDescent="0.2">
      <c r="A119" t="s">
        <v>287</v>
      </c>
      <c r="B119" t="s">
        <v>288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19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4.8</v>
      </c>
      <c r="AE119">
        <v>494</v>
      </c>
      <c r="AF119">
        <v>16.16504854368932</v>
      </c>
      <c r="AG119">
        <v>0</v>
      </c>
      <c r="AH119">
        <f>4.64126471429417*1</f>
        <v>4.6412647142941701</v>
      </c>
      <c r="AI119">
        <v>1</v>
      </c>
      <c r="AJ119">
        <v>0</v>
      </c>
    </row>
    <row r="120" spans="1:36" hidden="1" x14ac:dyDescent="0.2">
      <c r="A120" t="s">
        <v>289</v>
      </c>
      <c r="B120" t="s">
        <v>290</v>
      </c>
      <c r="C120" t="s">
        <v>290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506</v>
      </c>
      <c r="AF120">
        <v>18.437500000000011</v>
      </c>
      <c r="AG120">
        <v>0</v>
      </c>
      <c r="AH120">
        <f>3.55377975174812*1</f>
        <v>3.5537797517481202</v>
      </c>
      <c r="AI120">
        <v>1</v>
      </c>
      <c r="AJ120">
        <v>0</v>
      </c>
    </row>
    <row r="121" spans="1:36" hidden="1" x14ac:dyDescent="0.2">
      <c r="A121" t="s">
        <v>117</v>
      </c>
      <c r="B121" t="s">
        <v>291</v>
      </c>
      <c r="C121" t="s">
        <v>291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507</v>
      </c>
      <c r="AF121">
        <v>17.949640287769771</v>
      </c>
      <c r="AG121">
        <v>0</v>
      </c>
      <c r="AH121">
        <f>3.45974607218107*1</f>
        <v>3.45974607218107</v>
      </c>
      <c r="AI121">
        <v>1</v>
      </c>
      <c r="AJ121">
        <v>0</v>
      </c>
    </row>
    <row r="122" spans="1:36" hidden="1" x14ac:dyDescent="0.2">
      <c r="A122" t="s">
        <v>292</v>
      </c>
      <c r="B122" t="s">
        <v>293</v>
      </c>
      <c r="C122" t="s">
        <v>294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6.4</v>
      </c>
      <c r="AE122">
        <v>508</v>
      </c>
      <c r="AF122">
        <v>19.22413793103448</v>
      </c>
      <c r="AG122">
        <v>0</v>
      </c>
      <c r="AH122">
        <f>3.705402149105*1</f>
        <v>3.7054021491050002</v>
      </c>
      <c r="AI122">
        <v>1</v>
      </c>
      <c r="AJ122">
        <v>0</v>
      </c>
    </row>
    <row r="123" spans="1:36" hidden="1" x14ac:dyDescent="0.2">
      <c r="A123" t="s">
        <v>295</v>
      </c>
      <c r="B123" t="s">
        <v>296</v>
      </c>
      <c r="C123" t="s">
        <v>295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6.2</v>
      </c>
      <c r="AE123">
        <v>509</v>
      </c>
      <c r="AF123">
        <v>22.10526315789475</v>
      </c>
      <c r="AG123">
        <v>0</v>
      </c>
      <c r="AH123">
        <f>4.26073147756421*1</f>
        <v>4.2607314775642102</v>
      </c>
      <c r="AI123">
        <v>1</v>
      </c>
      <c r="AJ123">
        <v>0</v>
      </c>
    </row>
    <row r="124" spans="1:36" hidden="1" x14ac:dyDescent="0.2">
      <c r="A124" t="s">
        <v>297</v>
      </c>
      <c r="B124" t="s">
        <v>298</v>
      </c>
      <c r="C124" t="s">
        <v>297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5.5</v>
      </c>
      <c r="AE124">
        <v>515</v>
      </c>
      <c r="AF124">
        <v>15.142247214812279</v>
      </c>
      <c r="AG124">
        <v>0</v>
      </c>
      <c r="AH124">
        <f>2.58542562084955*1</f>
        <v>2.5854256208495499</v>
      </c>
      <c r="AI124">
        <v>1</v>
      </c>
      <c r="AJ124">
        <v>0</v>
      </c>
    </row>
    <row r="125" spans="1:36" hidden="1" x14ac:dyDescent="0.2">
      <c r="A125" t="s">
        <v>299</v>
      </c>
      <c r="B125" t="s">
        <v>300</v>
      </c>
      <c r="C125" t="s">
        <v>301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5.5</v>
      </c>
      <c r="AE125">
        <v>516</v>
      </c>
      <c r="AF125">
        <v>21.612238469252301</v>
      </c>
      <c r="AG125">
        <v>0</v>
      </c>
      <c r="AH125">
        <f>4.20458964940213*1</f>
        <v>4.2045896494021298</v>
      </c>
      <c r="AI125">
        <v>1</v>
      </c>
      <c r="AJ125">
        <v>0</v>
      </c>
    </row>
    <row r="126" spans="1:36" hidden="1" x14ac:dyDescent="0.2">
      <c r="A126" t="s">
        <v>302</v>
      </c>
      <c r="B126" t="s">
        <v>303</v>
      </c>
      <c r="C126" s="1" t="s">
        <v>303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8.3000000000000007</v>
      </c>
      <c r="AE126">
        <v>517</v>
      </c>
      <c r="AF126">
        <v>38.047797869213788</v>
      </c>
      <c r="AG126">
        <v>0</v>
      </c>
      <c r="AH126">
        <f>9.51021436554451*0.75</f>
        <v>7.1326607741583823</v>
      </c>
      <c r="AI126">
        <v>0.75</v>
      </c>
      <c r="AJ126">
        <v>0</v>
      </c>
    </row>
    <row r="127" spans="1:36" hidden="1" x14ac:dyDescent="0.2">
      <c r="A127" t="s">
        <v>304</v>
      </c>
      <c r="B127" t="s">
        <v>305</v>
      </c>
      <c r="C127" t="s">
        <v>305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14.3</v>
      </c>
      <c r="AE127">
        <v>519</v>
      </c>
      <c r="AF127">
        <v>31.504631711763391</v>
      </c>
      <c r="AG127">
        <v>0</v>
      </c>
      <c r="AH127">
        <f>6.85047531726237*1</f>
        <v>6.8504753172623696</v>
      </c>
      <c r="AI127">
        <v>1</v>
      </c>
      <c r="AJ127">
        <v>0</v>
      </c>
    </row>
    <row r="128" spans="1:36" hidden="1" x14ac:dyDescent="0.2">
      <c r="A128" t="s">
        <v>306</v>
      </c>
      <c r="B128" t="s">
        <v>307</v>
      </c>
      <c r="C128" t="s">
        <v>306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5.6</v>
      </c>
      <c r="AE128">
        <v>526</v>
      </c>
      <c r="AF128">
        <v>24.357655896001749</v>
      </c>
      <c r="AG128">
        <v>0</v>
      </c>
      <c r="AH128">
        <f>3.9862449944267*1</f>
        <v>3.9862449944267002</v>
      </c>
      <c r="AI128">
        <v>1</v>
      </c>
      <c r="AJ128">
        <v>0</v>
      </c>
    </row>
    <row r="129" spans="1:36" hidden="1" x14ac:dyDescent="0.2">
      <c r="A129" t="s">
        <v>308</v>
      </c>
      <c r="B129" t="s">
        <v>309</v>
      </c>
      <c r="C129" t="s">
        <v>309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5.3</v>
      </c>
      <c r="AE129">
        <v>530</v>
      </c>
      <c r="AF129">
        <v>18.068149637082961</v>
      </c>
      <c r="AG129">
        <v>0</v>
      </c>
      <c r="AH129">
        <f>3.70712385887695*0.25</f>
        <v>0.92678096471923754</v>
      </c>
      <c r="AI129">
        <v>0.25</v>
      </c>
      <c r="AJ129">
        <v>0</v>
      </c>
    </row>
    <row r="130" spans="1:36" hidden="1" x14ac:dyDescent="0.2">
      <c r="A130" t="s">
        <v>310</v>
      </c>
      <c r="B130" t="s">
        <v>311</v>
      </c>
      <c r="C130" t="s">
        <v>312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6.8</v>
      </c>
      <c r="AE130">
        <v>540</v>
      </c>
      <c r="AF130">
        <v>11.19173187515899</v>
      </c>
      <c r="AG130">
        <v>19.98029590406669</v>
      </c>
      <c r="AH130">
        <f>3.74001594839828*1</f>
        <v>3.74001594839828</v>
      </c>
      <c r="AI130">
        <v>1</v>
      </c>
      <c r="AJ130">
        <v>0</v>
      </c>
    </row>
    <row r="131" spans="1:36" hidden="1" x14ac:dyDescent="0.2">
      <c r="A131" t="s">
        <v>313</v>
      </c>
      <c r="B131" t="s">
        <v>314</v>
      </c>
      <c r="C131" t="s">
        <v>315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8.1999999999999993</v>
      </c>
      <c r="AE131">
        <v>541</v>
      </c>
      <c r="AF131">
        <v>24.369786748528149</v>
      </c>
      <c r="AG131">
        <v>28.04620077071921</v>
      </c>
      <c r="AH131">
        <f>6.4505450623997*1</f>
        <v>6.4505450623996996</v>
      </c>
      <c r="AI131">
        <v>1</v>
      </c>
      <c r="AJ131">
        <v>0</v>
      </c>
    </row>
    <row r="132" spans="1:36" hidden="1" x14ac:dyDescent="0.2">
      <c r="A132" t="s">
        <v>316</v>
      </c>
      <c r="B132" t="s">
        <v>317</v>
      </c>
      <c r="C132" t="s">
        <v>318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5.2</v>
      </c>
      <c r="AE132">
        <v>545</v>
      </c>
      <c r="AF132">
        <v>21.320754716981138</v>
      </c>
      <c r="AG132">
        <v>20.510006600754021</v>
      </c>
      <c r="AH132">
        <f>4.92070938348209*1</f>
        <v>4.9207093834820901</v>
      </c>
      <c r="AI132">
        <v>1</v>
      </c>
      <c r="AJ132">
        <v>0</v>
      </c>
    </row>
    <row r="133" spans="1:36" hidden="1" x14ac:dyDescent="0.2">
      <c r="A133" t="s">
        <v>319</v>
      </c>
      <c r="B133" t="s">
        <v>320</v>
      </c>
      <c r="C133" t="s">
        <v>320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4.9000000000000004</v>
      </c>
      <c r="AE133">
        <v>549</v>
      </c>
      <c r="AF133">
        <v>28.856473285074209</v>
      </c>
      <c r="AG133">
        <v>16.369717463329991</v>
      </c>
      <c r="AH133">
        <f>5.87520084314859*1</f>
        <v>5.8752008431485896</v>
      </c>
      <c r="AI133">
        <v>1</v>
      </c>
      <c r="AJ133">
        <v>0</v>
      </c>
    </row>
    <row r="134" spans="1:36" hidden="1" x14ac:dyDescent="0.2">
      <c r="A134" t="s">
        <v>321</v>
      </c>
      <c r="B134" t="s">
        <v>322</v>
      </c>
      <c r="C134" t="s">
        <v>322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4.5</v>
      </c>
      <c r="AE134">
        <v>558</v>
      </c>
      <c r="AF134">
        <v>16.11486486486487</v>
      </c>
      <c r="AG134">
        <v>13.957135287848651</v>
      </c>
      <c r="AH134">
        <f>3.76687237798366*1</f>
        <v>3.7668723779836601</v>
      </c>
      <c r="AI134">
        <v>1</v>
      </c>
      <c r="AJ134">
        <v>0</v>
      </c>
    </row>
    <row r="135" spans="1:36" hidden="1" x14ac:dyDescent="0.2">
      <c r="A135" t="s">
        <v>323</v>
      </c>
      <c r="B135" t="s">
        <v>324</v>
      </c>
      <c r="C135" t="s">
        <v>325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4.9000000000000004</v>
      </c>
      <c r="AE135">
        <v>560</v>
      </c>
      <c r="AF135">
        <v>15.81967213114755</v>
      </c>
      <c r="AG135">
        <v>13.449646408581041</v>
      </c>
      <c r="AH135">
        <f>3.84659508876722*1</f>
        <v>3.84659508876722</v>
      </c>
      <c r="AI135">
        <v>1</v>
      </c>
      <c r="AJ135">
        <v>0</v>
      </c>
    </row>
    <row r="136" spans="1:36" hidden="1" x14ac:dyDescent="0.2">
      <c r="A136" t="s">
        <v>109</v>
      </c>
      <c r="B136" t="s">
        <v>326</v>
      </c>
      <c r="C136" t="s">
        <v>326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8.4</v>
      </c>
      <c r="AE136">
        <v>561</v>
      </c>
      <c r="AF136">
        <v>24.106145251396669</v>
      </c>
      <c r="AG136">
        <v>21.754237624249999</v>
      </c>
      <c r="AH136">
        <f>5.94550791891946*1</f>
        <v>5.9455079189194597</v>
      </c>
      <c r="AI136">
        <v>1</v>
      </c>
      <c r="AJ136">
        <v>0</v>
      </c>
    </row>
    <row r="137" spans="1:36" x14ac:dyDescent="0.2">
      <c r="A137" t="s">
        <v>327</v>
      </c>
      <c r="B137" t="s">
        <v>225</v>
      </c>
      <c r="C137" s="1" t="s">
        <v>225</v>
      </c>
      <c r="D137" t="s">
        <v>3</v>
      </c>
      <c r="E137">
        <v>1</v>
      </c>
      <c r="F137">
        <v>0</v>
      </c>
      <c r="G137">
        <v>0</v>
      </c>
      <c r="H137">
        <v>0</v>
      </c>
      <c r="I137" t="s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4.9000000000000004</v>
      </c>
      <c r="AE137">
        <v>567</v>
      </c>
      <c r="AF137">
        <v>21.29032258064516</v>
      </c>
      <c r="AG137">
        <v>20.5875498598047</v>
      </c>
      <c r="AH137">
        <f>5.1449386046997*1</f>
        <v>5.1449386046996999</v>
      </c>
      <c r="AI137">
        <v>1</v>
      </c>
      <c r="AJ137">
        <v>1</v>
      </c>
    </row>
    <row r="138" spans="1:36" hidden="1" x14ac:dyDescent="0.2">
      <c r="A138" t="s">
        <v>328</v>
      </c>
      <c r="B138" t="s">
        <v>329</v>
      </c>
      <c r="C138" t="s">
        <v>329</v>
      </c>
      <c r="D138" t="s">
        <v>6</v>
      </c>
      <c r="E138">
        <v>0</v>
      </c>
      <c r="F138">
        <v>0</v>
      </c>
      <c r="G138">
        <v>0</v>
      </c>
      <c r="H138">
        <v>1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>
        <v>568</v>
      </c>
      <c r="AF138">
        <v>17.01746522401902</v>
      </c>
      <c r="AG138">
        <v>21.15384793567425</v>
      </c>
      <c r="AH138">
        <f>4.05745244543189*1</f>
        <v>4.0574524454318901</v>
      </c>
      <c r="AI138">
        <v>1</v>
      </c>
      <c r="AJ138">
        <v>0</v>
      </c>
    </row>
    <row r="139" spans="1:36" hidden="1" x14ac:dyDescent="0.2">
      <c r="A139" t="s">
        <v>313</v>
      </c>
      <c r="B139" t="s">
        <v>330</v>
      </c>
      <c r="C139" t="s">
        <v>331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5.8</v>
      </c>
      <c r="AE139">
        <v>587</v>
      </c>
      <c r="AF139">
        <v>20.674682053902622</v>
      </c>
      <c r="AG139">
        <v>19.529174807440899</v>
      </c>
      <c r="AH139">
        <f>5.00693754313486*1</f>
        <v>5.0069375431348604</v>
      </c>
      <c r="AI139">
        <v>1</v>
      </c>
      <c r="AJ139">
        <v>0</v>
      </c>
    </row>
    <row r="140" spans="1:36" hidden="1" x14ac:dyDescent="0.2">
      <c r="A140" t="s">
        <v>332</v>
      </c>
      <c r="B140" t="s">
        <v>333</v>
      </c>
      <c r="C140" t="s">
        <v>333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22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4.5</v>
      </c>
      <c r="AE140">
        <v>588</v>
      </c>
      <c r="AF140">
        <v>18.69909799297173</v>
      </c>
      <c r="AG140">
        <v>19.604174188849001</v>
      </c>
      <c r="AH140">
        <f>4.29364560110374*1</f>
        <v>4.2936456011037398</v>
      </c>
      <c r="AI140">
        <v>1</v>
      </c>
      <c r="AJ140">
        <v>0</v>
      </c>
    </row>
    <row r="141" spans="1:36" hidden="1" x14ac:dyDescent="0.2">
      <c r="A141" t="s">
        <v>334</v>
      </c>
      <c r="B141" t="s">
        <v>335</v>
      </c>
      <c r="C141" t="s">
        <v>335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</v>
      </c>
      <c r="AE141">
        <v>593</v>
      </c>
      <c r="AF141">
        <v>30.24990185797537</v>
      </c>
      <c r="AG141">
        <v>20.368991143633249</v>
      </c>
      <c r="AH141">
        <f>5.35695180526075*1</f>
        <v>5.3569518052607501</v>
      </c>
      <c r="AI141">
        <v>1</v>
      </c>
      <c r="AJ141">
        <v>0</v>
      </c>
    </row>
    <row r="142" spans="1:36" x14ac:dyDescent="0.2">
      <c r="A142" t="s">
        <v>336</v>
      </c>
      <c r="B142" t="s">
        <v>337</v>
      </c>
      <c r="C142" s="1" t="s">
        <v>337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22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7.9</v>
      </c>
      <c r="AE142">
        <v>596</v>
      </c>
      <c r="AF142">
        <v>26.627906976744189</v>
      </c>
      <c r="AG142">
        <v>29.573495613353249</v>
      </c>
      <c r="AH142">
        <f>6.79152433042973*1</f>
        <v>6.7915243304297297</v>
      </c>
      <c r="AI142">
        <v>1</v>
      </c>
      <c r="AJ142">
        <v>1</v>
      </c>
    </row>
    <row r="143" spans="1:36" hidden="1" x14ac:dyDescent="0.2">
      <c r="A143" t="s">
        <v>338</v>
      </c>
      <c r="B143" t="s">
        <v>339</v>
      </c>
      <c r="C143" t="s">
        <v>339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4.8</v>
      </c>
      <c r="AE143">
        <v>602</v>
      </c>
      <c r="AF143">
        <v>14.45255474452555</v>
      </c>
      <c r="AG143">
        <v>12.54933821392817</v>
      </c>
      <c r="AH143">
        <f>3.15496599015473*1</f>
        <v>3.15496599015473</v>
      </c>
      <c r="AI143">
        <v>1</v>
      </c>
      <c r="AJ143">
        <v>0</v>
      </c>
    </row>
    <row r="144" spans="1:36" hidden="1" x14ac:dyDescent="0.2">
      <c r="A144" t="s">
        <v>340</v>
      </c>
      <c r="B144" t="s">
        <v>341</v>
      </c>
      <c r="C144" t="s">
        <v>341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5.5</v>
      </c>
      <c r="AE144">
        <v>608</v>
      </c>
      <c r="AF144">
        <v>20.07310130210157</v>
      </c>
      <c r="AG144">
        <v>24.47932437721466</v>
      </c>
      <c r="AH144">
        <f>5.70175118280614*1</f>
        <v>5.7017511828061398</v>
      </c>
      <c r="AI144">
        <v>1</v>
      </c>
      <c r="AJ144">
        <v>0</v>
      </c>
    </row>
    <row r="145" spans="1:36" hidden="1" x14ac:dyDescent="0.2">
      <c r="A145" t="s">
        <v>342</v>
      </c>
      <c r="B145" t="s">
        <v>343</v>
      </c>
      <c r="C145" t="s">
        <v>343</v>
      </c>
      <c r="D145" t="s">
        <v>4</v>
      </c>
      <c r="E145">
        <v>0</v>
      </c>
      <c r="F145">
        <v>1</v>
      </c>
      <c r="G145">
        <v>0</v>
      </c>
      <c r="H145">
        <v>0</v>
      </c>
      <c r="I145" t="s">
        <v>22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6.6</v>
      </c>
      <c r="AE145">
        <v>611</v>
      </c>
      <c r="AF145">
        <v>23.854892670445551</v>
      </c>
      <c r="AG145">
        <v>18.043647187274178</v>
      </c>
      <c r="AH145">
        <f>3.06391040618465*0</f>
        <v>0</v>
      </c>
      <c r="AI145">
        <v>0</v>
      </c>
      <c r="AJ145">
        <v>0</v>
      </c>
    </row>
    <row r="146" spans="1:36" hidden="1" x14ac:dyDescent="0.2">
      <c r="A146" t="s">
        <v>344</v>
      </c>
      <c r="B146" t="s">
        <v>345</v>
      </c>
      <c r="C146" t="s">
        <v>345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4.7</v>
      </c>
      <c r="AE146">
        <v>628</v>
      </c>
      <c r="AF146">
        <v>0</v>
      </c>
      <c r="AG146">
        <v>13.04568051032326</v>
      </c>
      <c r="AH146">
        <f>4.84957479163819*1</f>
        <v>4.8495747916381902</v>
      </c>
      <c r="AI146">
        <v>1</v>
      </c>
      <c r="AJ146">
        <v>0</v>
      </c>
    </row>
    <row r="147" spans="1:36" hidden="1" x14ac:dyDescent="0.2">
      <c r="A147" t="s">
        <v>334</v>
      </c>
      <c r="B147" t="s">
        <v>346</v>
      </c>
      <c r="C147" t="s">
        <v>346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5.0999999999999996</v>
      </c>
      <c r="AE147">
        <v>629</v>
      </c>
      <c r="AF147">
        <v>0</v>
      </c>
      <c r="AG147">
        <v>12.507105980879389</v>
      </c>
      <c r="AH147">
        <f>4.68900332209185*1</f>
        <v>4.6890033220918497</v>
      </c>
      <c r="AI147">
        <v>1</v>
      </c>
      <c r="AJ147">
        <v>0</v>
      </c>
    </row>
    <row r="148" spans="1:36" hidden="1" x14ac:dyDescent="0.2">
      <c r="A148" t="s">
        <v>347</v>
      </c>
      <c r="B148" t="s">
        <v>348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5.3</v>
      </c>
      <c r="AE148">
        <v>638</v>
      </c>
      <c r="AF148">
        <v>0</v>
      </c>
      <c r="AG148">
        <v>18.948249126072351</v>
      </c>
      <c r="AH148">
        <f>5.25548891878995*1</f>
        <v>5.2554889187899496</v>
      </c>
      <c r="AI148">
        <v>1</v>
      </c>
      <c r="AJ148">
        <v>0</v>
      </c>
    </row>
    <row r="149" spans="1:36" hidden="1" x14ac:dyDescent="0.2">
      <c r="A149" t="s">
        <v>349</v>
      </c>
      <c r="B149" t="s">
        <v>350</v>
      </c>
      <c r="C149" t="s">
        <v>350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5.7</v>
      </c>
      <c r="AE149">
        <v>643</v>
      </c>
      <c r="AF149">
        <v>0</v>
      </c>
      <c r="AG149">
        <v>12.69078115433898</v>
      </c>
      <c r="AH149">
        <f>4.18954676674721*1</f>
        <v>4.1895467667472097</v>
      </c>
      <c r="AI149">
        <v>1</v>
      </c>
      <c r="AJ149">
        <v>0</v>
      </c>
    </row>
    <row r="150" spans="1:36" hidden="1" x14ac:dyDescent="0.2">
      <c r="A150" t="s">
        <v>351</v>
      </c>
      <c r="B150" t="s">
        <v>352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5</v>
      </c>
      <c r="AE150">
        <v>648</v>
      </c>
      <c r="AF150">
        <v>0</v>
      </c>
      <c r="AG150">
        <v>18.48597641312745</v>
      </c>
      <c r="AH150">
        <f>6.29219969342153*1</f>
        <v>6.2921996934215301</v>
      </c>
      <c r="AI150">
        <v>1</v>
      </c>
      <c r="AJ150">
        <v>0</v>
      </c>
    </row>
    <row r="151" spans="1:36" x14ac:dyDescent="0.2">
      <c r="A151" t="s">
        <v>353</v>
      </c>
      <c r="B151" t="s">
        <v>354</v>
      </c>
      <c r="C151" s="1" t="s">
        <v>354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4.3</v>
      </c>
      <c r="AE151">
        <v>662</v>
      </c>
      <c r="AF151">
        <v>0</v>
      </c>
      <c r="AG151">
        <v>13.436728904407349</v>
      </c>
      <c r="AH151">
        <f>5.7046731443073*1</f>
        <v>5.7046731443073</v>
      </c>
      <c r="AI151">
        <v>1</v>
      </c>
      <c r="AJ151">
        <v>1</v>
      </c>
    </row>
    <row r="152" spans="1:36" hidden="1" x14ac:dyDescent="0.2">
      <c r="A152" t="s">
        <v>355</v>
      </c>
      <c r="B152" t="s">
        <v>356</v>
      </c>
      <c r="C152" t="s">
        <v>356</v>
      </c>
      <c r="D152" t="s">
        <v>6</v>
      </c>
      <c r="E152">
        <v>0</v>
      </c>
      <c r="F152">
        <v>0</v>
      </c>
      <c r="G152">
        <v>0</v>
      </c>
      <c r="H152">
        <v>1</v>
      </c>
      <c r="I152" t="s">
        <v>23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4.8</v>
      </c>
      <c r="AE152">
        <v>663</v>
      </c>
      <c r="AF152">
        <v>0</v>
      </c>
      <c r="AG152">
        <v>16.89015615329728</v>
      </c>
      <c r="AH152">
        <f>5.94218792885582*1</f>
        <v>5.9421879288558204</v>
      </c>
      <c r="AI152">
        <v>1</v>
      </c>
      <c r="AJ152">
        <v>0</v>
      </c>
    </row>
    <row r="153" spans="1:36" x14ac:dyDescent="0.2">
      <c r="A153" t="s">
        <v>91</v>
      </c>
      <c r="B153" t="s">
        <v>357</v>
      </c>
      <c r="C153" s="1" t="s">
        <v>357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4.8</v>
      </c>
      <c r="AE153">
        <v>665</v>
      </c>
      <c r="AF153">
        <v>0</v>
      </c>
      <c r="AG153">
        <v>14.40880948192156</v>
      </c>
      <c r="AH153">
        <f>6.33300595363335*1</f>
        <v>6.3330059536333501</v>
      </c>
      <c r="AI153">
        <v>1</v>
      </c>
      <c r="AJ153">
        <v>1</v>
      </c>
    </row>
    <row r="154" spans="1:36" x14ac:dyDescent="0.2">
      <c r="A154" t="s">
        <v>358</v>
      </c>
      <c r="B154" t="s">
        <v>359</v>
      </c>
      <c r="C154" s="1" t="s">
        <v>358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4.5</v>
      </c>
      <c r="AE154">
        <v>670</v>
      </c>
      <c r="AF154">
        <v>0</v>
      </c>
      <c r="AG154">
        <v>12.788933074275519</v>
      </c>
      <c r="AH154">
        <f>7.1919219155261*1</f>
        <v>7.1919219155261001</v>
      </c>
      <c r="AI154">
        <v>1</v>
      </c>
      <c r="AJ154">
        <v>1</v>
      </c>
    </row>
    <row r="155" spans="1:36" hidden="1" x14ac:dyDescent="0.2">
      <c r="A155" t="s">
        <v>360</v>
      </c>
      <c r="B155" t="s">
        <v>361</v>
      </c>
      <c r="C155" t="s">
        <v>361</v>
      </c>
      <c r="D155" t="s">
        <v>6</v>
      </c>
      <c r="E155">
        <v>0</v>
      </c>
      <c r="F155">
        <v>0</v>
      </c>
      <c r="G155">
        <v>0</v>
      </c>
      <c r="H155">
        <v>1</v>
      </c>
      <c r="I155" t="s">
        <v>24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4.2</v>
      </c>
      <c r="AE155">
        <v>683</v>
      </c>
      <c r="AF155">
        <v>16.230632498581311</v>
      </c>
      <c r="AG155">
        <v>0</v>
      </c>
      <c r="AH155">
        <f>3.47490119449927*1</f>
        <v>3.47490119449927</v>
      </c>
      <c r="AI155">
        <v>1</v>
      </c>
      <c r="AJ155">
        <v>0</v>
      </c>
    </row>
    <row r="156" spans="1:36" hidden="1" x14ac:dyDescent="0.2">
      <c r="A156" t="s">
        <v>362</v>
      </c>
      <c r="B156" t="s">
        <v>363</v>
      </c>
      <c r="C156" t="s">
        <v>363</v>
      </c>
      <c r="D156" t="s">
        <v>4</v>
      </c>
      <c r="E156">
        <v>0</v>
      </c>
      <c r="F156">
        <v>1</v>
      </c>
      <c r="G156">
        <v>0</v>
      </c>
      <c r="H156">
        <v>0</v>
      </c>
      <c r="I156" t="s">
        <v>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4.5</v>
      </c>
      <c r="AE156">
        <v>690</v>
      </c>
      <c r="AF156">
        <v>17.332084546518711</v>
      </c>
      <c r="AG156">
        <v>0</v>
      </c>
      <c r="AH156">
        <f>3.61896344988836*1</f>
        <v>3.6189634498883598</v>
      </c>
      <c r="AI156">
        <v>1</v>
      </c>
      <c r="AJ156">
        <v>0</v>
      </c>
    </row>
    <row r="157" spans="1:36" hidden="1" x14ac:dyDescent="0.2">
      <c r="A157" t="s">
        <v>364</v>
      </c>
      <c r="B157" t="s">
        <v>365</v>
      </c>
      <c r="C157" t="s">
        <v>365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4.8</v>
      </c>
      <c r="AE157">
        <v>702</v>
      </c>
      <c r="AF157">
        <v>17.741935483870961</v>
      </c>
      <c r="AG157">
        <v>0</v>
      </c>
      <c r="AH157">
        <f>3.80937036333333*1</f>
        <v>3.80937036333333</v>
      </c>
      <c r="AI157">
        <v>1</v>
      </c>
      <c r="AJ157">
        <v>0</v>
      </c>
    </row>
    <row r="158" spans="1:36" hidden="1" x14ac:dyDescent="0.2">
      <c r="A158" t="s">
        <v>366</v>
      </c>
      <c r="B158" t="s">
        <v>247</v>
      </c>
      <c r="C158" t="s">
        <v>247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4.3</v>
      </c>
      <c r="AE158">
        <v>705</v>
      </c>
      <c r="AF158">
        <v>14.60869565217391</v>
      </c>
      <c r="AG158">
        <v>0</v>
      </c>
      <c r="AH158">
        <f>3.13663254580869*1</f>
        <v>3.1366325458086899</v>
      </c>
      <c r="AI158">
        <v>1</v>
      </c>
      <c r="AJ158">
        <v>0</v>
      </c>
    </row>
    <row r="159" spans="1:36" hidden="1" x14ac:dyDescent="0.2">
      <c r="A159" t="s">
        <v>367</v>
      </c>
      <c r="B159" t="s">
        <v>368</v>
      </c>
      <c r="C159" t="s">
        <v>368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4.9000000000000004</v>
      </c>
      <c r="AE159">
        <v>714</v>
      </c>
      <c r="AF159">
        <v>25.03448275862068</v>
      </c>
      <c r="AG159">
        <v>0</v>
      </c>
      <c r="AH159">
        <f>5.37515294026206*1</f>
        <v>5.3751529402620601</v>
      </c>
      <c r="AI159">
        <v>1</v>
      </c>
      <c r="AJ159">
        <v>0</v>
      </c>
    </row>
    <row r="160" spans="1:36" hidden="1" x14ac:dyDescent="0.2">
      <c r="A160" t="s">
        <v>369</v>
      </c>
      <c r="B160" t="s">
        <v>370</v>
      </c>
      <c r="C160" t="s">
        <v>370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5.8</v>
      </c>
      <c r="AE160">
        <v>726</v>
      </c>
      <c r="AF160">
        <v>23.582022023559109</v>
      </c>
      <c r="AG160">
        <v>0</v>
      </c>
      <c r="AH160">
        <f>6.45448848731137*1</f>
        <v>6.4544884873113704</v>
      </c>
      <c r="AI160">
        <v>1</v>
      </c>
      <c r="AJ160">
        <v>0</v>
      </c>
    </row>
    <row r="161" spans="1:36" hidden="1" x14ac:dyDescent="0.2">
      <c r="A161" t="s">
        <v>371</v>
      </c>
      <c r="B161" t="s">
        <v>372</v>
      </c>
      <c r="C161" t="s">
        <v>372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25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5</v>
      </c>
      <c r="AE161">
        <v>729</v>
      </c>
      <c r="AF161">
        <v>14.19742240973676</v>
      </c>
      <c r="AG161">
        <v>0</v>
      </c>
      <c r="AH161">
        <f>2.77225828204997*1</f>
        <v>2.7722582820499699</v>
      </c>
      <c r="AI161">
        <v>1</v>
      </c>
      <c r="AJ161">
        <v>0</v>
      </c>
    </row>
    <row r="162" spans="1:36" hidden="1" x14ac:dyDescent="0.2">
      <c r="A162" t="s">
        <v>373</v>
      </c>
      <c r="B162" t="s">
        <v>374</v>
      </c>
      <c r="C162" t="s">
        <v>374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6.8</v>
      </c>
      <c r="AE162">
        <v>737</v>
      </c>
      <c r="AF162">
        <v>22.191780821917821</v>
      </c>
      <c r="AG162">
        <v>0</v>
      </c>
      <c r="AH162">
        <f>4.58466637827945*1</f>
        <v>4.5846663782794499</v>
      </c>
      <c r="AI162">
        <v>1</v>
      </c>
      <c r="AJ162">
        <v>0</v>
      </c>
    </row>
    <row r="163" spans="1:36" hidden="1" x14ac:dyDescent="0.2">
      <c r="A163" t="s">
        <v>218</v>
      </c>
      <c r="B163" t="s">
        <v>375</v>
      </c>
      <c r="C163" t="s">
        <v>375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7.9</v>
      </c>
      <c r="AE163">
        <v>740</v>
      </c>
      <c r="AF163">
        <v>22.56567025988446</v>
      </c>
      <c r="AG163">
        <v>0</v>
      </c>
      <c r="AH163">
        <f>4.3306662238728*1</f>
        <v>4.3306662238728002</v>
      </c>
      <c r="AI163">
        <v>1</v>
      </c>
      <c r="AJ163">
        <v>0</v>
      </c>
    </row>
    <row r="164" spans="1:36" hidden="1" x14ac:dyDescent="0.2">
      <c r="A164" t="s">
        <v>376</v>
      </c>
      <c r="B164" t="s">
        <v>377</v>
      </c>
      <c r="C164" t="s">
        <v>378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5.9</v>
      </c>
      <c r="AE164">
        <v>742</v>
      </c>
      <c r="AF164">
        <v>21.04651162790698</v>
      </c>
      <c r="AG164">
        <v>0</v>
      </c>
      <c r="AH164">
        <f>4.34806178985116*1</f>
        <v>4.34806178985116</v>
      </c>
      <c r="AI164">
        <v>1</v>
      </c>
      <c r="AJ164">
        <v>0</v>
      </c>
    </row>
    <row r="165" spans="1:36" hidden="1" x14ac:dyDescent="0.2">
      <c r="A165" t="s">
        <v>379</v>
      </c>
      <c r="B165" t="s">
        <v>380</v>
      </c>
      <c r="C165" t="s">
        <v>380</v>
      </c>
      <c r="D165" t="s">
        <v>4</v>
      </c>
      <c r="E165">
        <v>0</v>
      </c>
      <c r="F165">
        <v>1</v>
      </c>
      <c r="G165">
        <v>0</v>
      </c>
      <c r="H165">
        <v>0</v>
      </c>
      <c r="I165" t="s">
        <v>25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5.2</v>
      </c>
      <c r="AE165">
        <v>746</v>
      </c>
      <c r="AF165">
        <v>21.527777777777771</v>
      </c>
      <c r="AG165">
        <v>0</v>
      </c>
      <c r="AH165">
        <f>4.44748800327777*1</f>
        <v>4.4474880032777699</v>
      </c>
      <c r="AI165">
        <v>1</v>
      </c>
      <c r="AJ165">
        <v>0</v>
      </c>
    </row>
    <row r="166" spans="1:36" hidden="1" x14ac:dyDescent="0.2">
      <c r="A166" t="s">
        <v>381</v>
      </c>
      <c r="B166" t="s">
        <v>382</v>
      </c>
      <c r="C166" t="s">
        <v>382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25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4.4000000000000004</v>
      </c>
      <c r="AE166">
        <v>748</v>
      </c>
      <c r="AF166">
        <v>15.52631578947368</v>
      </c>
      <c r="AG166">
        <v>0</v>
      </c>
      <c r="AH166">
        <f>3.20762802002105*1</f>
        <v>3.2076280200210499</v>
      </c>
      <c r="AI166">
        <v>1</v>
      </c>
      <c r="AJ166">
        <v>0</v>
      </c>
    </row>
    <row r="167" spans="1:36" hidden="1" x14ac:dyDescent="0.2">
      <c r="A167" t="s">
        <v>383</v>
      </c>
      <c r="B167" t="s">
        <v>384</v>
      </c>
      <c r="C167" t="s">
        <v>383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10.1</v>
      </c>
      <c r="AE167">
        <v>751</v>
      </c>
      <c r="AF167">
        <v>27.539682539682531</v>
      </c>
      <c r="AG167">
        <v>0</v>
      </c>
      <c r="AH167">
        <f>5.68950539036825*1</f>
        <v>5.6895053903682502</v>
      </c>
      <c r="AI167">
        <v>1</v>
      </c>
      <c r="AJ167">
        <v>0</v>
      </c>
    </row>
    <row r="168" spans="1:36" hidden="1" x14ac:dyDescent="0.2">
      <c r="A168" t="s">
        <v>385</v>
      </c>
      <c r="B168" t="s">
        <v>386</v>
      </c>
      <c r="C168" t="s">
        <v>386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25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5</v>
      </c>
      <c r="AE168">
        <v>754</v>
      </c>
      <c r="AF168">
        <v>19.25925925925926</v>
      </c>
      <c r="AG168">
        <v>0</v>
      </c>
      <c r="AH168">
        <f>3.97882797712592*1</f>
        <v>3.9788279771259201</v>
      </c>
      <c r="AI168">
        <v>1</v>
      </c>
      <c r="AJ168">
        <v>0</v>
      </c>
    </row>
    <row r="169" spans="1:36" hidden="1" x14ac:dyDescent="0.2">
      <c r="A169" t="s">
        <v>387</v>
      </c>
      <c r="B169" t="s">
        <v>388</v>
      </c>
      <c r="C169" t="s">
        <v>388</v>
      </c>
      <c r="D169" t="s">
        <v>3</v>
      </c>
      <c r="E169">
        <v>1</v>
      </c>
      <c r="F169">
        <v>0</v>
      </c>
      <c r="G169">
        <v>0</v>
      </c>
      <c r="H169">
        <v>0</v>
      </c>
      <c r="I169" t="s">
        <v>25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5.3</v>
      </c>
      <c r="AE169">
        <v>755</v>
      </c>
      <c r="AF169">
        <v>17.44529137730267</v>
      </c>
      <c r="AG169">
        <v>0</v>
      </c>
      <c r="AH169">
        <f>3.90957331470366*1</f>
        <v>3.90957331470366</v>
      </c>
      <c r="AI169">
        <v>1</v>
      </c>
      <c r="AJ169">
        <v>0</v>
      </c>
    </row>
    <row r="170" spans="1:36" hidden="1" x14ac:dyDescent="0.2">
      <c r="A170" t="s">
        <v>389</v>
      </c>
      <c r="B170" t="s">
        <v>390</v>
      </c>
      <c r="C170" t="s">
        <v>390</v>
      </c>
      <c r="D170" t="s">
        <v>3</v>
      </c>
      <c r="E170">
        <v>1</v>
      </c>
      <c r="F170">
        <v>0</v>
      </c>
      <c r="G170">
        <v>0</v>
      </c>
      <c r="H170">
        <v>0</v>
      </c>
      <c r="I170" t="s">
        <v>26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4.2</v>
      </c>
      <c r="AE170">
        <v>770</v>
      </c>
      <c r="AF170">
        <v>17.878787878787879</v>
      </c>
      <c r="AG170">
        <v>0</v>
      </c>
      <c r="AH170">
        <f>3.22829406636303*1</f>
        <v>3.2282940663630302</v>
      </c>
      <c r="AI170">
        <v>1</v>
      </c>
      <c r="AJ170">
        <v>0</v>
      </c>
    </row>
    <row r="171" spans="1:36" hidden="1" x14ac:dyDescent="0.2">
      <c r="A171" t="s">
        <v>391</v>
      </c>
      <c r="B171" t="s">
        <v>392</v>
      </c>
      <c r="C171" t="s">
        <v>392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7.9</v>
      </c>
      <c r="AE171">
        <v>772</v>
      </c>
      <c r="AF171">
        <v>23.482960931988561</v>
      </c>
      <c r="AG171">
        <v>0</v>
      </c>
      <c r="AH171">
        <f>3.92441135681658*1</f>
        <v>3.9244113568165799</v>
      </c>
      <c r="AI171">
        <v>1</v>
      </c>
      <c r="AJ171">
        <v>0</v>
      </c>
    </row>
    <row r="172" spans="1:36" hidden="1" x14ac:dyDescent="0.2">
      <c r="A172" t="s">
        <v>393</v>
      </c>
      <c r="B172" t="s">
        <v>394</v>
      </c>
      <c r="C172" t="s">
        <v>394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26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4.5999999999999996</v>
      </c>
      <c r="AE172">
        <v>774</v>
      </c>
      <c r="AF172">
        <v>17.333333333333329</v>
      </c>
      <c r="AG172">
        <v>0</v>
      </c>
      <c r="AH172">
        <f>3.12980373891466*1</f>
        <v>3.12980373891466</v>
      </c>
      <c r="AI172">
        <v>1</v>
      </c>
      <c r="AJ172">
        <v>0</v>
      </c>
    </row>
    <row r="173" spans="1:36" hidden="1" x14ac:dyDescent="0.2">
      <c r="A173" t="s">
        <v>395</v>
      </c>
      <c r="B173" t="s">
        <v>396</v>
      </c>
      <c r="C173" t="s">
        <v>395</v>
      </c>
      <c r="D173" t="s">
        <v>4</v>
      </c>
      <c r="E173">
        <v>0</v>
      </c>
      <c r="F173">
        <v>1</v>
      </c>
      <c r="G173">
        <v>0</v>
      </c>
      <c r="H173">
        <v>0</v>
      </c>
      <c r="I173" t="s">
        <v>26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4.4000000000000004</v>
      </c>
      <c r="AE173">
        <v>778</v>
      </c>
      <c r="AF173">
        <v>13.782051282051279</v>
      </c>
      <c r="AG173">
        <v>0</v>
      </c>
      <c r="AH173">
        <f>2.48856436341217*1</f>
        <v>2.4885643634121699</v>
      </c>
      <c r="AI173">
        <v>1</v>
      </c>
      <c r="AJ173">
        <v>0</v>
      </c>
    </row>
    <row r="174" spans="1:36" hidden="1" x14ac:dyDescent="0.2">
      <c r="A174" t="s">
        <v>397</v>
      </c>
      <c r="B174" t="s">
        <v>398</v>
      </c>
      <c r="C174" t="s">
        <v>399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6</v>
      </c>
      <c r="AE174">
        <v>785</v>
      </c>
      <c r="AF174">
        <v>19.547424080759811</v>
      </c>
      <c r="AG174">
        <v>0</v>
      </c>
      <c r="AH174">
        <f>2.73733176156398*1</f>
        <v>2.7373317615639801</v>
      </c>
      <c r="AI174">
        <v>1</v>
      </c>
      <c r="AJ174">
        <v>0</v>
      </c>
    </row>
    <row r="175" spans="1:36" hidden="1" x14ac:dyDescent="0.2">
      <c r="A175" t="s">
        <v>400</v>
      </c>
      <c r="B175" t="s">
        <v>401</v>
      </c>
      <c r="C175" t="s">
        <v>401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26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4.9000000000000004</v>
      </c>
      <c r="AE175">
        <v>787</v>
      </c>
      <c r="AF175">
        <v>19.35483870967742</v>
      </c>
      <c r="AG175">
        <v>0</v>
      </c>
      <c r="AH175">
        <f>3.49481807074838*1</f>
        <v>3.49481807074838</v>
      </c>
      <c r="AI175">
        <v>1</v>
      </c>
      <c r="AJ175">
        <v>0</v>
      </c>
    </row>
    <row r="176" spans="1:36" hidden="1" x14ac:dyDescent="0.2">
      <c r="A176" t="s">
        <v>402</v>
      </c>
      <c r="B176" t="s">
        <v>403</v>
      </c>
      <c r="C176" t="s">
        <v>403</v>
      </c>
      <c r="D176" t="s">
        <v>4</v>
      </c>
      <c r="E176">
        <v>0</v>
      </c>
      <c r="F176">
        <v>1</v>
      </c>
      <c r="G176">
        <v>0</v>
      </c>
      <c r="H176">
        <v>0</v>
      </c>
      <c r="I176" t="s">
        <v>26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4.5</v>
      </c>
      <c r="AE176">
        <v>789</v>
      </c>
      <c r="AF176">
        <v>18.325142135271779</v>
      </c>
      <c r="AG176">
        <v>0</v>
      </c>
      <c r="AH176">
        <f>2.8132950558619*1</f>
        <v>2.8132950558619001</v>
      </c>
      <c r="AI176">
        <v>1</v>
      </c>
      <c r="AJ176">
        <v>0</v>
      </c>
    </row>
    <row r="177" spans="1:36" hidden="1" x14ac:dyDescent="0.2">
      <c r="A177" t="s">
        <v>404</v>
      </c>
      <c r="B177" t="s">
        <v>405</v>
      </c>
      <c r="C177" t="s">
        <v>293</v>
      </c>
      <c r="D177" t="s">
        <v>5</v>
      </c>
      <c r="E177">
        <v>0</v>
      </c>
      <c r="F177">
        <v>0</v>
      </c>
      <c r="G177">
        <v>1</v>
      </c>
      <c r="H177">
        <v>0</v>
      </c>
      <c r="I177" t="s">
        <v>26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5</v>
      </c>
      <c r="AE177">
        <v>791</v>
      </c>
      <c r="AF177">
        <v>18.985020319339039</v>
      </c>
      <c r="AG177">
        <v>0</v>
      </c>
      <c r="AH177">
        <f>3.93674284958354*1</f>
        <v>3.9367428495835401</v>
      </c>
      <c r="AI177">
        <v>1</v>
      </c>
      <c r="AJ177">
        <v>0</v>
      </c>
    </row>
    <row r="178" spans="1:36" hidden="1" x14ac:dyDescent="0.2">
      <c r="A178" t="s">
        <v>218</v>
      </c>
      <c r="B178" t="s">
        <v>406</v>
      </c>
      <c r="C178" t="s">
        <v>406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5.8</v>
      </c>
      <c r="AE178">
        <v>793</v>
      </c>
      <c r="AF178">
        <v>22.47499999999998</v>
      </c>
      <c r="AG178">
        <v>0</v>
      </c>
      <c r="AH178">
        <f>4.05821186723694*1</f>
        <v>4.0582118672369401</v>
      </c>
      <c r="AI178">
        <v>1</v>
      </c>
      <c r="AJ178">
        <v>0</v>
      </c>
    </row>
    <row r="179" spans="1:36" hidden="1" x14ac:dyDescent="0.2">
      <c r="A179" t="s">
        <v>407</v>
      </c>
      <c r="B179" t="s">
        <v>408</v>
      </c>
      <c r="C179" t="s">
        <v>408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26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6.8</v>
      </c>
      <c r="AE179">
        <v>795</v>
      </c>
      <c r="AF179">
        <v>19.13078739220725</v>
      </c>
      <c r="AG179">
        <v>0</v>
      </c>
      <c r="AH179">
        <f>3.63904970286023*1</f>
        <v>3.63904970286023</v>
      </c>
      <c r="AI179">
        <v>1</v>
      </c>
      <c r="AJ179">
        <v>0</v>
      </c>
    </row>
    <row r="180" spans="1:36" hidden="1" x14ac:dyDescent="0.2">
      <c r="A180" t="s">
        <v>409</v>
      </c>
      <c r="B180" t="s">
        <v>410</v>
      </c>
      <c r="C180" t="s">
        <v>410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27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4.7</v>
      </c>
      <c r="AE180">
        <v>802</v>
      </c>
      <c r="AF180">
        <v>21.10036895332173</v>
      </c>
      <c r="AG180">
        <v>17.397506696900699</v>
      </c>
      <c r="AH180">
        <f>4.52644164514036*1</f>
        <v>4.52644164514036</v>
      </c>
      <c r="AI180">
        <v>1</v>
      </c>
      <c r="AJ180">
        <v>0</v>
      </c>
    </row>
    <row r="181" spans="1:36" hidden="1" x14ac:dyDescent="0.2">
      <c r="A181" t="s">
        <v>411</v>
      </c>
      <c r="B181" t="s">
        <v>412</v>
      </c>
      <c r="C181" t="s">
        <v>412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4.5</v>
      </c>
      <c r="AE181">
        <v>808</v>
      </c>
      <c r="AF181">
        <v>21.590909090909069</v>
      </c>
      <c r="AG181">
        <v>22.131666826481059</v>
      </c>
      <c r="AH181">
        <f>4.45663717484719*1</f>
        <v>4.4566371748471898</v>
      </c>
      <c r="AI181">
        <v>1</v>
      </c>
      <c r="AJ181">
        <v>0</v>
      </c>
    </row>
    <row r="182" spans="1:36" hidden="1" x14ac:dyDescent="0.2">
      <c r="A182" t="s">
        <v>413</v>
      </c>
      <c r="B182" t="s">
        <v>414</v>
      </c>
      <c r="C182" t="s">
        <v>415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27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5.4</v>
      </c>
      <c r="AE182">
        <v>813</v>
      </c>
      <c r="AF182">
        <v>30.428830282166981</v>
      </c>
      <c r="AG182">
        <v>21.28138800724118</v>
      </c>
      <c r="AH182">
        <f>3.95725601568473*1</f>
        <v>3.9572560156847301</v>
      </c>
      <c r="AI182">
        <v>1</v>
      </c>
      <c r="AJ182">
        <v>0</v>
      </c>
    </row>
    <row r="183" spans="1:36" hidden="1" x14ac:dyDescent="0.2">
      <c r="A183" t="s">
        <v>416</v>
      </c>
      <c r="B183" t="s">
        <v>417</v>
      </c>
      <c r="C183" t="s">
        <v>418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27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4.9000000000000004</v>
      </c>
      <c r="AE183">
        <v>814</v>
      </c>
      <c r="AF183">
        <v>21.789473684210531</v>
      </c>
      <c r="AG183">
        <v>20.673815899101498</v>
      </c>
      <c r="AH183">
        <f>3.66888041540069*1</f>
        <v>3.66888041540069</v>
      </c>
      <c r="AI183">
        <v>1</v>
      </c>
      <c r="AJ183">
        <v>0</v>
      </c>
    </row>
    <row r="184" spans="1:36" hidden="1" x14ac:dyDescent="0.2">
      <c r="A184" t="s">
        <v>419</v>
      </c>
      <c r="B184" t="s">
        <v>420</v>
      </c>
      <c r="C184" t="s">
        <v>420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27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4.5</v>
      </c>
      <c r="AE184">
        <v>818</v>
      </c>
      <c r="AF184">
        <v>21.050847457627121</v>
      </c>
      <c r="AG184">
        <v>21.620410619719951</v>
      </c>
      <c r="AH184">
        <f>4.17760037347513*1</f>
        <v>4.1776003734751299</v>
      </c>
      <c r="AI184">
        <v>1</v>
      </c>
      <c r="AJ184">
        <v>0</v>
      </c>
    </row>
    <row r="185" spans="1:36" hidden="1" x14ac:dyDescent="0.2">
      <c r="A185" t="s">
        <v>421</v>
      </c>
      <c r="B185" t="s">
        <v>422</v>
      </c>
      <c r="C185" t="s">
        <v>423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27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4.9000000000000004</v>
      </c>
      <c r="AE185">
        <v>820</v>
      </c>
      <c r="AF185">
        <v>19.16129032258063</v>
      </c>
      <c r="AG185">
        <v>15.54240688424813</v>
      </c>
      <c r="AH185">
        <f>2.98357508316825*1</f>
        <v>2.9835750831682502</v>
      </c>
      <c r="AI185">
        <v>1</v>
      </c>
      <c r="AJ185">
        <v>0</v>
      </c>
    </row>
    <row r="186" spans="1:36" hidden="1" x14ac:dyDescent="0.2">
      <c r="A186" t="s">
        <v>424</v>
      </c>
      <c r="B186" t="s">
        <v>425</v>
      </c>
      <c r="C186" t="s">
        <v>426</v>
      </c>
      <c r="D186" t="s">
        <v>3</v>
      </c>
      <c r="E186">
        <v>1</v>
      </c>
      <c r="F186">
        <v>0</v>
      </c>
      <c r="G186">
        <v>0</v>
      </c>
      <c r="H186">
        <v>0</v>
      </c>
      <c r="I186" t="s">
        <v>27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5</v>
      </c>
      <c r="AE186">
        <v>823</v>
      </c>
      <c r="AF186">
        <v>23.877551020408159</v>
      </c>
      <c r="AG186">
        <v>25.621545743912609</v>
      </c>
      <c r="AH186">
        <f>5.08258827980655*1</f>
        <v>5.0825882798065498</v>
      </c>
      <c r="AI186">
        <v>1</v>
      </c>
      <c r="AJ186">
        <v>0</v>
      </c>
    </row>
    <row r="187" spans="1:36" hidden="1" x14ac:dyDescent="0.2">
      <c r="A187" t="s">
        <v>427</v>
      </c>
      <c r="B187" t="s">
        <v>428</v>
      </c>
      <c r="C187" t="s">
        <v>428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27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4.7</v>
      </c>
      <c r="AE187">
        <v>824</v>
      </c>
      <c r="AF187">
        <v>31.281461605488641</v>
      </c>
      <c r="AG187">
        <v>21.21348038252972</v>
      </c>
      <c r="AH187">
        <f>4.24397717655668*1</f>
        <v>4.2439771765566796</v>
      </c>
      <c r="AI187">
        <v>1</v>
      </c>
      <c r="AJ187">
        <v>0</v>
      </c>
    </row>
    <row r="188" spans="1:36" hidden="1" x14ac:dyDescent="0.2">
      <c r="A188" t="s">
        <v>429</v>
      </c>
      <c r="B188" t="s">
        <v>430</v>
      </c>
      <c r="C188" t="s">
        <v>431</v>
      </c>
      <c r="D188" t="s">
        <v>4</v>
      </c>
      <c r="E188">
        <v>0</v>
      </c>
      <c r="F188">
        <v>1</v>
      </c>
      <c r="G188">
        <v>0</v>
      </c>
      <c r="H188">
        <v>0</v>
      </c>
      <c r="I188" t="s">
        <v>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4.5</v>
      </c>
      <c r="AE188">
        <v>826</v>
      </c>
      <c r="AF188">
        <v>21.932854470903479</v>
      </c>
      <c r="AG188">
        <v>22.838661246390458</v>
      </c>
      <c r="AH188">
        <f>4.70004013883069*1</f>
        <v>4.7000401388306896</v>
      </c>
      <c r="AI188">
        <v>1</v>
      </c>
      <c r="AJ188">
        <v>0</v>
      </c>
    </row>
    <row r="189" spans="1:36" hidden="1" x14ac:dyDescent="0.2">
      <c r="A189" t="s">
        <v>432</v>
      </c>
      <c r="B189" t="s">
        <v>433</v>
      </c>
      <c r="C189" t="s">
        <v>434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4.4000000000000004</v>
      </c>
      <c r="AE189">
        <v>827</v>
      </c>
      <c r="AF189">
        <v>19.714285714285719</v>
      </c>
      <c r="AG189">
        <v>20.63442336416076</v>
      </c>
      <c r="AH189">
        <f>3.95612259950754*1</f>
        <v>3.9561225995075402</v>
      </c>
      <c r="AI189">
        <v>1</v>
      </c>
      <c r="AJ189">
        <v>0</v>
      </c>
    </row>
    <row r="190" spans="1:36" hidden="1" x14ac:dyDescent="0.2">
      <c r="A190" t="s">
        <v>435</v>
      </c>
      <c r="B190" t="s">
        <v>436</v>
      </c>
      <c r="C190" t="s">
        <v>437</v>
      </c>
      <c r="D190" t="s">
        <v>6</v>
      </c>
      <c r="E190">
        <v>0</v>
      </c>
      <c r="F190">
        <v>0</v>
      </c>
      <c r="G190">
        <v>0</v>
      </c>
      <c r="H190">
        <v>1</v>
      </c>
      <c r="I190" t="s">
        <v>27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5.5</v>
      </c>
      <c r="AE190">
        <v>829</v>
      </c>
      <c r="AF190">
        <v>33.875618567932392</v>
      </c>
      <c r="AG190">
        <v>22.859802896739112</v>
      </c>
      <c r="AH190">
        <f>5.19670555968638*1</f>
        <v>5.1967055596863796</v>
      </c>
      <c r="AI190">
        <v>1</v>
      </c>
      <c r="AJ1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2024-04-12T17:17:23Z</dcterms:created>
  <dcterms:modified xsi:type="dcterms:W3CDTF">2024-04-12T17:24:27Z</dcterms:modified>
</cp:coreProperties>
</file>