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E83BD687-7D00-4B4C-88B4-FABF17327640}" xr6:coauthVersionLast="47" xr6:coauthVersionMax="47" xr10:uidLastSave="{00000000-0000-0000-0000-000000000000}"/>
  <bookViews>
    <workbookView xWindow="240" yWindow="760" windowWidth="1882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2" i="1" l="1"/>
  <c r="AH92" i="1"/>
  <c r="AI153" i="1"/>
  <c r="AH153" i="1"/>
  <c r="AI91" i="1"/>
  <c r="AH91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43" i="1"/>
  <c r="AH43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3" i="1"/>
  <c r="AH93" i="1"/>
  <c r="AI154" i="1"/>
  <c r="AH154" i="1"/>
  <c r="AI94" i="1"/>
  <c r="AH94" i="1"/>
  <c r="AI152" i="1"/>
  <c r="AH152" i="1"/>
  <c r="AI12" i="1"/>
  <c r="AH12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7" i="1"/>
  <c r="AH7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105" i="1"/>
  <c r="AH105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58" i="1"/>
  <c r="AH58" i="1"/>
  <c r="AO11" i="1"/>
  <c r="AO14" i="1" s="1"/>
  <c r="AI11" i="1"/>
  <c r="AH11" i="1"/>
  <c r="AI10" i="1"/>
  <c r="AH10" i="1"/>
  <c r="AO9" i="1"/>
  <c r="AI9" i="1"/>
  <c r="AH9" i="1"/>
  <c r="AO8" i="1"/>
  <c r="AI95" i="1"/>
  <c r="AH95" i="1"/>
  <c r="AO7" i="1"/>
  <c r="AI8" i="1"/>
  <c r="AH8" i="1"/>
  <c r="AO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6" i="1" l="1"/>
</calcChain>
</file>

<file path=xl/sharedStrings.xml><?xml version="1.0" encoding="utf-8"?>
<sst xmlns="http://schemas.openxmlformats.org/spreadsheetml/2006/main" count="834" uniqueCount="366">
  <si>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</si>
  <si>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</si>
  <si>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</si>
  <si>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</si>
  <si>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</si>
  <si>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</si>
  <si>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</si>
  <si>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</si>
  <si>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</si>
  <si>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</si>
  <si>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</si>
  <si>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</si>
  <si>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</si>
  <si>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</si>
  <si>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</si>
  <si>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</si>
  <si>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</si>
  <si>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</si>
  <si>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</si>
  <si>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</si>
  <si>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</si>
  <si>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</si>
  <si>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</si>
  <si>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</si>
  <si>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</si>
  <si>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</si>
  <si>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</si>
  <si>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</si>
  <si>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</si>
  <si>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</si>
  <si>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</si>
  <si>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</si>
  <si>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</si>
  <si>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</si>
  <si>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</si>
  <si>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</si>
  <si>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</si>
  <si>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</si>
  <si>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</si>
  <si>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</si>
  <si>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</si>
  <si>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</si>
  <si>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</si>
  <si>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</si>
  <si>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</si>
  <si>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</si>
  <si>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</si>
  <si>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</si>
  <si>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</si>
  <si>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</si>
  <si>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</si>
  <si>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</si>
  <si>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</si>
  <si>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</si>
  <si>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</si>
  <si>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</si>
  <si>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</si>
  <si>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</si>
  <si>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</si>
  <si>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</si>
  <si>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</si>
  <si>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</si>
  <si>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</si>
  <si>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</si>
  <si>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</si>
  <si>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</si>
  <si>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</si>
  <si>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</si>
  <si>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</si>
  <si>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</si>
  <si>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</si>
  <si>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</si>
  <si>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</si>
  <si>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</si>
  <si>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</si>
  <si>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</si>
  <si>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</si>
  <si>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</si>
  <si>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</si>
  <si>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</si>
  <si>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</si>
  <si>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</si>
  <si>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</si>
  <si>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</si>
  <si>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</si>
  <si>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</si>
  <si>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</si>
  <si>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</si>
  <si>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</si>
  <si>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</si>
  <si>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</si>
  <si>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</si>
  <si>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</si>
  <si>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</si>
  <si>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</si>
  <si>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</si>
  <si>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</si>
  <si>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</si>
  <si>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</si>
  <si>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</si>
  <si>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</si>
  <si>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</si>
  <si>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</si>
  <si>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</si>
  <si>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</si>
  <si>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</si>
  <si>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</si>
  <si>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</si>
  <si>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</si>
  <si>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</si>
  <si>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</si>
  <si>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</si>
  <si>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</si>
  <si>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</si>
  <si>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</si>
  <si>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</si>
  <si>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</si>
  <si>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Mathias</t>
  </si>
  <si>
    <t>Jensen</t>
  </si>
  <si>
    <t>Keane</t>
  </si>
  <si>
    <t>Lewis-Potter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</si>
  <si>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</si>
  <si>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</si>
  <si>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</si>
  <si>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</si>
  <si>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</si>
  <si>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</si>
  <si>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</si>
  <si>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</si>
  <si>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</si>
  <si>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</si>
  <si>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</si>
  <si>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Dunk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</si>
  <si>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</si>
  <si>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</si>
  <si>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</si>
  <si>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</si>
  <si>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</si>
  <si>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</si>
  <si>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</si>
  <si>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</si>
  <si>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Danny</t>
  </si>
  <si>
    <t>Welbeck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</si>
  <si>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</si>
  <si>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</si>
  <si>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</si>
  <si>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</si>
  <si>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</si>
  <si>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</si>
  <si>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</si>
  <si>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</si>
  <si>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</si>
  <si>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</si>
  <si>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</si>
  <si>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</si>
  <si>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</si>
  <si>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</si>
  <si>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</si>
  <si>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</si>
  <si>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</si>
  <si>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</si>
  <si>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</si>
  <si>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</si>
  <si>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</si>
  <si>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</si>
  <si>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</si>
  <si>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</si>
  <si>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</si>
  <si>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</si>
  <si>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Jordan</t>
  </si>
  <si>
    <t>Ayew</t>
  </si>
  <si>
    <t>J.Ayew</t>
  </si>
  <si>
    <t>Odsonne</t>
  </si>
  <si>
    <t>Edouard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</si>
  <si>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</si>
  <si>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</si>
  <si>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</si>
  <si>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</si>
  <si>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</si>
  <si>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</si>
  <si>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</si>
  <si>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</si>
  <si>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</si>
  <si>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Jarrad</t>
  </si>
  <si>
    <t>Branthwaite</t>
  </si>
  <si>
    <t>Calvert-Lewin</t>
  </si>
  <si>
    <t>James</t>
  </si>
  <si>
    <t>Garner</t>
  </si>
  <si>
    <t>Dwight</t>
  </si>
  <si>
    <t>McNeil</t>
  </si>
  <si>
    <t>Vitalii</t>
  </si>
  <si>
    <t>Mykolenko</t>
  </si>
  <si>
    <t>Pickford</t>
  </si>
  <si>
    <t>Ashley</t>
  </si>
  <si>
    <t>Young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</si>
  <si>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</si>
  <si>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</si>
  <si>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</si>
  <si>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</si>
  <si>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</si>
  <si>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</si>
  <si>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</si>
  <si>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</si>
  <si>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</si>
  <si>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</si>
  <si>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</si>
  <si>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</si>
  <si>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</si>
  <si>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Harry</t>
  </si>
  <si>
    <t>Willian</t>
  </si>
  <si>
    <t>Borges da Silva</t>
  </si>
  <si>
    <t>Calvin</t>
  </si>
  <si>
    <t>Bassey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</si>
  <si>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</si>
  <si>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</si>
  <si>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</si>
  <si>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</si>
  <si>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</si>
  <si>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</si>
  <si>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</si>
  <si>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</si>
  <si>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</si>
  <si>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Harvey</t>
  </si>
  <si>
    <t>Elliott</t>
  </si>
  <si>
    <t>Cody</t>
  </si>
  <si>
    <t>Gakpo</t>
  </si>
  <si>
    <t>Joe</t>
  </si>
  <si>
    <t>Gomez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</si>
  <si>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</si>
  <si>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</si>
  <si>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</si>
  <si>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</si>
  <si>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</si>
  <si>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</si>
  <si>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</si>
  <si>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</si>
  <si>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</si>
  <si>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</si>
  <si>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</si>
  <si>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Alfie</t>
  </si>
  <si>
    <t>Doughty</t>
  </si>
  <si>
    <t>Carlton</t>
  </si>
  <si>
    <t>Morris</t>
  </si>
  <si>
    <t>Chiedozie</t>
  </si>
  <si>
    <t>Ogbene</t>
  </si>
  <si>
    <t>Tahith</t>
  </si>
  <si>
    <t>Chong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</si>
  <si>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</si>
  <si>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</si>
  <si>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</si>
  <si>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</si>
  <si>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</si>
  <si>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</si>
  <si>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</si>
  <si>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</si>
  <si>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</si>
  <si>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</si>
  <si>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</si>
  <si>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</si>
  <si>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</si>
  <si>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</si>
  <si>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</si>
  <si>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</si>
  <si>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</si>
  <si>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</si>
  <si>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</si>
  <si>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</si>
  <si>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</si>
  <si>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</si>
  <si>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</si>
  <si>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</si>
  <si>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</si>
  <si>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</si>
  <si>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</si>
  <si>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</si>
  <si>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</si>
  <si>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</si>
  <si>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</si>
  <si>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</si>
  <si>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</si>
  <si>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</si>
  <si>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</si>
  <si>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</si>
  <si>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</si>
  <si>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</si>
  <si>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</si>
  <si>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</si>
  <si>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</si>
  <si>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</si>
  <si>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</si>
  <si>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</si>
  <si>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</si>
  <si>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</si>
  <si>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</si>
  <si>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</si>
  <si>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</si>
  <si>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</si>
  <si>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</si>
  <si>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</si>
  <si>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Elanga</t>
  </si>
  <si>
    <t>Morgan</t>
  </si>
  <si>
    <t>Gibbs-White</t>
  </si>
  <si>
    <t>Chris</t>
  </si>
  <si>
    <t>Wood</t>
  </si>
  <si>
    <t>Murillo</t>
  </si>
  <si>
    <t>Santiago Costa dos Santos</t>
  </si>
  <si>
    <t>Cameron</t>
  </si>
  <si>
    <t>Archer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</si>
  <si>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</si>
  <si>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</si>
  <si>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</si>
  <si>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</si>
  <si>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</si>
  <si>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</si>
  <si>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</si>
  <si>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</si>
  <si>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</si>
  <si>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</si>
  <si>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</si>
  <si>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</si>
  <si>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</si>
  <si>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</si>
  <si>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</si>
  <si>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</si>
  <si>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</si>
  <si>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</si>
  <si>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</si>
  <si>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</si>
  <si>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</si>
  <si>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</si>
  <si>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</si>
  <si>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</si>
  <si>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</si>
  <si>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</si>
  <si>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</si>
  <si>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</si>
  <si>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Lucas</t>
  </si>
  <si>
    <t>Tolentino Coelho de Lima</t>
  </si>
  <si>
    <t>L.Paquetá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</si>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</sst>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54" totalsRowShown="0">
  <autoFilter ref="A1:AL154" xr:uid="{00000000-0009-0000-0100-000001000000}">
    <filterColumn colId="37">
      <filters>
        <filter val="1"/>
      </filters>
    </filterColumn>
  </autoFilter>
  <sortState xmlns:xlrd2="http://schemas.microsoft.com/office/spreadsheetml/2017/richdata2" ref="A7:AL154">
    <sortCondition descending="1" ref="AI1:AI154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4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4</v>
      </c>
      <c r="AF2">
        <v>24.070427765061019</v>
      </c>
      <c r="AG2">
        <v>0</v>
      </c>
      <c r="AH2">
        <f>32.4101076741144*1</f>
        <v>32.4101076741144</v>
      </c>
      <c r="AI2">
        <f>5.15961232739459*1</f>
        <v>5.1596123273945897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463.74784229823911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7.3</v>
      </c>
      <c r="AE3">
        <v>5</v>
      </c>
      <c r="AF3">
        <v>23.9598239947282</v>
      </c>
      <c r="AG3">
        <v>0</v>
      </c>
      <c r="AH3">
        <f>32.2611830209824*1</f>
        <v>32.261183020982401</v>
      </c>
      <c r="AI3">
        <f>7.45739778492832*1</f>
        <v>7.45739778492832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24.111801242236009</v>
      </c>
      <c r="AG4">
        <v>0</v>
      </c>
      <c r="AH4">
        <f>32.4658158178658*1</f>
        <v>32.465815817865803</v>
      </c>
      <c r="AI4">
        <f>5.41096930297763*1</f>
        <v>5.4109693029776302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99.899999999999977</v>
      </c>
      <c r="AP4">
        <v>101.7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7.6</v>
      </c>
      <c r="AE5">
        <v>10</v>
      </c>
      <c r="AF5">
        <v>28.548387096774189</v>
      </c>
      <c r="AG5">
        <v>0</v>
      </c>
      <c r="AH5">
        <f>38.4395453524838*1</f>
        <v>38.439545352483798</v>
      </c>
      <c r="AI5">
        <f>6.40659089208064*1</f>
        <v>6.40659089208064</v>
      </c>
      <c r="AJ5">
        <v>1</v>
      </c>
      <c r="AK5">
        <v>0</v>
      </c>
      <c r="AL5">
        <v>0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8.6</v>
      </c>
      <c r="AE6">
        <v>12</v>
      </c>
      <c r="AF6">
        <v>31.864632724065071</v>
      </c>
      <c r="AG6">
        <v>0</v>
      </c>
      <c r="AH6">
        <f>42.9047704371131*1</f>
        <v>42.9047704371131</v>
      </c>
      <c r="AI6">
        <f>7.15079507285219*1</f>
        <v>7.1507950728521896</v>
      </c>
      <c r="AJ6">
        <v>1</v>
      </c>
      <c r="AK6">
        <v>1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x14ac:dyDescent="0.2">
      <c r="A7" t="s">
        <v>165</v>
      </c>
      <c r="B7" t="s">
        <v>166</v>
      </c>
      <c r="C7" t="s">
        <v>166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6.1</v>
      </c>
      <c r="AE7">
        <v>282</v>
      </c>
      <c r="AF7">
        <v>60.211087853100921</v>
      </c>
      <c r="AG7">
        <v>0</v>
      </c>
      <c r="AH7">
        <f>62.3106391237143*1</f>
        <v>62.310639123714303</v>
      </c>
      <c r="AI7">
        <f>10.385106520619*1</f>
        <v>10.385106520619001</v>
      </c>
      <c r="AJ7">
        <v>1</v>
      </c>
      <c r="AK7">
        <v>1</v>
      </c>
      <c r="AL7">
        <v>1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54</v>
      </c>
      <c r="B8" t="s">
        <v>55</v>
      </c>
      <c r="C8" t="s">
        <v>55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8.9</v>
      </c>
      <c r="AE8">
        <v>17</v>
      </c>
      <c r="AF8">
        <v>38.638233117765807</v>
      </c>
      <c r="AG8">
        <v>0</v>
      </c>
      <c r="AH8">
        <f>52.0252198218941*1</f>
        <v>52.025219821894098</v>
      </c>
      <c r="AI8">
        <f>9.24890381733748*1</f>
        <v>9.2489038173374798</v>
      </c>
      <c r="AJ8">
        <v>1</v>
      </c>
      <c r="AK8">
        <v>0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23.478486564794899</v>
      </c>
      <c r="AG9">
        <v>0</v>
      </c>
      <c r="AH9">
        <f>31.6130766356707*1</f>
        <v>31.613076635670701</v>
      </c>
      <c r="AI9">
        <f>5.66225556168121*1</f>
        <v>5.66225556168121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5.9</v>
      </c>
      <c r="AE10">
        <v>23</v>
      </c>
      <c r="AF10">
        <v>9.9111556980181081</v>
      </c>
      <c r="AG10">
        <v>0</v>
      </c>
      <c r="AH10">
        <f>13.3450733191348*1</f>
        <v>13.3450733191348</v>
      </c>
      <c r="AI10">
        <f>2.31203822968556*1</f>
        <v>2.3120382296855602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25</v>
      </c>
      <c r="AF11">
        <v>20.785714285714281</v>
      </c>
      <c r="AG11">
        <v>0</v>
      </c>
      <c r="AH11">
        <f>27.9873396791571*1</f>
        <v>27.987339679157099</v>
      </c>
      <c r="AI11">
        <f>4.66455661319285*1</f>
        <v>4.6645566131928504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</v>
      </c>
    </row>
    <row r="12" spans="1:42" x14ac:dyDescent="0.2">
      <c r="A12" t="s">
        <v>233</v>
      </c>
      <c r="B12" t="s">
        <v>234</v>
      </c>
      <c r="C12" t="s">
        <v>234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21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13.4</v>
      </c>
      <c r="AE12">
        <v>435</v>
      </c>
      <c r="AF12">
        <v>41.421319796954307</v>
      </c>
      <c r="AG12">
        <v>40.928003741731899</v>
      </c>
      <c r="AH12">
        <f>43.0444425553038*1</f>
        <v>43.044442555303803</v>
      </c>
      <c r="AI12">
        <f>7.47188311691392*1</f>
        <v>7.4718831169139204</v>
      </c>
      <c r="AJ12">
        <v>1</v>
      </c>
      <c r="AK12">
        <v>1</v>
      </c>
      <c r="AL12">
        <v>1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27</v>
      </c>
      <c r="AF13">
        <v>23.162835751447631</v>
      </c>
      <c r="AG13">
        <v>0</v>
      </c>
      <c r="AH13">
        <f>31.1880623007424*1</f>
        <v>31.188062300742398</v>
      </c>
      <c r="AI13">
        <f>5.35823818939521*1</f>
        <v>5.3582381893952098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5.6</v>
      </c>
      <c r="AE14">
        <v>39</v>
      </c>
      <c r="AF14">
        <v>16.25</v>
      </c>
      <c r="AG14">
        <v>0</v>
      </c>
      <c r="AH14">
        <f>17.6525977127499*1</f>
        <v>17.652597712749898</v>
      </c>
      <c r="AI14">
        <f>3.53051954254999*1</f>
        <v>3.5305195425499898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73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53</v>
      </c>
      <c r="AF15">
        <v>14.17218543046358</v>
      </c>
      <c r="AG15">
        <v>0</v>
      </c>
      <c r="AH15">
        <f>15.3954392685827*1</f>
        <v>15.395439268582701</v>
      </c>
      <c r="AI15">
        <f>3.07908785371655*1</f>
        <v>3.0790878537165498</v>
      </c>
      <c r="AJ15">
        <v>1</v>
      </c>
      <c r="AK15">
        <v>0</v>
      </c>
      <c r="AL15">
        <v>0</v>
      </c>
    </row>
    <row r="16" spans="1:42" hidden="1" x14ac:dyDescent="0.2">
      <c r="A16" t="s">
        <v>74</v>
      </c>
      <c r="B16" t="s">
        <v>75</v>
      </c>
      <c r="C16" t="s">
        <v>76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5.3</v>
      </c>
      <c r="AE16">
        <v>54</v>
      </c>
      <c r="AF16">
        <v>17.38461538461539</v>
      </c>
      <c r="AG16">
        <v>0</v>
      </c>
      <c r="AH16">
        <f>18.8851459554153*1</f>
        <v>18.8851459554153</v>
      </c>
      <c r="AI16">
        <f>3.77702919108307*1</f>
        <v>3.77702919108307</v>
      </c>
      <c r="AJ16">
        <v>1</v>
      </c>
      <c r="AK16">
        <v>0</v>
      </c>
      <c r="AL16">
        <v>0</v>
      </c>
      <c r="AN16" t="s">
        <v>10</v>
      </c>
      <c r="AO16">
        <f>AO2-AO14*5</f>
        <v>463.74784229823911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55</v>
      </c>
      <c r="AF17">
        <v>15.288461538461529</v>
      </c>
      <c r="AG17">
        <v>0</v>
      </c>
      <c r="AH17">
        <f>16.6080653037115*1</f>
        <v>16.608065303711498</v>
      </c>
      <c r="AI17">
        <f>3.3216130607423*1</f>
        <v>3.3216130607422998</v>
      </c>
      <c r="AJ17">
        <v>1</v>
      </c>
      <c r="AK17">
        <v>0</v>
      </c>
      <c r="AL17">
        <v>0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5.6</v>
      </c>
      <c r="AE18">
        <v>62</v>
      </c>
      <c r="AF18">
        <v>12.38839617110461</v>
      </c>
      <c r="AG18">
        <v>0</v>
      </c>
      <c r="AH18">
        <f>13.4576845485958*1</f>
        <v>13.4576845485958</v>
      </c>
      <c r="AI18">
        <f>2.69153690971916*1</f>
        <v>2.6915369097191602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3</v>
      </c>
      <c r="AP18">
        <v>3</v>
      </c>
    </row>
    <row r="19" spans="1:42" x14ac:dyDescent="0.2">
      <c r="A19" t="s">
        <v>81</v>
      </c>
      <c r="B19" t="s">
        <v>82</v>
      </c>
      <c r="C19" t="s">
        <v>82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8.8000000000000007</v>
      </c>
      <c r="AE19">
        <v>64</v>
      </c>
      <c r="AF19">
        <v>30.375774740198171</v>
      </c>
      <c r="AG19">
        <v>0</v>
      </c>
      <c r="AH19">
        <f>32.9976204124203*1</f>
        <v>32.997620412420297</v>
      </c>
      <c r="AI19">
        <f>6.59952408248408*1</f>
        <v>6.5995240824840797</v>
      </c>
      <c r="AJ19">
        <v>1</v>
      </c>
      <c r="AK19">
        <v>1</v>
      </c>
      <c r="AL19">
        <v>1</v>
      </c>
      <c r="AN19" t="s">
        <v>12</v>
      </c>
      <c r="AO19">
        <f>SUMPRODUCT(Table1[Selected],Table1[AVL])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83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66</v>
      </c>
      <c r="AF20">
        <v>15.208333333333339</v>
      </c>
      <c r="AG20">
        <v>0</v>
      </c>
      <c r="AH20">
        <f>16.5210209362916*1</f>
        <v>16.521020936291599</v>
      </c>
      <c r="AI20">
        <f>3.30420418725833*1</f>
        <v>3.3042041872583301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18.59375</v>
      </c>
      <c r="AG21">
        <v>0</v>
      </c>
      <c r="AH21">
        <f>20.1986454597812*1</f>
        <v>20.198645459781201</v>
      </c>
      <c r="AI21">
        <f>4.03972909195625*1</f>
        <v>4.0397290919562501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82</v>
      </c>
      <c r="AF22">
        <v>12.7</v>
      </c>
      <c r="AG22">
        <v>14.580246918882249</v>
      </c>
      <c r="AH22">
        <f>13.8082709076246*1</f>
        <v>13.8082709076246</v>
      </c>
      <c r="AI22">
        <f>2.34741562040258*1</f>
        <v>2.3474156204025798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83</v>
      </c>
      <c r="AF23">
        <v>11.161290322580641</v>
      </c>
      <c r="AG23">
        <v>9.27678781494585</v>
      </c>
      <c r="AH23">
        <f>11.2944892472664*1</f>
        <v>11.2944892472664</v>
      </c>
      <c r="AI23">
        <f>1.87015250925826*1</f>
        <v>1.87015250925826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89</v>
      </c>
      <c r="AF24">
        <v>18</v>
      </c>
      <c r="AG24">
        <v>17.971081127857101</v>
      </c>
      <c r="AH24">
        <f>18.9304036173603*1</f>
        <v>18.930403617360302</v>
      </c>
      <c r="AI24">
        <f>3.24450430232536*1</f>
        <v>3.2445043023253599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96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4.7</v>
      </c>
      <c r="AE25">
        <v>94</v>
      </c>
      <c r="AF25">
        <v>21.02132823739997</v>
      </c>
      <c r="AG25">
        <v>25.178285515267511</v>
      </c>
      <c r="AH25">
        <f>23.1041148090959*1</f>
        <v>23.104114809095901</v>
      </c>
      <c r="AI25">
        <f>3.07176007785341*1</f>
        <v>3.0717600778534102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99</v>
      </c>
      <c r="AF26">
        <v>17.5</v>
      </c>
      <c r="AG26">
        <v>14.72564304118054</v>
      </c>
      <c r="AH26">
        <f>17.7517272499082*1</f>
        <v>17.7517272499082</v>
      </c>
      <c r="AI26">
        <f>3.09840481147904*1</f>
        <v>3.0984048114790399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100</v>
      </c>
      <c r="AF27">
        <v>14.80089495175551</v>
      </c>
      <c r="AG27">
        <v>13.97955191562899</v>
      </c>
      <c r="AH27">
        <f>15.3763442195511*1</f>
        <v>15.3763442195511</v>
      </c>
      <c r="AI27">
        <f>2.4856997560891*1</f>
        <v>2.4856997560891001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101</v>
      </c>
      <c r="AF28">
        <v>14.207547169811329</v>
      </c>
      <c r="AG28">
        <v>12.18793386673862</v>
      </c>
      <c r="AH28">
        <f>14.4672494542429*1</f>
        <v>14.4672494542429</v>
      </c>
      <c r="AI28">
        <f>2.41058326316834*1</f>
        <v>2.4105832631683399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3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7.3</v>
      </c>
      <c r="AE29">
        <v>102</v>
      </c>
      <c r="AF29">
        <v>30.839536994523609</v>
      </c>
      <c r="AG29">
        <v>17.08979810319995</v>
      </c>
      <c r="AH29">
        <f>29.1768183078351*1</f>
        <v>29.176818307835099</v>
      </c>
      <c r="AI29">
        <f>5.58418336114217*1</f>
        <v>5.5841833611421698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</v>
      </c>
      <c r="AE30">
        <v>103</v>
      </c>
      <c r="AF30">
        <v>21.612376418372751</v>
      </c>
      <c r="AG30">
        <v>23.098133479843959</v>
      </c>
      <c r="AH30">
        <f>23.0909463022895*1</f>
        <v>23.090946302289499</v>
      </c>
      <c r="AI30">
        <f>4.40367123374483*1</f>
        <v>4.4036712337448298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106</v>
      </c>
      <c r="AF31">
        <v>13.542857142857139</v>
      </c>
      <c r="AG31">
        <v>11.463301432328461</v>
      </c>
      <c r="AH31">
        <f>13.7536989399585*1</f>
        <v>13.7536989399585</v>
      </c>
      <c r="AI31">
        <f>2.3911244038602*1</f>
        <v>2.3911244038602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107</v>
      </c>
      <c r="AF32">
        <v>12.75</v>
      </c>
      <c r="AG32">
        <v>10.48458436328748</v>
      </c>
      <c r="AH32">
        <f>12.8753746207709*1</f>
        <v>12.8753746207709</v>
      </c>
      <c r="AI32">
        <f>2.08581378271965*1</f>
        <v>2.0858137827196499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118</v>
      </c>
      <c r="AF33">
        <v>0</v>
      </c>
      <c r="AG33">
        <v>18.464621178070541</v>
      </c>
      <c r="AH33">
        <f>18.6375684292947*1</f>
        <v>18.637568429294699</v>
      </c>
      <c r="AI33">
        <f>4.32911400334194*1</f>
        <v>4.3291140033419397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124</v>
      </c>
      <c r="AF34">
        <v>0</v>
      </c>
      <c r="AG34">
        <v>15.190328023556299</v>
      </c>
      <c r="AH34">
        <f>15.3326068957591*1</f>
        <v>15.332606895759101</v>
      </c>
      <c r="AI34">
        <f>2.9594745890111*1</f>
        <v>2.9594745890111001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4.5999999999999996</v>
      </c>
      <c r="AE35">
        <v>129</v>
      </c>
      <c r="AF35">
        <v>0</v>
      </c>
      <c r="AG35">
        <v>8.6490252221275128</v>
      </c>
      <c r="AH35">
        <f>8.73003555662125*1</f>
        <v>8.7300355566212495</v>
      </c>
      <c r="AI35">
        <f>1.52234259073265*1</f>
        <v>1.52234259073265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5.3</v>
      </c>
      <c r="AE36">
        <v>134</v>
      </c>
      <c r="AF36">
        <v>0</v>
      </c>
      <c r="AG36">
        <v>16.839128138700499</v>
      </c>
      <c r="AH36">
        <f>16.9968503522522*1</f>
        <v>16.996850352252199</v>
      </c>
      <c r="AI36">
        <f>3.28547732047774*1</f>
        <v>3.2854773204777401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4.7</v>
      </c>
      <c r="AE37">
        <v>135</v>
      </c>
      <c r="AF37">
        <v>0</v>
      </c>
      <c r="AG37">
        <v>12.270728601061061</v>
      </c>
      <c r="AH37">
        <f>12.3856613019058*1</f>
        <v>12.385661301905801</v>
      </c>
      <c r="AI37">
        <f>2.52030720660781*1</f>
        <v>2.5203072066078098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3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5.2</v>
      </c>
      <c r="AE38">
        <v>138</v>
      </c>
      <c r="AF38">
        <v>0</v>
      </c>
      <c r="AG38">
        <v>19.367691233754758</v>
      </c>
      <c r="AH38">
        <f>19.5490970112756*1</f>
        <v>19.549097011275599</v>
      </c>
      <c r="AI38">
        <f>3.78698639087824*1</f>
        <v>3.7869863908782402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</v>
      </c>
      <c r="AE39">
        <v>140</v>
      </c>
      <c r="AF39">
        <v>0</v>
      </c>
      <c r="AG39">
        <v>16.518478109660951</v>
      </c>
      <c r="AH39">
        <f>16.6731969829008*1</f>
        <v>16.673196982900802</v>
      </c>
      <c r="AI39">
        <f>3.69404073832636*1</f>
        <v>3.6940407383263598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127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4.4000000000000004</v>
      </c>
      <c r="AE40">
        <v>141</v>
      </c>
      <c r="AF40">
        <v>0</v>
      </c>
      <c r="AG40">
        <v>7.7184870697585533</v>
      </c>
      <c r="AH40">
        <f>7.79078160044243*1</f>
        <v>7.79078160044243</v>
      </c>
      <c r="AI40">
        <f>2.20266217180289*1</f>
        <v>2.2026621718028898</v>
      </c>
      <c r="AJ40">
        <v>1</v>
      </c>
      <c r="AK40">
        <v>0</v>
      </c>
      <c r="AL40">
        <v>0</v>
      </c>
    </row>
    <row r="41" spans="1:42" hidden="1" x14ac:dyDescent="0.2">
      <c r="A41" t="s">
        <v>128</v>
      </c>
      <c r="B41" t="s">
        <v>129</v>
      </c>
      <c r="C41" t="s">
        <v>129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5.7</v>
      </c>
      <c r="AE41">
        <v>146</v>
      </c>
      <c r="AF41">
        <v>0</v>
      </c>
      <c r="AG41">
        <v>18.664734396063579</v>
      </c>
      <c r="AH41">
        <f>18.8395559901541*1</f>
        <v>18.8395559901541</v>
      </c>
      <c r="AI41">
        <f>3.23108781202971*1</f>
        <v>3.2310878120297102</v>
      </c>
      <c r="AJ41">
        <v>1</v>
      </c>
      <c r="AK41">
        <v>0</v>
      </c>
      <c r="AL41">
        <v>0</v>
      </c>
    </row>
    <row r="42" spans="1:42" hidden="1" x14ac:dyDescent="0.2">
      <c r="A42" t="s">
        <v>130</v>
      </c>
      <c r="B42" t="s">
        <v>131</v>
      </c>
      <c r="C42" t="s">
        <v>131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161</v>
      </c>
      <c r="AF42">
        <v>18.39518303439905</v>
      </c>
      <c r="AG42">
        <v>0</v>
      </c>
      <c r="AH42">
        <f>24.8296271233504*1</f>
        <v>24.829627123350399</v>
      </c>
      <c r="AI42">
        <f>5.81160340522738*1</f>
        <v>5.8116034052273804</v>
      </c>
      <c r="AJ42">
        <v>1</v>
      </c>
      <c r="AK42">
        <v>0</v>
      </c>
      <c r="AL42">
        <v>0</v>
      </c>
    </row>
    <row r="43" spans="1:42" x14ac:dyDescent="0.2">
      <c r="A43" t="s">
        <v>262</v>
      </c>
      <c r="B43" t="s">
        <v>263</v>
      </c>
      <c r="C43" t="s">
        <v>263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23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8.3000000000000007</v>
      </c>
      <c r="AE43">
        <v>517</v>
      </c>
      <c r="AF43">
        <v>36.570918590440108</v>
      </c>
      <c r="AG43">
        <v>0</v>
      </c>
      <c r="AH43">
        <f>26.4335572860071*0.75</f>
        <v>19.825167964505326</v>
      </c>
      <c r="AI43">
        <f>8.25877818452031*0.75</f>
        <v>6.1940836383902322</v>
      </c>
      <c r="AJ43">
        <v>0.75</v>
      </c>
      <c r="AK43">
        <v>1</v>
      </c>
      <c r="AL43">
        <v>1</v>
      </c>
    </row>
    <row r="44" spans="1:42" hidden="1" x14ac:dyDescent="0.2">
      <c r="A44" t="s">
        <v>133</v>
      </c>
      <c r="B44" t="s">
        <v>134</v>
      </c>
      <c r="C44" t="s">
        <v>135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6.3</v>
      </c>
      <c r="AE44">
        <v>172</v>
      </c>
      <c r="AF44">
        <v>21.91734994132505</v>
      </c>
      <c r="AG44">
        <v>0</v>
      </c>
      <c r="AH44">
        <f>29.5838114552833*1</f>
        <v>29.5838114552833</v>
      </c>
      <c r="AI44">
        <f>5.91676229105667*1</f>
        <v>5.9167622910566697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136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5.2</v>
      </c>
      <c r="AE45">
        <v>173</v>
      </c>
      <c r="AF45">
        <v>17.563818531666421</v>
      </c>
      <c r="AG45">
        <v>0</v>
      </c>
      <c r="AH45">
        <f>23.7074599468761*1</f>
        <v>23.707459946876099</v>
      </c>
      <c r="AI45">
        <f>3.09670011814843*1</f>
        <v>3.0967001181484299</v>
      </c>
      <c r="AJ45">
        <v>1</v>
      </c>
      <c r="AK45">
        <v>0</v>
      </c>
      <c r="AL45">
        <v>0</v>
      </c>
    </row>
    <row r="46" spans="1:42" hidden="1" x14ac:dyDescent="0.2">
      <c r="A46" t="s">
        <v>138</v>
      </c>
      <c r="B46" t="s">
        <v>139</v>
      </c>
      <c r="C46" t="s">
        <v>140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4.0999999999999996</v>
      </c>
      <c r="AE46">
        <v>187</v>
      </c>
      <c r="AF46">
        <v>13.661973221777471</v>
      </c>
      <c r="AG46">
        <v>0</v>
      </c>
      <c r="AH46">
        <f>18.4407896475717*1</f>
        <v>18.440789647571702</v>
      </c>
      <c r="AI46">
        <f>2.80258027701053*1</f>
        <v>2.8025802770105299</v>
      </c>
      <c r="AJ46">
        <v>1</v>
      </c>
      <c r="AK46">
        <v>0</v>
      </c>
      <c r="AL46">
        <v>0</v>
      </c>
    </row>
    <row r="47" spans="1:42" hidden="1" x14ac:dyDescent="0.2">
      <c r="A47" t="s">
        <v>141</v>
      </c>
      <c r="B47" t="s">
        <v>142</v>
      </c>
      <c r="C47" t="s">
        <v>142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5.7</v>
      </c>
      <c r="AE47">
        <v>191</v>
      </c>
      <c r="AF47">
        <v>14.955021956514139</v>
      </c>
      <c r="AG47">
        <v>0</v>
      </c>
      <c r="AH47">
        <f>20.1861334082613*1</f>
        <v>20.186133408261298</v>
      </c>
      <c r="AI47">
        <f>3.89808751305186*1</f>
        <v>3.89808751305186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144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4.4000000000000004</v>
      </c>
      <c r="AE48">
        <v>224</v>
      </c>
      <c r="AF48">
        <v>8.3333333333333321</v>
      </c>
      <c r="AG48">
        <v>0</v>
      </c>
      <c r="AH48">
        <f>9.04128275083333*1</f>
        <v>9.0412827508333304</v>
      </c>
      <c r="AI48">
        <f>1.80825655016666*1</f>
        <v>1.8082565501666601</v>
      </c>
      <c r="AJ48">
        <v>1</v>
      </c>
      <c r="AK48">
        <v>0</v>
      </c>
      <c r="AL48">
        <v>0</v>
      </c>
    </row>
    <row r="49" spans="1:38" hidden="1" x14ac:dyDescent="0.2">
      <c r="A49" t="s">
        <v>145</v>
      </c>
      <c r="B49" t="s">
        <v>146</v>
      </c>
      <c r="C49" t="s">
        <v>146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4.8</v>
      </c>
      <c r="AE49">
        <v>242</v>
      </c>
      <c r="AF49">
        <v>12.91908348406521</v>
      </c>
      <c r="AG49">
        <v>0</v>
      </c>
      <c r="AH49">
        <f>14.0166103993265*1</f>
        <v>14.016610399326501</v>
      </c>
      <c r="AI49">
        <f>4.0576155567939*1</f>
        <v>4.0576155567939001</v>
      </c>
      <c r="AJ49">
        <v>1</v>
      </c>
      <c r="AK49">
        <v>0</v>
      </c>
      <c r="AL49">
        <v>0</v>
      </c>
    </row>
    <row r="50" spans="1:38" hidden="1" x14ac:dyDescent="0.2">
      <c r="A50" t="s">
        <v>147</v>
      </c>
      <c r="B50" t="s">
        <v>148</v>
      </c>
      <c r="C50" t="s">
        <v>148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244</v>
      </c>
      <c r="AF50">
        <v>14.78260869565217</v>
      </c>
      <c r="AG50">
        <v>0</v>
      </c>
      <c r="AH50">
        <f>16.0384494014782*1</f>
        <v>16.0384494014782</v>
      </c>
      <c r="AI50">
        <f>3.20768988029565*1</f>
        <v>3.2076898802956499</v>
      </c>
      <c r="AJ50">
        <v>1</v>
      </c>
      <c r="AK50">
        <v>0</v>
      </c>
      <c r="AL50">
        <v>0</v>
      </c>
    </row>
    <row r="51" spans="1:38" hidden="1" x14ac:dyDescent="0.2">
      <c r="A51" t="s">
        <v>149</v>
      </c>
      <c r="B51" t="s">
        <v>150</v>
      </c>
      <c r="C51" t="s">
        <v>150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4.5999999999999996</v>
      </c>
      <c r="AE51">
        <v>264</v>
      </c>
      <c r="AF51">
        <v>16.15384615384616</v>
      </c>
      <c r="AG51">
        <v>0</v>
      </c>
      <c r="AH51">
        <f>16.7171282573076*1</f>
        <v>16.7171282573076</v>
      </c>
      <c r="AI51">
        <f>2.78618804288461*1</f>
        <v>2.7861880428846102</v>
      </c>
      <c r="AJ51">
        <v>1</v>
      </c>
      <c r="AK51">
        <v>0</v>
      </c>
      <c r="AL51">
        <v>0</v>
      </c>
    </row>
    <row r="52" spans="1:38" hidden="1" x14ac:dyDescent="0.2">
      <c r="A52" t="s">
        <v>151</v>
      </c>
      <c r="B52" t="s">
        <v>152</v>
      </c>
      <c r="C52" t="s">
        <v>151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266</v>
      </c>
      <c r="AF52">
        <v>16.04651162790698</v>
      </c>
      <c r="AG52">
        <v>0</v>
      </c>
      <c r="AH52">
        <f>16.6060509931395*1</f>
        <v>16.606050993139501</v>
      </c>
      <c r="AI52">
        <f>2.76767516552325*1</f>
        <v>2.7676751655232499</v>
      </c>
      <c r="AJ52">
        <v>1</v>
      </c>
      <c r="AK52">
        <v>0</v>
      </c>
      <c r="AL52">
        <v>0</v>
      </c>
    </row>
    <row r="53" spans="1:38" hidden="1" x14ac:dyDescent="0.2">
      <c r="A53" t="s">
        <v>153</v>
      </c>
      <c r="B53" t="s">
        <v>154</v>
      </c>
      <c r="C53" t="s">
        <v>154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268</v>
      </c>
      <c r="AF53">
        <v>19.92396861294964</v>
      </c>
      <c r="AG53">
        <v>0</v>
      </c>
      <c r="AH53">
        <f>20.618714300306*1</f>
        <v>20.618714300305999</v>
      </c>
      <c r="AI53">
        <f>4.03035422165966*1</f>
        <v>4.0303542216596604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156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6.3</v>
      </c>
      <c r="AE54">
        <v>273</v>
      </c>
      <c r="AF54">
        <v>15.891891891891889</v>
      </c>
      <c r="AG54">
        <v>0</v>
      </c>
      <c r="AH54">
        <f>16.4460396909729*1</f>
        <v>16.446039690972899</v>
      </c>
      <c r="AI54">
        <f>2.74100661516216*1</f>
        <v>2.7410066151621599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159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6.8</v>
      </c>
      <c r="AE55">
        <v>274</v>
      </c>
      <c r="AF55">
        <v>20.666666666666661</v>
      </c>
      <c r="AG55">
        <v>0</v>
      </c>
      <c r="AH55">
        <f>21.3873101196666*1</f>
        <v>21.387310119666601</v>
      </c>
      <c r="AI55">
        <f>3.56455168661111*1</f>
        <v>3.56455168661111</v>
      </c>
      <c r="AJ55">
        <v>1</v>
      </c>
      <c r="AK55">
        <v>0</v>
      </c>
      <c r="AL55">
        <v>0</v>
      </c>
    </row>
    <row r="56" spans="1:38" hidden="1" x14ac:dyDescent="0.2">
      <c r="A56" t="s">
        <v>160</v>
      </c>
      <c r="B56" t="s">
        <v>161</v>
      </c>
      <c r="C56" t="s">
        <v>161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6.9</v>
      </c>
      <c r="AE56">
        <v>279</v>
      </c>
      <c r="AF56">
        <v>23.609210553770591</v>
      </c>
      <c r="AG56">
        <v>0</v>
      </c>
      <c r="AH56">
        <f>24.4324600545483*1</f>
        <v>24.432460054548301</v>
      </c>
      <c r="AI56">
        <f>4.37525978712226*1</f>
        <v>4.3752597871222596</v>
      </c>
      <c r="AJ56">
        <v>1</v>
      </c>
      <c r="AK56">
        <v>0</v>
      </c>
      <c r="AL56">
        <v>0</v>
      </c>
    </row>
    <row r="57" spans="1:38" hidden="1" x14ac:dyDescent="0.2">
      <c r="A57" t="s">
        <v>162</v>
      </c>
      <c r="B57" t="s">
        <v>163</v>
      </c>
      <c r="C57" t="s">
        <v>164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280</v>
      </c>
      <c r="AF57">
        <v>20.430379746835438</v>
      </c>
      <c r="AG57">
        <v>0</v>
      </c>
      <c r="AH57">
        <f>21.1427839116835*1</f>
        <v>21.142783911683502</v>
      </c>
      <c r="AI57">
        <f>3.52379731861392*1</f>
        <v>3.5237973186139202</v>
      </c>
      <c r="AJ57">
        <v>1</v>
      </c>
      <c r="AK57">
        <v>0</v>
      </c>
      <c r="AL57">
        <v>0</v>
      </c>
    </row>
    <row r="58" spans="1:38" x14ac:dyDescent="0.2">
      <c r="A58" t="s">
        <v>64</v>
      </c>
      <c r="B58" t="s">
        <v>65</v>
      </c>
      <c r="C58" t="s">
        <v>66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11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5.0999999999999996</v>
      </c>
      <c r="AE58">
        <v>26</v>
      </c>
      <c r="AF58">
        <v>25.129411764705878</v>
      </c>
      <c r="AG58">
        <v>0</v>
      </c>
      <c r="AH58">
        <f>33.8359978073788*1</f>
        <v>33.835997807378803</v>
      </c>
      <c r="AI58">
        <f>5.63933296789646*1</f>
        <v>5.6393329678964603</v>
      </c>
      <c r="AJ58">
        <v>1</v>
      </c>
      <c r="AK58">
        <v>1</v>
      </c>
      <c r="AL58">
        <v>1</v>
      </c>
    </row>
    <row r="59" spans="1:38" hidden="1" x14ac:dyDescent="0.2">
      <c r="A59" t="s">
        <v>167</v>
      </c>
      <c r="B59" t="s">
        <v>168</v>
      </c>
      <c r="C59" t="s">
        <v>168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285</v>
      </c>
      <c r="AF59">
        <v>14.78571428571429</v>
      </c>
      <c r="AG59">
        <v>0</v>
      </c>
      <c r="AH59">
        <f>15.3012898436785*1</f>
        <v>15.3012898436785</v>
      </c>
      <c r="AI59">
        <f>2.55021497394642*1</f>
        <v>2.5502149739464199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171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5.4</v>
      </c>
      <c r="AE60">
        <v>309</v>
      </c>
      <c r="AF60">
        <v>16.983606557377058</v>
      </c>
      <c r="AG60">
        <v>0</v>
      </c>
      <c r="AH60">
        <f>19.6494591367016*1</f>
        <v>19.649459136701601</v>
      </c>
      <c r="AI60">
        <f>3.27490985611694*1</f>
        <v>3.2749098561169401</v>
      </c>
      <c r="AJ60">
        <v>1</v>
      </c>
      <c r="AK60">
        <v>0</v>
      </c>
      <c r="AL60">
        <v>0</v>
      </c>
    </row>
    <row r="61" spans="1:38" hidden="1" x14ac:dyDescent="0.2">
      <c r="A61" t="s">
        <v>172</v>
      </c>
      <c r="B61" t="s">
        <v>173</v>
      </c>
      <c r="C61" t="s">
        <v>173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5.3</v>
      </c>
      <c r="AE61">
        <v>313</v>
      </c>
      <c r="AF61">
        <v>17.011764705882349</v>
      </c>
      <c r="AG61">
        <v>0</v>
      </c>
      <c r="AH61">
        <f>19.6820371634329*1</f>
        <v>19.682037163432899</v>
      </c>
      <c r="AI61">
        <f>3.28033952723882*1</f>
        <v>3.2803395272388198</v>
      </c>
      <c r="AJ61">
        <v>1</v>
      </c>
      <c r="AK61">
        <v>0</v>
      </c>
      <c r="AL61">
        <v>0</v>
      </c>
    </row>
    <row r="62" spans="1:38" hidden="1" x14ac:dyDescent="0.2">
      <c r="A62" t="s">
        <v>174</v>
      </c>
      <c r="B62" t="s">
        <v>175</v>
      </c>
      <c r="C62" t="s">
        <v>175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314</v>
      </c>
      <c r="AF62">
        <v>22.396039603960411</v>
      </c>
      <c r="AG62">
        <v>0</v>
      </c>
      <c r="AH62">
        <f>25.9114613574713*1</f>
        <v>25.9114613574713</v>
      </c>
      <c r="AI62">
        <f>4.31857689291188*1</f>
        <v>4.3185768929118797</v>
      </c>
      <c r="AJ62">
        <v>1</v>
      </c>
      <c r="AK62">
        <v>0</v>
      </c>
      <c r="AL62">
        <v>0</v>
      </c>
    </row>
    <row r="63" spans="1:38" hidden="1" x14ac:dyDescent="0.2">
      <c r="A63" t="s">
        <v>176</v>
      </c>
      <c r="B63" t="s">
        <v>177</v>
      </c>
      <c r="C63" t="s">
        <v>177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4.4000000000000004</v>
      </c>
      <c r="AE63">
        <v>318</v>
      </c>
      <c r="AF63">
        <v>21.858764105170088</v>
      </c>
      <c r="AG63">
        <v>0</v>
      </c>
      <c r="AH63">
        <f>25.2898517527642*1</f>
        <v>25.2898517527642</v>
      </c>
      <c r="AI63">
        <f>4.71869546771253*1</f>
        <v>4.7186954677125303</v>
      </c>
      <c r="AJ63">
        <v>1</v>
      </c>
      <c r="AK63">
        <v>0</v>
      </c>
      <c r="AL63">
        <v>0</v>
      </c>
    </row>
    <row r="64" spans="1:38" hidden="1" x14ac:dyDescent="0.2">
      <c r="A64" t="s">
        <v>178</v>
      </c>
      <c r="B64" t="s">
        <v>179</v>
      </c>
      <c r="C64" t="s">
        <v>180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319</v>
      </c>
      <c r="AF64">
        <v>15.63184466200128</v>
      </c>
      <c r="AG64">
        <v>0</v>
      </c>
      <c r="AH64">
        <f>18.0855162818078*1</f>
        <v>18.085516281807799</v>
      </c>
      <c r="AI64">
        <f>3.21169851132002*1</f>
        <v>3.2116985113200198</v>
      </c>
      <c r="AJ64">
        <v>1</v>
      </c>
      <c r="AK64">
        <v>0</v>
      </c>
      <c r="AL64">
        <v>0</v>
      </c>
    </row>
    <row r="65" spans="1:38" hidden="1" x14ac:dyDescent="0.2">
      <c r="A65" t="s">
        <v>181</v>
      </c>
      <c r="B65" t="s">
        <v>182</v>
      </c>
      <c r="C65" t="s">
        <v>182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320</v>
      </c>
      <c r="AF65">
        <v>15.18072289156626</v>
      </c>
      <c r="AG65">
        <v>0</v>
      </c>
      <c r="AH65">
        <f>17.5635836308192*1</f>
        <v>17.563583630819199</v>
      </c>
      <c r="AI65">
        <f>2.92726393846987*1</f>
        <v>2.9272639384698702</v>
      </c>
      <c r="AJ65">
        <v>1</v>
      </c>
      <c r="AK65">
        <v>0</v>
      </c>
      <c r="AL65">
        <v>0</v>
      </c>
    </row>
    <row r="66" spans="1:38" hidden="1" x14ac:dyDescent="0.2">
      <c r="A66" t="s">
        <v>183</v>
      </c>
      <c r="B66" t="s">
        <v>184</v>
      </c>
      <c r="C66" t="s">
        <v>184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4.3</v>
      </c>
      <c r="AE66">
        <v>346</v>
      </c>
      <c r="AF66">
        <v>16.578947368421058</v>
      </c>
      <c r="AG66">
        <v>15.39997584100259</v>
      </c>
      <c r="AH66">
        <f>16.0805776604829*1</f>
        <v>16.080577660482898</v>
      </c>
      <c r="AI66">
        <f>2.70069520508495*1</f>
        <v>2.70069520508495</v>
      </c>
      <c r="AJ66">
        <v>1</v>
      </c>
      <c r="AK66">
        <v>0</v>
      </c>
      <c r="AL66">
        <v>0</v>
      </c>
    </row>
    <row r="67" spans="1:38" hidden="1" x14ac:dyDescent="0.2">
      <c r="A67" t="s">
        <v>103</v>
      </c>
      <c r="B67" t="s">
        <v>185</v>
      </c>
      <c r="C67" t="s">
        <v>185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347</v>
      </c>
      <c r="AF67">
        <v>21.316364775833041</v>
      </c>
      <c r="AG67">
        <v>20.480949704132929</v>
      </c>
      <c r="AH67">
        <f>20.8447493205339*1</f>
        <v>20.8447493205339</v>
      </c>
      <c r="AI67">
        <f>3.87281678231405*1</f>
        <v>3.8728167823140498</v>
      </c>
      <c r="AJ67">
        <v>1</v>
      </c>
      <c r="AK67">
        <v>0</v>
      </c>
      <c r="AL67">
        <v>0</v>
      </c>
    </row>
    <row r="68" spans="1:38" hidden="1" x14ac:dyDescent="0.2">
      <c r="A68" t="s">
        <v>186</v>
      </c>
      <c r="B68" t="s">
        <v>187</v>
      </c>
      <c r="C68" t="s">
        <v>187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4.9000000000000004</v>
      </c>
      <c r="AE68">
        <v>351</v>
      </c>
      <c r="AF68">
        <v>12.531610741825149</v>
      </c>
      <c r="AG68">
        <v>10.55385299156926</v>
      </c>
      <c r="AH68">
        <f>11.8847698701054*1</f>
        <v>11.8847698701054</v>
      </c>
      <c r="AI68">
        <f>1.72454255994704*1</f>
        <v>1.7245425599470401</v>
      </c>
      <c r="AJ68">
        <v>1</v>
      </c>
      <c r="AK68">
        <v>0</v>
      </c>
      <c r="AL68">
        <v>0</v>
      </c>
    </row>
    <row r="69" spans="1:38" hidden="1" x14ac:dyDescent="0.2">
      <c r="A69" t="s">
        <v>188</v>
      </c>
      <c r="B69" t="s">
        <v>189</v>
      </c>
      <c r="C69" t="s">
        <v>189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357</v>
      </c>
      <c r="AF69">
        <v>20.149970467146321</v>
      </c>
      <c r="AG69">
        <v>17.801409039217759</v>
      </c>
      <c r="AH69">
        <f>19.3166196995528*1</f>
        <v>19.316619699552799</v>
      </c>
      <c r="AI69">
        <f>2.90306497865412*1</f>
        <v>2.9030649786541201</v>
      </c>
      <c r="AJ69">
        <v>1</v>
      </c>
      <c r="AK69">
        <v>0</v>
      </c>
      <c r="AL69">
        <v>0</v>
      </c>
    </row>
    <row r="70" spans="1:38" hidden="1" x14ac:dyDescent="0.2">
      <c r="A70" t="s">
        <v>190</v>
      </c>
      <c r="B70" t="s">
        <v>191</v>
      </c>
      <c r="C70" t="s">
        <v>191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4.5999999999999996</v>
      </c>
      <c r="AE70">
        <v>358</v>
      </c>
      <c r="AF70">
        <v>19.247781497205871</v>
      </c>
      <c r="AG70">
        <v>18.812008231917151</v>
      </c>
      <c r="AH70">
        <f>18.9011312572448*1</f>
        <v>18.901131257244799</v>
      </c>
      <c r="AI70">
        <f>3.89381188696356*1</f>
        <v>3.8938118869635598</v>
      </c>
      <c r="AJ70">
        <v>1</v>
      </c>
      <c r="AK70">
        <v>0</v>
      </c>
      <c r="AL70">
        <v>0</v>
      </c>
    </row>
    <row r="71" spans="1:38" hidden="1" x14ac:dyDescent="0.2">
      <c r="A71" t="s">
        <v>169</v>
      </c>
      <c r="B71" t="s">
        <v>192</v>
      </c>
      <c r="C71" t="s">
        <v>192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4.7</v>
      </c>
      <c r="AE71">
        <v>361</v>
      </c>
      <c r="AF71">
        <v>21.280788177339911</v>
      </c>
      <c r="AG71">
        <v>18.043568897730349</v>
      </c>
      <c r="AH71">
        <f>20.2125108375521*1</f>
        <v>20.212510837552099</v>
      </c>
      <c r="AI71">
        <f>3.34906811572542*1</f>
        <v>3.3490681157254198</v>
      </c>
      <c r="AJ71">
        <v>1</v>
      </c>
      <c r="AK71">
        <v>0</v>
      </c>
      <c r="AL71">
        <v>0</v>
      </c>
    </row>
    <row r="72" spans="1:38" hidden="1" x14ac:dyDescent="0.2">
      <c r="A72" t="s">
        <v>193</v>
      </c>
      <c r="B72" t="s">
        <v>194</v>
      </c>
      <c r="C72" t="s">
        <v>194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4.4000000000000004</v>
      </c>
      <c r="AE72">
        <v>366</v>
      </c>
      <c r="AF72">
        <v>14.34782608695652</v>
      </c>
      <c r="AG72">
        <v>15.48510057490723</v>
      </c>
      <c r="AH72">
        <f>14.4529128981531*1</f>
        <v>14.4529128981531</v>
      </c>
      <c r="AI72">
        <f>2.36993669702351*1</f>
        <v>2.3699366970235101</v>
      </c>
      <c r="AJ72">
        <v>1</v>
      </c>
      <c r="AK72">
        <v>0</v>
      </c>
      <c r="AL72">
        <v>0</v>
      </c>
    </row>
    <row r="73" spans="1:38" hidden="1" x14ac:dyDescent="0.2">
      <c r="A73" t="s">
        <v>195</v>
      </c>
      <c r="B73" t="s">
        <v>196</v>
      </c>
      <c r="C73" t="s">
        <v>196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379</v>
      </c>
      <c r="AF73">
        <v>14.50631362744971</v>
      </c>
      <c r="AG73">
        <v>12.146801496663841</v>
      </c>
      <c r="AH73">
        <f>12.7239169383251*1</f>
        <v>12.7239169383251</v>
      </c>
      <c r="AI73">
        <f>2.53832237409537*1</f>
        <v>2.5383223740953702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197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380</v>
      </c>
      <c r="AF74">
        <v>17.5</v>
      </c>
      <c r="AG74">
        <v>21.130568372387781</v>
      </c>
      <c r="AH74">
        <f>19.688172459706*1</f>
        <v>19.688172459705999</v>
      </c>
      <c r="AI74">
        <f>4.33927701273609*1</f>
        <v>4.3392770127360896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200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383</v>
      </c>
      <c r="AF75">
        <v>13.88869888553462</v>
      </c>
      <c r="AG75">
        <v>12.3597128756155</v>
      </c>
      <c r="AH75">
        <f>12.6711998580177*1</f>
        <v>12.671199858017699</v>
      </c>
      <c r="AI75">
        <f>2.57590552074445*1</f>
        <v>2.5759055207444499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202</v>
      </c>
      <c r="D76" t="s">
        <v>3</v>
      </c>
      <c r="E76">
        <v>1</v>
      </c>
      <c r="F76">
        <v>0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388</v>
      </c>
      <c r="AF76">
        <v>18.096130372491409</v>
      </c>
      <c r="AG76">
        <v>16.60094720855956</v>
      </c>
      <c r="AH76">
        <f>16.842696453331*1</f>
        <v>16.842696453331001</v>
      </c>
      <c r="AI76">
        <f>3.76300455531717*1</f>
        <v>3.76300455531717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205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393</v>
      </c>
      <c r="AF77">
        <v>12.53413674912086</v>
      </c>
      <c r="AG77">
        <v>12.94259242260345</v>
      </c>
      <c r="AH77">
        <f>12.633224298612*1</f>
        <v>12.633224298611999</v>
      </c>
      <c r="AI77">
        <f>2.39511539563479*1</f>
        <v>2.3951153956347899</v>
      </c>
      <c r="AJ77">
        <v>1</v>
      </c>
      <c r="AK77">
        <v>0</v>
      </c>
      <c r="AL77">
        <v>0</v>
      </c>
    </row>
    <row r="78" spans="1:38" hidden="1" x14ac:dyDescent="0.2">
      <c r="A78" t="s">
        <v>206</v>
      </c>
      <c r="B78" t="s">
        <v>207</v>
      </c>
      <c r="C78" t="s">
        <v>207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4.5999999999999996</v>
      </c>
      <c r="AE78">
        <v>396</v>
      </c>
      <c r="AF78">
        <v>12.69230769230769</v>
      </c>
      <c r="AG78">
        <v>10.797165594396169</v>
      </c>
      <c r="AH78">
        <f>11.246208059914*1</f>
        <v>11.246208059914</v>
      </c>
      <c r="AI78">
        <f>2.40162525782397*1</f>
        <v>2.4016252578239699</v>
      </c>
      <c r="AJ78">
        <v>1</v>
      </c>
      <c r="AK78">
        <v>0</v>
      </c>
      <c r="AL78">
        <v>0</v>
      </c>
    </row>
    <row r="79" spans="1:38" hidden="1" x14ac:dyDescent="0.2">
      <c r="A79" t="s">
        <v>208</v>
      </c>
      <c r="B79" t="s">
        <v>147</v>
      </c>
      <c r="C79" t="s">
        <v>147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401</v>
      </c>
      <c r="AF79">
        <v>13.04597701149425</v>
      </c>
      <c r="AG79">
        <v>10.71419430139113</v>
      </c>
      <c r="AH79">
        <f>11.3024849609729*1</f>
        <v>11.302484960972899</v>
      </c>
      <c r="AI79">
        <f>2.22830146401274*1</f>
        <v>2.2283014640127399</v>
      </c>
      <c r="AJ79">
        <v>1</v>
      </c>
      <c r="AK79">
        <v>0</v>
      </c>
      <c r="AL79">
        <v>0</v>
      </c>
    </row>
    <row r="80" spans="1:38" hidden="1" x14ac:dyDescent="0.2">
      <c r="A80" t="s">
        <v>209</v>
      </c>
      <c r="B80" t="s">
        <v>210</v>
      </c>
      <c r="C80" t="s">
        <v>209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403</v>
      </c>
      <c r="AF80">
        <v>18.490566037735849</v>
      </c>
      <c r="AG80">
        <v>22.94480430271582</v>
      </c>
      <c r="AH80">
        <f>21.2166543938284*1</f>
        <v>21.216654393828399</v>
      </c>
      <c r="AI80">
        <f>4.67880393303319*1</f>
        <v>4.6788039330331896</v>
      </c>
      <c r="AJ80">
        <v>1</v>
      </c>
      <c r="AK80">
        <v>0</v>
      </c>
      <c r="AL80">
        <v>0</v>
      </c>
    </row>
    <row r="81" spans="1:38" hidden="1" x14ac:dyDescent="0.2">
      <c r="A81" t="s">
        <v>211</v>
      </c>
      <c r="B81" t="s">
        <v>212</v>
      </c>
      <c r="C81" t="s">
        <v>212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4.4000000000000004</v>
      </c>
      <c r="AE81">
        <v>404</v>
      </c>
      <c r="AF81">
        <v>9.6009015769802897</v>
      </c>
      <c r="AG81">
        <v>9.4845198378327868</v>
      </c>
      <c r="AH81">
        <f>9.38928196660558*1</f>
        <v>9.38928196660558</v>
      </c>
      <c r="AI81">
        <f>2.08277242473578*1</f>
        <v>2.0827724247357802</v>
      </c>
      <c r="AJ81">
        <v>1</v>
      </c>
      <c r="AK81">
        <v>0</v>
      </c>
      <c r="AL81">
        <v>0</v>
      </c>
    </row>
    <row r="82" spans="1:38" hidden="1" x14ac:dyDescent="0.2">
      <c r="A82" t="s">
        <v>213</v>
      </c>
      <c r="B82" t="s">
        <v>214</v>
      </c>
      <c r="C82" t="s">
        <v>214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410</v>
      </c>
      <c r="AF82">
        <v>15.36671763924709</v>
      </c>
      <c r="AG82">
        <v>13.9822790780741</v>
      </c>
      <c r="AH82">
        <f>14.2254614875171*1</f>
        <v>14.2254614875171</v>
      </c>
      <c r="AI82">
        <f>2.54657278240885*1</f>
        <v>2.54657278240885</v>
      </c>
      <c r="AJ82">
        <v>1</v>
      </c>
      <c r="AK82">
        <v>0</v>
      </c>
      <c r="AL82">
        <v>0</v>
      </c>
    </row>
    <row r="83" spans="1:38" hidden="1" x14ac:dyDescent="0.2">
      <c r="A83" t="s">
        <v>215</v>
      </c>
      <c r="B83" t="s">
        <v>216</v>
      </c>
      <c r="C83" t="s">
        <v>216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8.4</v>
      </c>
      <c r="AE83">
        <v>417</v>
      </c>
      <c r="AF83">
        <v>31.575274272963458</v>
      </c>
      <c r="AG83">
        <v>29.129873712619769</v>
      </c>
      <c r="AH83">
        <f>32.1040051743028*1</f>
        <v>32.104005174302799</v>
      </c>
      <c r="AI83">
        <f>5.28412233511907*1</f>
        <v>5.2841223351190703</v>
      </c>
      <c r="AJ83">
        <v>1</v>
      </c>
      <c r="AK83">
        <v>0</v>
      </c>
      <c r="AL83">
        <v>0</v>
      </c>
    </row>
    <row r="84" spans="1:38" hidden="1" x14ac:dyDescent="0.2">
      <c r="A84" t="s">
        <v>217</v>
      </c>
      <c r="B84" t="s">
        <v>218</v>
      </c>
      <c r="C84" t="s">
        <v>219</v>
      </c>
      <c r="D84" t="s">
        <v>3</v>
      </c>
      <c r="E84">
        <v>1</v>
      </c>
      <c r="F84">
        <v>0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5.7</v>
      </c>
      <c r="AE84">
        <v>418</v>
      </c>
      <c r="AF84">
        <v>26.133890929998479</v>
      </c>
      <c r="AG84">
        <v>24.543311398192319</v>
      </c>
      <c r="AH84">
        <f>13.3599538388959*0.5</f>
        <v>6.6799769194479497</v>
      </c>
      <c r="AI84">
        <f>4.28771362717917*0.5</f>
        <v>2.143856813589585</v>
      </c>
      <c r="AJ84">
        <v>0.5</v>
      </c>
      <c r="AK84">
        <v>0</v>
      </c>
      <c r="AL84">
        <v>0</v>
      </c>
    </row>
    <row r="85" spans="1:38" hidden="1" x14ac:dyDescent="0.2">
      <c r="A85" t="s">
        <v>220</v>
      </c>
      <c r="B85" t="s">
        <v>221</v>
      </c>
      <c r="C85" t="s">
        <v>220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7.7</v>
      </c>
      <c r="AE85">
        <v>420</v>
      </c>
      <c r="AF85">
        <v>23.785714285714288</v>
      </c>
      <c r="AG85">
        <v>21.076935897981279</v>
      </c>
      <c r="AH85">
        <f>23.8872564783183*1</f>
        <v>23.887256478318299</v>
      </c>
      <c r="AI85">
        <f>4.2621055242038*1</f>
        <v>4.2621055242038004</v>
      </c>
      <c r="AJ85">
        <v>1</v>
      </c>
      <c r="AK85">
        <v>0</v>
      </c>
      <c r="AL85">
        <v>0</v>
      </c>
    </row>
    <row r="86" spans="1:38" hidden="1" x14ac:dyDescent="0.2">
      <c r="A86" t="s">
        <v>222</v>
      </c>
      <c r="B86" t="s">
        <v>223</v>
      </c>
      <c r="C86" t="s">
        <v>223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4.8</v>
      </c>
      <c r="AE86">
        <v>422</v>
      </c>
      <c r="AF86">
        <v>13.174386658183961</v>
      </c>
      <c r="AG86">
        <v>10.190345055273371</v>
      </c>
      <c r="AH86">
        <f>12.7225903364334*1</f>
        <v>12.722590336433401</v>
      </c>
      <c r="AI86">
        <f>2.45767811656943*1</f>
        <v>2.4576781165694301</v>
      </c>
      <c r="AJ86">
        <v>1</v>
      </c>
      <c r="AK86">
        <v>0</v>
      </c>
      <c r="AL86">
        <v>0</v>
      </c>
    </row>
    <row r="87" spans="1:38" hidden="1" x14ac:dyDescent="0.2">
      <c r="A87" t="s">
        <v>224</v>
      </c>
      <c r="B87" t="s">
        <v>225</v>
      </c>
      <c r="C87" t="s">
        <v>225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7.1</v>
      </c>
      <c r="AE87">
        <v>424</v>
      </c>
      <c r="AF87">
        <v>19.25783002035563</v>
      </c>
      <c r="AG87">
        <v>20.710674800286899</v>
      </c>
      <c r="AH87">
        <f>20.588465283791*1</f>
        <v>20.588465283790999</v>
      </c>
      <c r="AI87">
        <f>3.96299985033545*1</f>
        <v>3.96299985033545</v>
      </c>
      <c r="AJ87">
        <v>1</v>
      </c>
      <c r="AK87">
        <v>0</v>
      </c>
      <c r="AL87">
        <v>0</v>
      </c>
    </row>
    <row r="88" spans="1:38" hidden="1" x14ac:dyDescent="0.2">
      <c r="A88" t="s">
        <v>226</v>
      </c>
      <c r="B88" t="s">
        <v>227</v>
      </c>
      <c r="C88" t="s">
        <v>227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4.5999999999999996</v>
      </c>
      <c r="AE88">
        <v>425</v>
      </c>
      <c r="AF88">
        <v>15.69230769230769</v>
      </c>
      <c r="AG88">
        <v>15.908017529458821</v>
      </c>
      <c r="AH88">
        <f>16.4450764782866*1</f>
        <v>16.445076478286602</v>
      </c>
      <c r="AI88">
        <f>3.5516450862246*1</f>
        <v>3.5516450862246001</v>
      </c>
      <c r="AJ88">
        <v>1</v>
      </c>
      <c r="AK88">
        <v>0</v>
      </c>
      <c r="AL88">
        <v>0</v>
      </c>
    </row>
    <row r="89" spans="1:38" hidden="1" x14ac:dyDescent="0.2">
      <c r="A89" t="s">
        <v>228</v>
      </c>
      <c r="B89" t="s">
        <v>229</v>
      </c>
      <c r="C89" t="s">
        <v>230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7.6</v>
      </c>
      <c r="AE89">
        <v>430</v>
      </c>
      <c r="AF89">
        <v>22.79999999999999</v>
      </c>
      <c r="AG89">
        <v>20.188885570813671</v>
      </c>
      <c r="AH89">
        <f>22.8923377695597*1</f>
        <v>22.892337769559699</v>
      </c>
      <c r="AI89">
        <f>4.0043410758067*1</f>
        <v>4.0043410758066997</v>
      </c>
      <c r="AJ89">
        <v>1</v>
      </c>
      <c r="AK89">
        <v>0</v>
      </c>
      <c r="AL89">
        <v>0</v>
      </c>
    </row>
    <row r="90" spans="1:38" hidden="1" x14ac:dyDescent="0.2">
      <c r="A90" t="s">
        <v>231</v>
      </c>
      <c r="B90" t="s">
        <v>232</v>
      </c>
      <c r="C90" t="s">
        <v>232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5.9</v>
      </c>
      <c r="AE90">
        <v>431</v>
      </c>
      <c r="AF90">
        <v>18.15789473684212</v>
      </c>
      <c r="AG90">
        <v>15.94276708327045</v>
      </c>
      <c r="AH90">
        <f>18.1849881250806*1</f>
        <v>18.184988125080601</v>
      </c>
      <c r="AI90">
        <f>2.96218285420327*1</f>
        <v>2.9621828542032702</v>
      </c>
      <c r="AJ90">
        <v>1</v>
      </c>
      <c r="AK90">
        <v>0</v>
      </c>
      <c r="AL90">
        <v>0</v>
      </c>
    </row>
    <row r="91" spans="1:38" x14ac:dyDescent="0.2">
      <c r="A91" t="s">
        <v>358</v>
      </c>
      <c r="B91" t="s">
        <v>359</v>
      </c>
      <c r="C91" t="s">
        <v>360</v>
      </c>
      <c r="D91" t="s">
        <v>3</v>
      </c>
      <c r="E91">
        <v>1</v>
      </c>
      <c r="F91">
        <v>0</v>
      </c>
      <c r="G91">
        <v>0</v>
      </c>
      <c r="H91">
        <v>0</v>
      </c>
      <c r="I91" t="s">
        <v>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5</v>
      </c>
      <c r="AE91">
        <v>823</v>
      </c>
      <c r="AF91">
        <v>23.01091043811001</v>
      </c>
      <c r="AG91">
        <v>25.804234556582809</v>
      </c>
      <c r="AH91">
        <f>25.4558737198261*1</f>
        <v>25.455873719826101</v>
      </c>
      <c r="AI91">
        <f>5.53351960379943*1</f>
        <v>5.5335196037994301</v>
      </c>
      <c r="AJ91">
        <v>1</v>
      </c>
      <c r="AK91">
        <v>1</v>
      </c>
      <c r="AL91">
        <v>1</v>
      </c>
    </row>
    <row r="92" spans="1:38" x14ac:dyDescent="0.2">
      <c r="A92" t="s">
        <v>363</v>
      </c>
      <c r="B92" t="s">
        <v>364</v>
      </c>
      <c r="C92" t="s">
        <v>365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30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5.5</v>
      </c>
      <c r="AE92">
        <v>829</v>
      </c>
      <c r="AF92">
        <v>29.573651192118309</v>
      </c>
      <c r="AG92">
        <v>19.681845437694179</v>
      </c>
      <c r="AH92">
        <f>26.2774610680848*1</f>
        <v>26.277461068084801</v>
      </c>
      <c r="AI92">
        <f>5.51129631533225*1</f>
        <v>5.5112963153322498</v>
      </c>
      <c r="AJ92">
        <v>1</v>
      </c>
      <c r="AK92">
        <v>1</v>
      </c>
      <c r="AL92">
        <v>1</v>
      </c>
    </row>
    <row r="93" spans="1:38" x14ac:dyDescent="0.2">
      <c r="A93" t="s">
        <v>241</v>
      </c>
      <c r="B93" t="s">
        <v>242</v>
      </c>
      <c r="C93" t="s">
        <v>242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472</v>
      </c>
      <c r="AF93">
        <v>18.793103448275851</v>
      </c>
      <c r="AG93">
        <v>0</v>
      </c>
      <c r="AH93">
        <f>26.9791234065344*1</f>
        <v>26.979123406534399</v>
      </c>
      <c r="AI93">
        <f>5.39582468130689*1</f>
        <v>5.3958246813068902</v>
      </c>
      <c r="AJ93">
        <v>1</v>
      </c>
      <c r="AK93">
        <v>1</v>
      </c>
      <c r="AL93">
        <v>1</v>
      </c>
    </row>
    <row r="94" spans="1:38" x14ac:dyDescent="0.2">
      <c r="A94" t="s">
        <v>237</v>
      </c>
      <c r="B94" t="s">
        <v>238</v>
      </c>
      <c r="C94" t="s">
        <v>237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6.6</v>
      </c>
      <c r="AE94">
        <v>440</v>
      </c>
      <c r="AF94">
        <v>28.082840236686391</v>
      </c>
      <c r="AG94">
        <v>29.618184702443902</v>
      </c>
      <c r="AH94">
        <f>29.8235269301654*1</f>
        <v>29.8235269301654</v>
      </c>
      <c r="AI94">
        <f>5.12966725240525*1</f>
        <v>5.12966725240525</v>
      </c>
      <c r="AJ94">
        <v>1</v>
      </c>
      <c r="AK94">
        <v>1</v>
      </c>
      <c r="AL94">
        <v>1</v>
      </c>
    </row>
    <row r="95" spans="1:38" x14ac:dyDescent="0.2">
      <c r="A95" t="s">
        <v>56</v>
      </c>
      <c r="B95" t="s">
        <v>57</v>
      </c>
      <c r="C95" t="s">
        <v>57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11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5.8</v>
      </c>
      <c r="AE95">
        <v>18</v>
      </c>
      <c r="AF95">
        <v>24.94010000730821</v>
      </c>
      <c r="AG95">
        <v>0</v>
      </c>
      <c r="AH95">
        <f>33.5810952148233*1</f>
        <v>33.5810952148233</v>
      </c>
      <c r="AI95">
        <f>4.65201857598174*1</f>
        <v>4.6520185759817396</v>
      </c>
      <c r="AJ95">
        <v>1</v>
      </c>
      <c r="AK95">
        <v>1</v>
      </c>
      <c r="AL95">
        <v>1</v>
      </c>
    </row>
    <row r="96" spans="1:38" hidden="1" x14ac:dyDescent="0.2">
      <c r="A96" t="s">
        <v>243</v>
      </c>
      <c r="B96" t="s">
        <v>244</v>
      </c>
      <c r="C96" t="s">
        <v>244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4.8</v>
      </c>
      <c r="AE96">
        <v>474</v>
      </c>
      <c r="AF96">
        <v>13.8</v>
      </c>
      <c r="AG96">
        <v>0</v>
      </c>
      <c r="AH96">
        <f>19.8110920867799*1</f>
        <v>19.811092086779901</v>
      </c>
      <c r="AI96">
        <f>3.96221841735599*1</f>
        <v>3.9622184173559898</v>
      </c>
      <c r="AJ96">
        <v>1</v>
      </c>
      <c r="AK96">
        <v>0</v>
      </c>
      <c r="AL96">
        <v>0</v>
      </c>
    </row>
    <row r="97" spans="1:38" hidden="1" x14ac:dyDescent="0.2">
      <c r="A97" t="s">
        <v>245</v>
      </c>
      <c r="B97" t="s">
        <v>246</v>
      </c>
      <c r="C97" t="s">
        <v>246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4.5999999999999996</v>
      </c>
      <c r="AE97">
        <v>491</v>
      </c>
      <c r="AF97">
        <v>9.1812164942145973</v>
      </c>
      <c r="AG97">
        <v>0</v>
      </c>
      <c r="AH97">
        <f>13.1804293793875*1</f>
        <v>13.180429379387499</v>
      </c>
      <c r="AI97">
        <f>2.33510325751686*1</f>
        <v>2.33510325751686</v>
      </c>
      <c r="AJ97">
        <v>1</v>
      </c>
      <c r="AK97">
        <v>0</v>
      </c>
      <c r="AL97">
        <v>0</v>
      </c>
    </row>
    <row r="98" spans="1:38" hidden="1" x14ac:dyDescent="0.2">
      <c r="A98" t="s">
        <v>247</v>
      </c>
      <c r="B98" t="s">
        <v>248</v>
      </c>
      <c r="C98" t="s">
        <v>248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4.8</v>
      </c>
      <c r="AE98">
        <v>494</v>
      </c>
      <c r="AF98">
        <v>14.58153010539891</v>
      </c>
      <c r="AG98">
        <v>0</v>
      </c>
      <c r="AH98">
        <f>20.9330460640733*1</f>
        <v>20.933046064073299</v>
      </c>
      <c r="AI98">
        <f>4.04661897812391*1</f>
        <v>4.0466189781239104</v>
      </c>
      <c r="AJ98">
        <v>1</v>
      </c>
      <c r="AK98">
        <v>0</v>
      </c>
      <c r="AL98">
        <v>0</v>
      </c>
    </row>
    <row r="99" spans="1:38" hidden="1" x14ac:dyDescent="0.2">
      <c r="A99" t="s">
        <v>249</v>
      </c>
      <c r="B99" t="s">
        <v>250</v>
      </c>
      <c r="C99" t="s">
        <v>250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</v>
      </c>
      <c r="AE99">
        <v>506</v>
      </c>
      <c r="AF99">
        <v>16.370661277218801</v>
      </c>
      <c r="AG99">
        <v>0</v>
      </c>
      <c r="AH99">
        <f>15.7770100528019*1</f>
        <v>15.7770100528019</v>
      </c>
      <c r="AI99">
        <f>3.14090358596093*1</f>
        <v>3.1409035859609298</v>
      </c>
      <c r="AJ99">
        <v>1</v>
      </c>
      <c r="AK99">
        <v>0</v>
      </c>
      <c r="AL99">
        <v>0</v>
      </c>
    </row>
    <row r="100" spans="1:38" hidden="1" x14ac:dyDescent="0.2">
      <c r="A100" t="s">
        <v>113</v>
      </c>
      <c r="B100" t="s">
        <v>251</v>
      </c>
      <c r="C100" t="s">
        <v>251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</v>
      </c>
      <c r="AE100">
        <v>507</v>
      </c>
      <c r="AF100">
        <v>16.36690647482013</v>
      </c>
      <c r="AG100">
        <v>0</v>
      </c>
      <c r="AH100">
        <f>15.7733914112463*1</f>
        <v>15.773391411246299</v>
      </c>
      <c r="AI100">
        <f>3.15467828224927*1</f>
        <v>3.1546782822492698</v>
      </c>
      <c r="AJ100">
        <v>1</v>
      </c>
      <c r="AK100">
        <v>0</v>
      </c>
      <c r="AL100">
        <v>0</v>
      </c>
    </row>
    <row r="101" spans="1:38" hidden="1" x14ac:dyDescent="0.2">
      <c r="A101" t="s">
        <v>252</v>
      </c>
      <c r="B101" t="s">
        <v>253</v>
      </c>
      <c r="C101" t="s">
        <v>254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6.4</v>
      </c>
      <c r="AE101">
        <v>508</v>
      </c>
      <c r="AF101">
        <v>18.53448275862069</v>
      </c>
      <c r="AG101">
        <v>0</v>
      </c>
      <c r="AH101">
        <f>17.862364620125*1</f>
        <v>17.862364620125</v>
      </c>
      <c r="AI101">
        <f>3.572472924025*1</f>
        <v>3.5724729240249999</v>
      </c>
      <c r="AJ101">
        <v>1</v>
      </c>
      <c r="AK101">
        <v>0</v>
      </c>
      <c r="AL101">
        <v>0</v>
      </c>
    </row>
    <row r="102" spans="1:38" hidden="1" x14ac:dyDescent="0.2">
      <c r="A102" t="s">
        <v>255</v>
      </c>
      <c r="B102" t="s">
        <v>256</v>
      </c>
      <c r="C102" t="s">
        <v>255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6.2</v>
      </c>
      <c r="AE102">
        <v>509</v>
      </c>
      <c r="AF102">
        <v>18.24561403508773</v>
      </c>
      <c r="AG102">
        <v>0</v>
      </c>
      <c r="AH102">
        <f>17.5839711772491*1</f>
        <v>17.583971177249101</v>
      </c>
      <c r="AI102">
        <f>3.51679423544982*1</f>
        <v>3.5167942354498201</v>
      </c>
      <c r="AJ102">
        <v>1</v>
      </c>
      <c r="AK102">
        <v>0</v>
      </c>
      <c r="AL102">
        <v>0</v>
      </c>
    </row>
    <row r="103" spans="1:38" hidden="1" x14ac:dyDescent="0.2">
      <c r="A103" t="s">
        <v>257</v>
      </c>
      <c r="B103" t="s">
        <v>258</v>
      </c>
      <c r="C103" t="s">
        <v>257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5.5</v>
      </c>
      <c r="AE103">
        <v>515</v>
      </c>
      <c r="AF103">
        <v>14.897959183673469</v>
      </c>
      <c r="AG103">
        <v>0</v>
      </c>
      <c r="AH103">
        <f>14.357712729304*1</f>
        <v>14.357712729304</v>
      </c>
      <c r="AI103">
        <f>2.87154254586081*1</f>
        <v>2.8715425458608101</v>
      </c>
      <c r="AJ103">
        <v>1</v>
      </c>
      <c r="AK103">
        <v>0</v>
      </c>
      <c r="AL103">
        <v>0</v>
      </c>
    </row>
    <row r="104" spans="1:38" hidden="1" x14ac:dyDescent="0.2">
      <c r="A104" t="s">
        <v>259</v>
      </c>
      <c r="B104" t="s">
        <v>260</v>
      </c>
      <c r="C104" t="s">
        <v>261</v>
      </c>
      <c r="D104" t="s">
        <v>3</v>
      </c>
      <c r="E104">
        <v>1</v>
      </c>
      <c r="F104">
        <v>0</v>
      </c>
      <c r="G104">
        <v>0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5.5</v>
      </c>
      <c r="AE104">
        <v>516</v>
      </c>
      <c r="AF104">
        <v>19.515306122448951</v>
      </c>
      <c r="AG104">
        <v>0</v>
      </c>
      <c r="AH104">
        <f>18.8076202704068*1</f>
        <v>18.807620270406801</v>
      </c>
      <c r="AI104">
        <f>3.76152405408137*1</f>
        <v>3.7615240540813701</v>
      </c>
      <c r="AJ104">
        <v>1</v>
      </c>
      <c r="AK104">
        <v>0</v>
      </c>
      <c r="AL104">
        <v>0</v>
      </c>
    </row>
    <row r="105" spans="1:38" x14ac:dyDescent="0.2">
      <c r="A105" t="s">
        <v>89</v>
      </c>
      <c r="B105" t="s">
        <v>132</v>
      </c>
      <c r="C105" t="s">
        <v>132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15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5.2</v>
      </c>
      <c r="AE105">
        <v>167</v>
      </c>
      <c r="AF105">
        <v>15.93582887700536</v>
      </c>
      <c r="AG105">
        <v>0</v>
      </c>
      <c r="AH105">
        <f>21.5100164090588*1</f>
        <v>21.5100164090588</v>
      </c>
      <c r="AI105">
        <f>4.30200328181176*1</f>
        <v>4.3020032818117597</v>
      </c>
      <c r="AJ105">
        <v>1</v>
      </c>
      <c r="AK105">
        <v>1</v>
      </c>
      <c r="AL105">
        <v>1</v>
      </c>
    </row>
    <row r="106" spans="1:38" hidden="1" x14ac:dyDescent="0.2">
      <c r="A106" t="s">
        <v>264</v>
      </c>
      <c r="B106" t="s">
        <v>265</v>
      </c>
      <c r="C106" t="s">
        <v>265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14.3</v>
      </c>
      <c r="AE106">
        <v>519</v>
      </c>
      <c r="AF106">
        <v>38.090909090909079</v>
      </c>
      <c r="AG106">
        <v>0</v>
      </c>
      <c r="AH106">
        <f>36.7096139533427*1</f>
        <v>36.709613953342703</v>
      </c>
      <c r="AI106">
        <f>7.34192279066854*1</f>
        <v>7.3419227906685398</v>
      </c>
      <c r="AJ106">
        <v>1</v>
      </c>
      <c r="AK106">
        <v>0</v>
      </c>
      <c r="AL106">
        <v>0</v>
      </c>
    </row>
    <row r="107" spans="1:38" hidden="1" x14ac:dyDescent="0.2">
      <c r="A107" t="s">
        <v>266</v>
      </c>
      <c r="B107" t="s">
        <v>267</v>
      </c>
      <c r="C107" t="s">
        <v>266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5.6</v>
      </c>
      <c r="AE107">
        <v>526</v>
      </c>
      <c r="AF107">
        <v>18.734903648371699</v>
      </c>
      <c r="AG107">
        <v>0</v>
      </c>
      <c r="AH107">
        <f>18.0555176234672*1</f>
        <v>18.0555176234672</v>
      </c>
      <c r="AI107">
        <f>3.21536527066621*1</f>
        <v>3.2153652706662101</v>
      </c>
      <c r="AJ107">
        <v>1</v>
      </c>
      <c r="AK107">
        <v>0</v>
      </c>
      <c r="AL107">
        <v>0</v>
      </c>
    </row>
    <row r="108" spans="1:38" hidden="1" x14ac:dyDescent="0.2">
      <c r="A108" t="s">
        <v>268</v>
      </c>
      <c r="B108" t="s">
        <v>269</v>
      </c>
      <c r="C108" t="s">
        <v>269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5.3</v>
      </c>
      <c r="AE108">
        <v>530</v>
      </c>
      <c r="AF108">
        <v>15.882771829703779</v>
      </c>
      <c r="AG108">
        <v>0</v>
      </c>
      <c r="AH108">
        <f>3.82670324949402*0.25</f>
        <v>0.95667581237350496</v>
      </c>
      <c r="AI108">
        <f>3.06136259959521*0.25</f>
        <v>0.76534064989880246</v>
      </c>
      <c r="AJ108">
        <v>0.25</v>
      </c>
      <c r="AK108">
        <v>0</v>
      </c>
      <c r="AL108">
        <v>0</v>
      </c>
    </row>
    <row r="109" spans="1:38" hidden="1" x14ac:dyDescent="0.2">
      <c r="A109" t="s">
        <v>270</v>
      </c>
      <c r="B109" t="s">
        <v>271</v>
      </c>
      <c r="C109" t="s">
        <v>272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8.1999999999999993</v>
      </c>
      <c r="AE109">
        <v>541</v>
      </c>
      <c r="AF109">
        <v>21.37096774193548</v>
      </c>
      <c r="AG109">
        <v>24.01121287596645</v>
      </c>
      <c r="AH109">
        <f>28.216971699303*1</f>
        <v>28.216971699302999</v>
      </c>
      <c r="AI109">
        <f>6.22530712938777*1</f>
        <v>6.2253071293877698</v>
      </c>
      <c r="AJ109">
        <v>1</v>
      </c>
      <c r="AK109">
        <v>0</v>
      </c>
      <c r="AL109">
        <v>0</v>
      </c>
    </row>
    <row r="110" spans="1:38" hidden="1" x14ac:dyDescent="0.2">
      <c r="A110" t="s">
        <v>273</v>
      </c>
      <c r="B110" t="s">
        <v>274</v>
      </c>
      <c r="C110" t="s">
        <v>275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5.2</v>
      </c>
      <c r="AE110">
        <v>545</v>
      </c>
      <c r="AF110">
        <v>17.075471698113208</v>
      </c>
      <c r="AG110">
        <v>18.56564791060724</v>
      </c>
      <c r="AH110">
        <f>22.141216086079*1</f>
        <v>22.141216086079002</v>
      </c>
      <c r="AI110">
        <f>4.38113376973742*1</f>
        <v>4.3811337697374197</v>
      </c>
      <c r="AJ110">
        <v>1</v>
      </c>
      <c r="AK110">
        <v>0</v>
      </c>
      <c r="AL110">
        <v>0</v>
      </c>
    </row>
    <row r="111" spans="1:38" hidden="1" x14ac:dyDescent="0.2">
      <c r="A111" t="s">
        <v>276</v>
      </c>
      <c r="B111" t="s">
        <v>277</v>
      </c>
      <c r="C111" t="s">
        <v>277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4.9000000000000004</v>
      </c>
      <c r="AE111">
        <v>549</v>
      </c>
      <c r="AF111">
        <v>29.098086594299851</v>
      </c>
      <c r="AG111">
        <v>13.10930123399022</v>
      </c>
      <c r="AH111">
        <f>25.6384089541448*1</f>
        <v>25.638408954144801</v>
      </c>
      <c r="AI111">
        <f>5.62155093497009*1</f>
        <v>5.6215509349700898</v>
      </c>
      <c r="AJ111">
        <v>1</v>
      </c>
      <c r="AK111">
        <v>0</v>
      </c>
      <c r="AL111">
        <v>0</v>
      </c>
    </row>
    <row r="112" spans="1:38" hidden="1" x14ac:dyDescent="0.2">
      <c r="A112" t="s">
        <v>105</v>
      </c>
      <c r="B112" t="s">
        <v>278</v>
      </c>
      <c r="C112" t="s">
        <v>278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8.4</v>
      </c>
      <c r="AE112">
        <v>561</v>
      </c>
      <c r="AF112">
        <v>22.402234636871519</v>
      </c>
      <c r="AG112">
        <v>21.488786320491311</v>
      </c>
      <c r="AH112">
        <f>27.1761793289555*1</f>
        <v>27.176179328955499</v>
      </c>
      <c r="AI112">
        <f>5.79092588415999*1</f>
        <v>5.7909258841599902</v>
      </c>
      <c r="AJ112">
        <v>1</v>
      </c>
      <c r="AK112">
        <v>0</v>
      </c>
      <c r="AL112">
        <v>0</v>
      </c>
    </row>
    <row r="113" spans="1:38" hidden="1" x14ac:dyDescent="0.2">
      <c r="A113" t="s">
        <v>279</v>
      </c>
      <c r="B113" t="s">
        <v>280</v>
      </c>
      <c r="C113" t="s">
        <v>280</v>
      </c>
      <c r="D113" t="s">
        <v>3</v>
      </c>
      <c r="E113">
        <v>1</v>
      </c>
      <c r="F113">
        <v>0</v>
      </c>
      <c r="G113">
        <v>0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4.9000000000000004</v>
      </c>
      <c r="AE113">
        <v>567</v>
      </c>
      <c r="AF113">
        <v>18.06451612903226</v>
      </c>
      <c r="AG113">
        <v>15.474717466197079</v>
      </c>
      <c r="AH113">
        <f>20.7046100281465*1</f>
        <v>20.704610028146501</v>
      </c>
      <c r="AI113">
        <f>4.27120610609303*1</f>
        <v>4.2712061060930298</v>
      </c>
      <c r="AJ113">
        <v>1</v>
      </c>
      <c r="AK113">
        <v>0</v>
      </c>
      <c r="AL113">
        <v>0</v>
      </c>
    </row>
    <row r="114" spans="1:38" hidden="1" x14ac:dyDescent="0.2">
      <c r="A114" t="s">
        <v>281</v>
      </c>
      <c r="B114" t="s">
        <v>282</v>
      </c>
      <c r="C114" t="s">
        <v>282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</v>
      </c>
      <c r="AE114">
        <v>568</v>
      </c>
      <c r="AF114">
        <v>15.491304669867439</v>
      </c>
      <c r="AG114">
        <v>20.441318608800771</v>
      </c>
      <c r="AH114">
        <f>22.4353177187841*1</f>
        <v>22.435317718784098</v>
      </c>
      <c r="AI114">
        <f>3.96348055275564*1</f>
        <v>3.96348055275564</v>
      </c>
      <c r="AJ114">
        <v>1</v>
      </c>
      <c r="AK114">
        <v>0</v>
      </c>
      <c r="AL114">
        <v>0</v>
      </c>
    </row>
    <row r="115" spans="1:38" hidden="1" x14ac:dyDescent="0.2">
      <c r="A115" t="s">
        <v>270</v>
      </c>
      <c r="B115" t="s">
        <v>283</v>
      </c>
      <c r="C115" t="s">
        <v>284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5.8</v>
      </c>
      <c r="AE115">
        <v>587</v>
      </c>
      <c r="AF115">
        <v>17.702702702702709</v>
      </c>
      <c r="AG115">
        <v>16.852292759495541</v>
      </c>
      <c r="AH115">
        <f>21.8089409244287*1</f>
        <v>21.8089409244287</v>
      </c>
      <c r="AI115">
        <f>4.41436923647006*1</f>
        <v>4.4143692364700602</v>
      </c>
      <c r="AJ115">
        <v>1</v>
      </c>
      <c r="AK115">
        <v>0</v>
      </c>
      <c r="AL115">
        <v>0</v>
      </c>
    </row>
    <row r="116" spans="1:38" hidden="1" x14ac:dyDescent="0.2">
      <c r="A116" t="s">
        <v>285</v>
      </c>
      <c r="B116" t="s">
        <v>286</v>
      </c>
      <c r="C116" t="s">
        <v>286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4.5</v>
      </c>
      <c r="AE116">
        <v>588</v>
      </c>
      <c r="AF116">
        <v>15.508615875990509</v>
      </c>
      <c r="AG116">
        <v>16.400939987476349</v>
      </c>
      <c r="AH116">
        <f>20.732948275937*1</f>
        <v>20.732948275937002</v>
      </c>
      <c r="AI116">
        <f>3.88765552386422*1</f>
        <v>3.8876555238642201</v>
      </c>
      <c r="AJ116">
        <v>1</v>
      </c>
      <c r="AK116">
        <v>0</v>
      </c>
      <c r="AL116">
        <v>0</v>
      </c>
    </row>
    <row r="117" spans="1:38" hidden="1" x14ac:dyDescent="0.2">
      <c r="A117" t="s">
        <v>287</v>
      </c>
      <c r="B117" t="s">
        <v>288</v>
      </c>
      <c r="C117" t="s">
        <v>288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</v>
      </c>
      <c r="AE117">
        <v>593</v>
      </c>
      <c r="AF117">
        <v>22.282461872851201</v>
      </c>
      <c r="AG117">
        <v>12.427382158919929</v>
      </c>
      <c r="AH117">
        <f>18.7216450458286*1</f>
        <v>18.721645045828598</v>
      </c>
      <c r="AI117">
        <f>3.53533573002625*1</f>
        <v>3.53533573002625</v>
      </c>
      <c r="AJ117">
        <v>1</v>
      </c>
      <c r="AK117">
        <v>0</v>
      </c>
      <c r="AL117">
        <v>0</v>
      </c>
    </row>
    <row r="118" spans="1:38" hidden="1" x14ac:dyDescent="0.2">
      <c r="A118" t="s">
        <v>289</v>
      </c>
      <c r="B118" t="s">
        <v>290</v>
      </c>
      <c r="C118" t="s">
        <v>290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7.9</v>
      </c>
      <c r="AE118">
        <v>596</v>
      </c>
      <c r="AF118">
        <v>24.76744186046513</v>
      </c>
      <c r="AG118">
        <v>24.876934322059199</v>
      </c>
      <c r="AH118">
        <f>31.8034855443768*1</f>
        <v>31.803485544376802</v>
      </c>
      <c r="AI118">
        <f>5.63811733084241*1</f>
        <v>5.6381173308424097</v>
      </c>
      <c r="AJ118">
        <v>1</v>
      </c>
      <c r="AK118">
        <v>0</v>
      </c>
      <c r="AL118">
        <v>0</v>
      </c>
    </row>
    <row r="119" spans="1:38" hidden="1" x14ac:dyDescent="0.2">
      <c r="A119" t="s">
        <v>291</v>
      </c>
      <c r="B119" t="s">
        <v>292</v>
      </c>
      <c r="C119" t="s">
        <v>292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4.8</v>
      </c>
      <c r="AE119">
        <v>602</v>
      </c>
      <c r="AF119">
        <v>13.993892356527009</v>
      </c>
      <c r="AG119">
        <v>10.709457645750341</v>
      </c>
      <c r="AH119">
        <f>14.6441086066905*1</f>
        <v>14.6441086066905</v>
      </c>
      <c r="AI119">
        <f>2.9002076676282*1</f>
        <v>2.9002076676281998</v>
      </c>
      <c r="AJ119">
        <v>1</v>
      </c>
      <c r="AK119">
        <v>0</v>
      </c>
      <c r="AL119">
        <v>0</v>
      </c>
    </row>
    <row r="120" spans="1:38" hidden="1" x14ac:dyDescent="0.2">
      <c r="A120" t="s">
        <v>293</v>
      </c>
      <c r="B120" t="s">
        <v>294</v>
      </c>
      <c r="C120" t="s">
        <v>294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5.5</v>
      </c>
      <c r="AE120">
        <v>608</v>
      </c>
      <c r="AF120">
        <v>16.863935126613601</v>
      </c>
      <c r="AG120">
        <v>18.355560205182911</v>
      </c>
      <c r="AH120">
        <f>23.0628663040987*1</f>
        <v>23.062866304098701</v>
      </c>
      <c r="AI120">
        <f>4.52736329735642*1</f>
        <v>4.5273632973564197</v>
      </c>
      <c r="AJ120">
        <v>1</v>
      </c>
      <c r="AK120">
        <v>0</v>
      </c>
      <c r="AL120">
        <v>0</v>
      </c>
    </row>
    <row r="121" spans="1:38" hidden="1" x14ac:dyDescent="0.2">
      <c r="A121" t="s">
        <v>295</v>
      </c>
      <c r="B121" t="s">
        <v>296</v>
      </c>
      <c r="C121" t="s">
        <v>296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6.6</v>
      </c>
      <c r="AE121">
        <v>611</v>
      </c>
      <c r="AF121">
        <v>22.69339674670011</v>
      </c>
      <c r="AG121">
        <v>20.345115761097649</v>
      </c>
      <c r="AH121">
        <f>0*0</f>
        <v>0</v>
      </c>
      <c r="AI121">
        <f>3.37919868709208*0</f>
        <v>0</v>
      </c>
      <c r="AJ121">
        <v>0</v>
      </c>
      <c r="AK121">
        <v>0</v>
      </c>
      <c r="AL121">
        <v>0</v>
      </c>
    </row>
    <row r="122" spans="1:38" hidden="1" x14ac:dyDescent="0.2">
      <c r="A122" t="s">
        <v>297</v>
      </c>
      <c r="B122" t="s">
        <v>298</v>
      </c>
      <c r="C122" t="s">
        <v>298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4.7</v>
      </c>
      <c r="AE122">
        <v>628</v>
      </c>
      <c r="AF122">
        <v>0</v>
      </c>
      <c r="AG122">
        <v>11.684986380839661</v>
      </c>
      <c r="AH122">
        <f>21.8699274375797*1</f>
        <v>21.869927437579701</v>
      </c>
      <c r="AI122">
        <f>4.44782952730876*1</f>
        <v>4.4478295273087598</v>
      </c>
      <c r="AJ122">
        <v>1</v>
      </c>
      <c r="AK122">
        <v>0</v>
      </c>
      <c r="AL122">
        <v>0</v>
      </c>
    </row>
    <row r="123" spans="1:38" hidden="1" x14ac:dyDescent="0.2">
      <c r="A123" t="s">
        <v>287</v>
      </c>
      <c r="B123" t="s">
        <v>299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5.0999999999999996</v>
      </c>
      <c r="AE123">
        <v>629</v>
      </c>
      <c r="AF123">
        <v>0</v>
      </c>
      <c r="AG123">
        <v>12.07741045887566</v>
      </c>
      <c r="AH123">
        <f>22.6043986497567*1</f>
        <v>22.6043986497567</v>
      </c>
      <c r="AI123">
        <f>4.78174764638724*1</f>
        <v>4.7817476463872399</v>
      </c>
      <c r="AJ123">
        <v>1</v>
      </c>
      <c r="AK123">
        <v>0</v>
      </c>
      <c r="AL123">
        <v>0</v>
      </c>
    </row>
    <row r="124" spans="1:38" hidden="1" x14ac:dyDescent="0.2">
      <c r="A124" t="s">
        <v>300</v>
      </c>
      <c r="B124" t="s">
        <v>301</v>
      </c>
      <c r="C124" t="s">
        <v>301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5.7</v>
      </c>
      <c r="AE124">
        <v>643</v>
      </c>
      <c r="AF124">
        <v>0</v>
      </c>
      <c r="AG124">
        <v>11.4939597187803</v>
      </c>
      <c r="AH124">
        <f>21.5123969192103*1</f>
        <v>21.5123969192103</v>
      </c>
      <c r="AI124">
        <f>3.57499826922453*1</f>
        <v>3.5749982692245301</v>
      </c>
      <c r="AJ124">
        <v>1</v>
      </c>
      <c r="AK124">
        <v>0</v>
      </c>
      <c r="AL124">
        <v>0</v>
      </c>
    </row>
    <row r="125" spans="1:38" hidden="1" x14ac:dyDescent="0.2">
      <c r="A125" t="s">
        <v>302</v>
      </c>
      <c r="B125" t="s">
        <v>303</v>
      </c>
      <c r="C125" t="s">
        <v>303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4.8</v>
      </c>
      <c r="AE125">
        <v>663</v>
      </c>
      <c r="AF125">
        <v>0</v>
      </c>
      <c r="AG125">
        <v>16.51554688053929</v>
      </c>
      <c r="AH125">
        <f>30.9109313521841*1</f>
        <v>30.9109313521841</v>
      </c>
      <c r="AI125">
        <f>5.59603303961541*1</f>
        <v>5.5960330396154099</v>
      </c>
      <c r="AJ125">
        <v>1</v>
      </c>
      <c r="AK125">
        <v>0</v>
      </c>
      <c r="AL125">
        <v>0</v>
      </c>
    </row>
    <row r="126" spans="1:38" hidden="1" x14ac:dyDescent="0.2">
      <c r="A126" t="s">
        <v>304</v>
      </c>
      <c r="B126" t="s">
        <v>305</v>
      </c>
      <c r="C126" t="s">
        <v>304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4.5</v>
      </c>
      <c r="AE126">
        <v>670</v>
      </c>
      <c r="AF126">
        <v>0</v>
      </c>
      <c r="AG126">
        <v>10.44507192769959</v>
      </c>
      <c r="AH126">
        <f>19.5492709784978*1</f>
        <v>19.549270978497798</v>
      </c>
      <c r="AI126">
        <f>7.26989109374647*1</f>
        <v>7.2698910937464696</v>
      </c>
      <c r="AJ126">
        <v>1</v>
      </c>
      <c r="AK126">
        <v>0</v>
      </c>
      <c r="AL126">
        <v>0</v>
      </c>
    </row>
    <row r="127" spans="1:38" hidden="1" x14ac:dyDescent="0.2">
      <c r="A127" t="s">
        <v>306</v>
      </c>
      <c r="B127" t="s">
        <v>307</v>
      </c>
      <c r="C127" t="s">
        <v>307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4.2</v>
      </c>
      <c r="AE127">
        <v>683</v>
      </c>
      <c r="AF127">
        <v>15.54842650812671</v>
      </c>
      <c r="AG127">
        <v>0</v>
      </c>
      <c r="AH127">
        <f>20.0304127552609*1</f>
        <v>20.030412755260901</v>
      </c>
      <c r="AI127">
        <f>3.36225949596036*1</f>
        <v>3.3622594959603598</v>
      </c>
      <c r="AJ127">
        <v>1</v>
      </c>
      <c r="AK127">
        <v>0</v>
      </c>
      <c r="AL127">
        <v>0</v>
      </c>
    </row>
    <row r="128" spans="1:38" hidden="1" x14ac:dyDescent="0.2">
      <c r="A128" t="s">
        <v>308</v>
      </c>
      <c r="B128" t="s">
        <v>309</v>
      </c>
      <c r="C128" t="s">
        <v>309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4.9000000000000004</v>
      </c>
      <c r="AE128">
        <v>714</v>
      </c>
      <c r="AF128">
        <v>20.04265035908745</v>
      </c>
      <c r="AG128">
        <v>0</v>
      </c>
      <c r="AH128">
        <f>25.8201406548802*1</f>
        <v>25.820140654880198</v>
      </c>
      <c r="AI128">
        <f>4.2228820288963*1</f>
        <v>4.2228820288962998</v>
      </c>
      <c r="AJ128">
        <v>1</v>
      </c>
      <c r="AK128">
        <v>0</v>
      </c>
      <c r="AL128">
        <v>0</v>
      </c>
    </row>
    <row r="129" spans="1:38" hidden="1" x14ac:dyDescent="0.2">
      <c r="A129" t="s">
        <v>310</v>
      </c>
      <c r="B129" t="s">
        <v>311</v>
      </c>
      <c r="C129" t="s">
        <v>311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5.8</v>
      </c>
      <c r="AE129">
        <v>726</v>
      </c>
      <c r="AF129">
        <v>17.15384615384616</v>
      </c>
      <c r="AG129">
        <v>0</v>
      </c>
      <c r="AH129">
        <f>17.7193219306769*1</f>
        <v>17.719321930676902</v>
      </c>
      <c r="AI129">
        <f>3.54386438613538*1</f>
        <v>3.5438643861353798</v>
      </c>
      <c r="AJ129">
        <v>1</v>
      </c>
      <c r="AK129">
        <v>0</v>
      </c>
      <c r="AL129">
        <v>0</v>
      </c>
    </row>
    <row r="130" spans="1:38" hidden="1" x14ac:dyDescent="0.2">
      <c r="A130" t="s">
        <v>312</v>
      </c>
      <c r="B130" t="s">
        <v>313</v>
      </c>
      <c r="C130" t="s">
        <v>313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6.8</v>
      </c>
      <c r="AE130">
        <v>737</v>
      </c>
      <c r="AF130">
        <v>19.178082191780831</v>
      </c>
      <c r="AG130">
        <v>0</v>
      </c>
      <c r="AH130">
        <f>19.810286819726*1</f>
        <v>19.810286819725999</v>
      </c>
      <c r="AI130">
        <f>3.9620573639452*1</f>
        <v>3.9620573639451999</v>
      </c>
      <c r="AJ130">
        <v>1</v>
      </c>
      <c r="AK130">
        <v>0</v>
      </c>
      <c r="AL130">
        <v>0</v>
      </c>
    </row>
    <row r="131" spans="1:38" hidden="1" x14ac:dyDescent="0.2">
      <c r="A131" t="s">
        <v>186</v>
      </c>
      <c r="B131" t="s">
        <v>314</v>
      </c>
      <c r="C131" t="s">
        <v>314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7.9</v>
      </c>
      <c r="AE131">
        <v>740</v>
      </c>
      <c r="AF131">
        <v>21.82442885840506</v>
      </c>
      <c r="AG131">
        <v>0</v>
      </c>
      <c r="AH131">
        <f>22.5438701867177*1</f>
        <v>22.543870186717701</v>
      </c>
      <c r="AI131">
        <f>4.50387687688295*1</f>
        <v>4.5038768768829502</v>
      </c>
      <c r="AJ131">
        <v>1</v>
      </c>
      <c r="AK131">
        <v>0</v>
      </c>
      <c r="AL131">
        <v>0</v>
      </c>
    </row>
    <row r="132" spans="1:38" hidden="1" x14ac:dyDescent="0.2">
      <c r="A132" t="s">
        <v>315</v>
      </c>
      <c r="B132" t="s">
        <v>316</v>
      </c>
      <c r="C132" t="s">
        <v>317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5.9</v>
      </c>
      <c r="AE132">
        <v>742</v>
      </c>
      <c r="AF132">
        <v>19.651162790697679</v>
      </c>
      <c r="AG132">
        <v>0</v>
      </c>
      <c r="AH132">
        <f>20.2989624995814*1</f>
        <v>20.2989624995814</v>
      </c>
      <c r="AI132">
        <f>4.05979249991628*1</f>
        <v>4.0597924999162798</v>
      </c>
      <c r="AJ132">
        <v>1</v>
      </c>
      <c r="AK132">
        <v>0</v>
      </c>
      <c r="AL132">
        <v>0</v>
      </c>
    </row>
    <row r="133" spans="1:38" hidden="1" x14ac:dyDescent="0.2">
      <c r="A133" t="s">
        <v>318</v>
      </c>
      <c r="B133" t="s">
        <v>319</v>
      </c>
      <c r="C133" t="s">
        <v>319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5.2</v>
      </c>
      <c r="AE133">
        <v>746</v>
      </c>
      <c r="AF133">
        <v>15.27777777777777</v>
      </c>
      <c r="AG133">
        <v>0</v>
      </c>
      <c r="AH133">
        <f>15.7814090438888*1</f>
        <v>15.7814090438888</v>
      </c>
      <c r="AI133">
        <f>3.15628180877777*1</f>
        <v>3.15628180877777</v>
      </c>
      <c r="AJ133">
        <v>1</v>
      </c>
      <c r="AK133">
        <v>0</v>
      </c>
      <c r="AL133">
        <v>0</v>
      </c>
    </row>
    <row r="134" spans="1:38" hidden="1" x14ac:dyDescent="0.2">
      <c r="A134" t="s">
        <v>320</v>
      </c>
      <c r="B134" t="s">
        <v>321</v>
      </c>
      <c r="C134" t="s">
        <v>321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4.4000000000000004</v>
      </c>
      <c r="AE134">
        <v>748</v>
      </c>
      <c r="AF134">
        <v>11.842105263157899</v>
      </c>
      <c r="AG134">
        <v>0</v>
      </c>
      <c r="AH134">
        <f>12.2324797373684*1</f>
        <v>12.232479737368401</v>
      </c>
      <c r="AI134">
        <f>2.44649594747368*1</f>
        <v>2.44649594747368</v>
      </c>
      <c r="AJ134">
        <v>1</v>
      </c>
      <c r="AK134">
        <v>0</v>
      </c>
      <c r="AL134">
        <v>0</v>
      </c>
    </row>
    <row r="135" spans="1:38" hidden="1" x14ac:dyDescent="0.2">
      <c r="A135" t="s">
        <v>322</v>
      </c>
      <c r="B135" t="s">
        <v>323</v>
      </c>
      <c r="C135" t="s">
        <v>322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10.1</v>
      </c>
      <c r="AE135">
        <v>751</v>
      </c>
      <c r="AF135">
        <v>31.44059351938634</v>
      </c>
      <c r="AG135">
        <v>0</v>
      </c>
      <c r="AH135">
        <f>32.4770312887905*1</f>
        <v>32.477031288790499</v>
      </c>
      <c r="AI135">
        <f>6.74719974029331*1</f>
        <v>6.7471997402933104</v>
      </c>
      <c r="AJ135">
        <v>1</v>
      </c>
      <c r="AK135">
        <v>0</v>
      </c>
      <c r="AL135">
        <v>0</v>
      </c>
    </row>
    <row r="136" spans="1:38" hidden="1" x14ac:dyDescent="0.2">
      <c r="A136" t="s">
        <v>324</v>
      </c>
      <c r="B136" t="s">
        <v>325</v>
      </c>
      <c r="C136" t="s">
        <v>325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</v>
      </c>
      <c r="AE136">
        <v>754</v>
      </c>
      <c r="AF136">
        <v>14.62962962962963</v>
      </c>
      <c r="AG136">
        <v>0</v>
      </c>
      <c r="AH136">
        <f>15.1118947208148*1</f>
        <v>15.111894720814799</v>
      </c>
      <c r="AI136">
        <f>3.02237894416296*1</f>
        <v>3.02237894416296</v>
      </c>
      <c r="AJ136">
        <v>1</v>
      </c>
      <c r="AK136">
        <v>0</v>
      </c>
      <c r="AL136">
        <v>0</v>
      </c>
    </row>
    <row r="137" spans="1:38" hidden="1" x14ac:dyDescent="0.2">
      <c r="A137" t="s">
        <v>326</v>
      </c>
      <c r="B137" t="s">
        <v>327</v>
      </c>
      <c r="C137" t="s">
        <v>327</v>
      </c>
      <c r="D137" t="s">
        <v>3</v>
      </c>
      <c r="E137">
        <v>1</v>
      </c>
      <c r="F137">
        <v>0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5.3</v>
      </c>
      <c r="AE137">
        <v>755</v>
      </c>
      <c r="AF137">
        <v>14.260263962335159</v>
      </c>
      <c r="AG137">
        <v>0</v>
      </c>
      <c r="AH137">
        <f>14.7303529306978*1</f>
        <v>14.7303529306978</v>
      </c>
      <c r="AI137">
        <f>2.9581883599041*1</f>
        <v>2.9581883599041001</v>
      </c>
      <c r="AJ137">
        <v>1</v>
      </c>
      <c r="AK137">
        <v>0</v>
      </c>
      <c r="AL137">
        <v>0</v>
      </c>
    </row>
    <row r="138" spans="1:38" hidden="1" x14ac:dyDescent="0.2">
      <c r="A138" t="s">
        <v>328</v>
      </c>
      <c r="B138" t="s">
        <v>329</v>
      </c>
      <c r="C138" t="s">
        <v>329</v>
      </c>
      <c r="D138" t="s">
        <v>3</v>
      </c>
      <c r="E138">
        <v>1</v>
      </c>
      <c r="F138">
        <v>0</v>
      </c>
      <c r="G138">
        <v>0</v>
      </c>
      <c r="H138">
        <v>0</v>
      </c>
      <c r="I138" t="s">
        <v>29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4.2</v>
      </c>
      <c r="AE138">
        <v>770</v>
      </c>
      <c r="AF138">
        <v>16.969696969696969</v>
      </c>
      <c r="AG138">
        <v>0</v>
      </c>
      <c r="AH138">
        <f>15.3207176030787*1</f>
        <v>15.3207176030787</v>
      </c>
      <c r="AI138">
        <f>3.06414352061575*1</f>
        <v>3.0641435206157501</v>
      </c>
      <c r="AJ138">
        <v>1</v>
      </c>
      <c r="AK138">
        <v>0</v>
      </c>
      <c r="AL138">
        <v>0</v>
      </c>
    </row>
    <row r="139" spans="1:38" hidden="1" x14ac:dyDescent="0.2">
      <c r="A139" t="s">
        <v>330</v>
      </c>
      <c r="B139" t="s">
        <v>331</v>
      </c>
      <c r="C139" t="s">
        <v>331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7.9</v>
      </c>
      <c r="AE139">
        <v>772</v>
      </c>
      <c r="AF139">
        <v>21.804472844973041</v>
      </c>
      <c r="AG139">
        <v>0</v>
      </c>
      <c r="AH139">
        <f>19.6856886447865*1</f>
        <v>19.685688644786499</v>
      </c>
      <c r="AI139">
        <f>2.39428147759501*1</f>
        <v>2.3942814775950101</v>
      </c>
      <c r="AJ139">
        <v>1</v>
      </c>
      <c r="AK139">
        <v>0</v>
      </c>
      <c r="AL139">
        <v>0</v>
      </c>
    </row>
    <row r="140" spans="1:38" hidden="1" x14ac:dyDescent="0.2">
      <c r="A140" t="s">
        <v>332</v>
      </c>
      <c r="B140" t="s">
        <v>333</v>
      </c>
      <c r="C140" t="s">
        <v>333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4.5999999999999996</v>
      </c>
      <c r="AE140">
        <v>774</v>
      </c>
      <c r="AF140">
        <v>13.166666666666661</v>
      </c>
      <c r="AG140">
        <v>0</v>
      </c>
      <c r="AH140">
        <f>11.8872353545316*1</f>
        <v>11.887235354531599</v>
      </c>
      <c r="AI140">
        <f>2.37744707090633*1</f>
        <v>2.3774470709063298</v>
      </c>
      <c r="AJ140">
        <v>1</v>
      </c>
      <c r="AK140">
        <v>0</v>
      </c>
      <c r="AL140">
        <v>0</v>
      </c>
    </row>
    <row r="141" spans="1:38" hidden="1" x14ac:dyDescent="0.2">
      <c r="A141" t="s">
        <v>334</v>
      </c>
      <c r="B141" t="s">
        <v>335</v>
      </c>
      <c r="C141" t="s">
        <v>334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4.4000000000000004</v>
      </c>
      <c r="AE141">
        <v>778</v>
      </c>
      <c r="AF141">
        <v>10.838095838840641</v>
      </c>
      <c r="AG141">
        <v>0</v>
      </c>
      <c r="AH141">
        <f>9.78493640743814*1</f>
        <v>9.7849364074381402</v>
      </c>
      <c r="AI141">
        <f>2.22977701723527*1</f>
        <v>2.22977701723527</v>
      </c>
      <c r="AJ141">
        <v>1</v>
      </c>
      <c r="AK141">
        <v>0</v>
      </c>
      <c r="AL141">
        <v>0</v>
      </c>
    </row>
    <row r="142" spans="1:38" hidden="1" x14ac:dyDescent="0.2">
      <c r="A142" t="s">
        <v>336</v>
      </c>
      <c r="B142" t="s">
        <v>337</v>
      </c>
      <c r="C142" t="s">
        <v>338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6</v>
      </c>
      <c r="AE142">
        <v>785</v>
      </c>
      <c r="AF142">
        <v>16.589734859729191</v>
      </c>
      <c r="AG142">
        <v>0</v>
      </c>
      <c r="AH142">
        <f>14.977677170649*1</f>
        <v>14.977677170649001</v>
      </c>
      <c r="AI142">
        <f>2.40867959044099*1</f>
        <v>2.4086795904409901</v>
      </c>
      <c r="AJ142">
        <v>1</v>
      </c>
      <c r="AK142">
        <v>0</v>
      </c>
      <c r="AL142">
        <v>0</v>
      </c>
    </row>
    <row r="143" spans="1:38" hidden="1" x14ac:dyDescent="0.2">
      <c r="A143" t="s">
        <v>339</v>
      </c>
      <c r="B143" t="s">
        <v>340</v>
      </c>
      <c r="C143" t="s">
        <v>340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4.5</v>
      </c>
      <c r="AE143">
        <v>789</v>
      </c>
      <c r="AF143">
        <v>16.440831407639589</v>
      </c>
      <c r="AG143">
        <v>0</v>
      </c>
      <c r="AH143">
        <f>14.8432429645661*1</f>
        <v>14.8432429645661</v>
      </c>
      <c r="AI143">
        <f>2.52609173977858*1</f>
        <v>2.5260917397785798</v>
      </c>
      <c r="AJ143">
        <v>1</v>
      </c>
      <c r="AK143">
        <v>0</v>
      </c>
      <c r="AL143">
        <v>0</v>
      </c>
    </row>
    <row r="144" spans="1:38" hidden="1" x14ac:dyDescent="0.2">
      <c r="A144" t="s">
        <v>341</v>
      </c>
      <c r="B144" t="s">
        <v>342</v>
      </c>
      <c r="C144" t="s">
        <v>253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5</v>
      </c>
      <c r="AE144">
        <v>791</v>
      </c>
      <c r="AF144">
        <v>10.57692307692307</v>
      </c>
      <c r="AG144">
        <v>0</v>
      </c>
      <c r="AH144">
        <f>9.54914232472115*1</f>
        <v>9.5491423247211493</v>
      </c>
      <c r="AI144">
        <f>1.90982846494422*1</f>
        <v>1.9098284649442201</v>
      </c>
      <c r="AJ144">
        <v>1</v>
      </c>
      <c r="AK144">
        <v>0</v>
      </c>
      <c r="AL144">
        <v>0</v>
      </c>
    </row>
    <row r="145" spans="1:38" hidden="1" x14ac:dyDescent="0.2">
      <c r="A145" t="s">
        <v>186</v>
      </c>
      <c r="B145" t="s">
        <v>343</v>
      </c>
      <c r="C145" t="s">
        <v>343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5.8</v>
      </c>
      <c r="AE145">
        <v>793</v>
      </c>
      <c r="AF145">
        <v>20.273260377717659</v>
      </c>
      <c r="AG145">
        <v>0</v>
      </c>
      <c r="AH145">
        <f>18.303267152934*1</f>
        <v>18.303267152934001</v>
      </c>
      <c r="AI145">
        <f>4.31504016359256*1</f>
        <v>4.3150401635925597</v>
      </c>
      <c r="AJ145">
        <v>1</v>
      </c>
      <c r="AK145">
        <v>0</v>
      </c>
      <c r="AL145">
        <v>0</v>
      </c>
    </row>
    <row r="146" spans="1:38" hidden="1" x14ac:dyDescent="0.2">
      <c r="A146" t="s">
        <v>344</v>
      </c>
      <c r="B146" t="s">
        <v>345</v>
      </c>
      <c r="C146" t="s">
        <v>345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6.8</v>
      </c>
      <c r="AE146">
        <v>795</v>
      </c>
      <c r="AF146">
        <v>23.16484405059154</v>
      </c>
      <c r="AG146">
        <v>0</v>
      </c>
      <c r="AH146">
        <f>20.9138698618028*1</f>
        <v>20.913869861802802</v>
      </c>
      <c r="AI146">
        <f>6.14448665710606*1</f>
        <v>6.1444866571060599</v>
      </c>
      <c r="AJ146">
        <v>1</v>
      </c>
      <c r="AK146">
        <v>0</v>
      </c>
      <c r="AL146">
        <v>0</v>
      </c>
    </row>
    <row r="147" spans="1:38" hidden="1" x14ac:dyDescent="0.2">
      <c r="A147" t="s">
        <v>346</v>
      </c>
      <c r="B147" t="s">
        <v>347</v>
      </c>
      <c r="C147" t="s">
        <v>347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30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4.7</v>
      </c>
      <c r="AE147">
        <v>802</v>
      </c>
      <c r="AF147">
        <v>27.197721647588718</v>
      </c>
      <c r="AG147">
        <v>10.43868965763027</v>
      </c>
      <c r="AH147">
        <f>20.5072601967141*1</f>
        <v>20.5072601967141</v>
      </c>
      <c r="AI147">
        <f>4.14835692679746*1</f>
        <v>4.1483569267974598</v>
      </c>
      <c r="AJ147">
        <v>1</v>
      </c>
      <c r="AK147">
        <v>0</v>
      </c>
      <c r="AL147">
        <v>0</v>
      </c>
    </row>
    <row r="148" spans="1:38" hidden="1" x14ac:dyDescent="0.2">
      <c r="A148" t="s">
        <v>348</v>
      </c>
      <c r="B148" t="s">
        <v>349</v>
      </c>
      <c r="C148" t="s">
        <v>349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30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4.5</v>
      </c>
      <c r="AE148">
        <v>808</v>
      </c>
      <c r="AF148">
        <v>16.14827253587563</v>
      </c>
      <c r="AG148">
        <v>17.237534824482971</v>
      </c>
      <c r="AH148">
        <f>17.4481046790205*1</f>
        <v>17.448104679020499</v>
      </c>
      <c r="AI148">
        <f>3.05936632156853*1</f>
        <v>3.0593663215685298</v>
      </c>
      <c r="AJ148">
        <v>1</v>
      </c>
      <c r="AK148">
        <v>0</v>
      </c>
      <c r="AL148">
        <v>0</v>
      </c>
    </row>
    <row r="149" spans="1:38" hidden="1" x14ac:dyDescent="0.2">
      <c r="A149" t="s">
        <v>350</v>
      </c>
      <c r="B149" t="s">
        <v>351</v>
      </c>
      <c r="C149" t="s">
        <v>352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5.4</v>
      </c>
      <c r="AE149">
        <v>813</v>
      </c>
      <c r="AF149">
        <v>32.292619005366589</v>
      </c>
      <c r="AG149">
        <v>16.08099750574895</v>
      </c>
      <c r="AH149">
        <f>26.1095637318541*1</f>
        <v>26.109563731854099</v>
      </c>
      <c r="AI149">
        <f>4.50583673153161*1</f>
        <v>4.5058367315316099</v>
      </c>
      <c r="AJ149">
        <v>1</v>
      </c>
      <c r="AK149">
        <v>0</v>
      </c>
      <c r="AL149">
        <v>0</v>
      </c>
    </row>
    <row r="150" spans="1:38" x14ac:dyDescent="0.2">
      <c r="A150" t="s">
        <v>353</v>
      </c>
      <c r="B150" t="s">
        <v>354</v>
      </c>
      <c r="C150" t="s">
        <v>354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4.5</v>
      </c>
      <c r="AE150">
        <v>818</v>
      </c>
      <c r="AF150">
        <v>17.796610169491519</v>
      </c>
      <c r="AG150">
        <v>19.363753041362841</v>
      </c>
      <c r="AH150">
        <f>19.4042438899279*1</f>
        <v>19.404243889927901</v>
      </c>
      <c r="AI150">
        <f>3.95282222487137*1</f>
        <v>3.9528222248713698</v>
      </c>
      <c r="AJ150">
        <v>1</v>
      </c>
      <c r="AK150">
        <v>1</v>
      </c>
      <c r="AL150">
        <v>1</v>
      </c>
    </row>
    <row r="151" spans="1:38" hidden="1" x14ac:dyDescent="0.2">
      <c r="A151" t="s">
        <v>355</v>
      </c>
      <c r="B151" t="s">
        <v>356</v>
      </c>
      <c r="C151" t="s">
        <v>357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4.9000000000000004</v>
      </c>
      <c r="AE151">
        <v>820</v>
      </c>
      <c r="AF151">
        <v>13.354838709677409</v>
      </c>
      <c r="AG151">
        <v>10.918814507785839</v>
      </c>
      <c r="AH151">
        <f>12.8362431852657*1</f>
        <v>12.836243185265699</v>
      </c>
      <c r="AI151">
        <f>2.25777752686634*1</f>
        <v>2.2577775268663398</v>
      </c>
      <c r="AJ151">
        <v>1</v>
      </c>
      <c r="AK151">
        <v>0</v>
      </c>
      <c r="AL151">
        <v>0</v>
      </c>
    </row>
    <row r="152" spans="1:38" x14ac:dyDescent="0.2">
      <c r="A152" t="s">
        <v>235</v>
      </c>
      <c r="B152" t="s">
        <v>236</v>
      </c>
      <c r="C152" t="s">
        <v>236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7.1</v>
      </c>
      <c r="AE152">
        <v>436</v>
      </c>
      <c r="AF152">
        <v>21</v>
      </c>
      <c r="AG152">
        <v>18.94893633166452</v>
      </c>
      <c r="AH152">
        <f>21.206230720917*1</f>
        <v>21.206230720916999</v>
      </c>
      <c r="AI152">
        <f>3.79381015728392*1</f>
        <v>3.7938101572839198</v>
      </c>
      <c r="AJ152">
        <v>1</v>
      </c>
      <c r="AK152">
        <v>1</v>
      </c>
      <c r="AL152">
        <v>1</v>
      </c>
    </row>
    <row r="153" spans="1:38" hidden="1" x14ac:dyDescent="0.2">
      <c r="A153" t="s">
        <v>361</v>
      </c>
      <c r="B153" t="s">
        <v>362</v>
      </c>
      <c r="C153" t="s">
        <v>362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4.7</v>
      </c>
      <c r="AE153">
        <v>824</v>
      </c>
      <c r="AF153">
        <v>27.887947069980079</v>
      </c>
      <c r="AG153">
        <v>17.643525147675241</v>
      </c>
      <c r="AH153">
        <f>24.3419734923594*1</f>
        <v>24.341973492359401</v>
      </c>
      <c r="AI153">
        <f>3.87884023139438*1</f>
        <v>3.8788402313943799</v>
      </c>
      <c r="AJ153">
        <v>1</v>
      </c>
      <c r="AK153">
        <v>0</v>
      </c>
      <c r="AL153">
        <v>0</v>
      </c>
    </row>
    <row r="154" spans="1:38" x14ac:dyDescent="0.2">
      <c r="A154" t="s">
        <v>239</v>
      </c>
      <c r="B154" t="s">
        <v>240</v>
      </c>
      <c r="C154" t="s">
        <v>240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4.5999999999999996</v>
      </c>
      <c r="AE154">
        <v>467</v>
      </c>
      <c r="AF154">
        <v>10.77690861087471</v>
      </c>
      <c r="AG154">
        <v>0</v>
      </c>
      <c r="AH154">
        <f>15.4711832536848*1</f>
        <v>15.471183253684799</v>
      </c>
      <c r="AI154">
        <f>2.56885497345623*1</f>
        <v>2.5688549734562298</v>
      </c>
      <c r="AJ154">
        <v>1</v>
      </c>
      <c r="AK154">
        <v>1</v>
      </c>
      <c r="AL154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2024-04-12T17:01:30Z</dcterms:created>
  <dcterms:modified xsi:type="dcterms:W3CDTF">2024-04-12T17:03:50Z</dcterms:modified>
</cp:coreProperties>
</file>