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Calibrations/2023-24/"/>
    </mc:Choice>
  </mc:AlternateContent>
  <xr:revisionPtr revIDLastSave="0" documentId="13_ncr:1_{871A8277-5705-1145-9F5D-2C6C946C4412}" xr6:coauthVersionLast="47" xr6:coauthVersionMax="47" xr10:uidLastSave="{00000000-0000-0000-0000-000000000000}"/>
  <bookViews>
    <workbookView xWindow="240" yWindow="760" windowWidth="34320" windowHeight="21580" activeTab="18" xr2:uid="{00000000-000D-0000-FFFF-FFFF00000000}"/>
  </bookViews>
  <sheets>
    <sheet name="ARS" sheetId="1" r:id="rId1"/>
    <sheet name="AVL" sheetId="2" r:id="rId2"/>
    <sheet name="BOU" sheetId="3" r:id="rId3"/>
    <sheet name="BRE" sheetId="4" r:id="rId4"/>
    <sheet name="BHA" sheetId="5" r:id="rId5"/>
    <sheet name="BUR" sheetId="6" r:id="rId6"/>
    <sheet name="CHE" sheetId="7" r:id="rId7"/>
    <sheet name="CRY" sheetId="8" r:id="rId8"/>
    <sheet name="EVE" sheetId="9" r:id="rId9"/>
    <sheet name="FUL" sheetId="10" r:id="rId10"/>
    <sheet name="LIV" sheetId="11" r:id="rId11"/>
    <sheet name="MCI" sheetId="12" r:id="rId12"/>
    <sheet name="MUN" sheetId="13" r:id="rId13"/>
    <sheet name="NEW" sheetId="14" r:id="rId14"/>
    <sheet name="NFO" sheetId="15" r:id="rId15"/>
    <sheet name="SHU" sheetId="16" r:id="rId16"/>
    <sheet name="TOT" sheetId="17" r:id="rId17"/>
    <sheet name="WHU" sheetId="18" r:id="rId18"/>
    <sheet name="WOL" sheetId="19" r:id="rId19"/>
  </sheets>
  <definedNames>
    <definedName name="solver_adj" localSheetId="0" hidden="1">ARS!$I$2:$I$3</definedName>
    <definedName name="solver_adj" localSheetId="1" hidden="1">AVL!$I$2:$I$3</definedName>
    <definedName name="solver_adj" localSheetId="4" hidden="1">BHA!$I$2:$I$3</definedName>
    <definedName name="solver_adj" localSheetId="2" hidden="1">BOU!$I$2:$I$3</definedName>
    <definedName name="solver_adj" localSheetId="3" hidden="1">BRE!$I$2:$I$3</definedName>
    <definedName name="solver_adj" localSheetId="5" hidden="1">BUR!$I$2:$I$3</definedName>
    <definedName name="solver_adj" localSheetId="6" hidden="1">CHE!$I$2:$I$3</definedName>
    <definedName name="solver_adj" localSheetId="7" hidden="1">CRY!$I$2:$I$3</definedName>
    <definedName name="solver_adj" localSheetId="8" hidden="1">EVE!$I$2:$I$3</definedName>
    <definedName name="solver_adj" localSheetId="9" hidden="1">FUL!$I$2:$I$3</definedName>
    <definedName name="solver_adj" localSheetId="10" hidden="1">LIV!$I$2:$I$3</definedName>
    <definedName name="solver_adj" localSheetId="11" hidden="1">MCI!$I$2:$I$3</definedName>
    <definedName name="solver_adj" localSheetId="12" hidden="1">MUN!$I$2:$I$3</definedName>
    <definedName name="solver_adj" localSheetId="13" hidden="1">NEW!$I$2:$I$3</definedName>
    <definedName name="solver_adj" localSheetId="14" hidden="1">NFO!$I$2:$I$3</definedName>
    <definedName name="solver_adj" localSheetId="15" hidden="1">SHU!$I$2:$I$3</definedName>
    <definedName name="solver_adj" localSheetId="16" hidden="1">TOT!$I$2:$I$3</definedName>
    <definedName name="solver_adj" localSheetId="17" hidden="1">WHU!$I$2:$I$3</definedName>
    <definedName name="solver_adj" localSheetId="18" hidden="1">WOL!$I$2:$I$3</definedName>
    <definedName name="solver_cvg" localSheetId="0" hidden="1">0.0001</definedName>
    <definedName name="solver_cvg" localSheetId="1" hidden="1">0.0001</definedName>
    <definedName name="solver_cvg" localSheetId="4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drv" localSheetId="0" hidden="1">1</definedName>
    <definedName name="solver_drv" localSheetId="1" hidden="1">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eng" localSheetId="0" hidden="1">1</definedName>
    <definedName name="solver_eng" localSheetId="1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itr" localSheetId="0" hidden="1">2147483647</definedName>
    <definedName name="solver_itr" localSheetId="1" hidden="1">2147483647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itr" localSheetId="12" hidden="1">2147483647</definedName>
    <definedName name="solver_itr" localSheetId="13" hidden="1">2147483647</definedName>
    <definedName name="solver_itr" localSheetId="14" hidden="1">2147483647</definedName>
    <definedName name="solver_itr" localSheetId="15" hidden="1">2147483647</definedName>
    <definedName name="solver_itr" localSheetId="16" hidden="1">2147483647</definedName>
    <definedName name="solver_itr" localSheetId="17" hidden="1">2147483647</definedName>
    <definedName name="solver_itr" localSheetId="18" hidden="1">2147483647</definedName>
    <definedName name="solver_lin" localSheetId="0" hidden="1">2</definedName>
    <definedName name="solver_lin" localSheetId="1" hidden="1">2</definedName>
    <definedName name="solver_lin" localSheetId="4" hidden="1">2</definedName>
    <definedName name="solver_lin" localSheetId="2" hidden="1">2</definedName>
    <definedName name="solver_lin" localSheetId="3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mip" localSheetId="0" hidden="1">2147483647</definedName>
    <definedName name="solver_mip" localSheetId="1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ni" localSheetId="0" hidden="1">30</definedName>
    <definedName name="solver_mni" localSheetId="1" hidden="1">30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rt" localSheetId="0" hidden="1">0.075</definedName>
    <definedName name="solver_mrt" localSheetId="1" hidden="1">0.075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sl" localSheetId="0" hidden="1">2</definedName>
    <definedName name="solver_msl" localSheetId="1" hidden="1">2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neg" localSheetId="0" hidden="1">1</definedName>
    <definedName name="solver_neg" localSheetId="1" hidden="1">1</definedName>
    <definedName name="solver_neg" localSheetId="4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1</definedName>
    <definedName name="solver_neg" localSheetId="9" hidden="1">1</definedName>
    <definedName name="solver_neg" localSheetId="10" hidden="1">1</definedName>
    <definedName name="solver_neg" localSheetId="11" hidden="1">1</definedName>
    <definedName name="solver_neg" localSheetId="12" hidden="1">1</definedName>
    <definedName name="solver_neg" localSheetId="13" hidden="1">1</definedName>
    <definedName name="solver_neg" localSheetId="14" hidden="1">1</definedName>
    <definedName name="solver_neg" localSheetId="15" hidden="1">1</definedName>
    <definedName name="solver_neg" localSheetId="16" hidden="1">1</definedName>
    <definedName name="solver_neg" localSheetId="17" hidden="1">1</definedName>
    <definedName name="solver_neg" localSheetId="18" hidden="1">1</definedName>
    <definedName name="solver_nod" localSheetId="0" hidden="1">2147483647</definedName>
    <definedName name="solver_nod" localSheetId="1" hidden="1">2147483647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um" localSheetId="0" hidden="1">0</definedName>
    <definedName name="solver_num" localSheetId="1" hidden="1">0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num" localSheetId="9" hidden="1">0</definedName>
    <definedName name="solver_num" localSheetId="10" hidden="1">0</definedName>
    <definedName name="solver_num" localSheetId="11" hidden="1">0</definedName>
    <definedName name="solver_num" localSheetId="12" hidden="1">0</definedName>
    <definedName name="solver_num" localSheetId="13" hidden="1">0</definedName>
    <definedName name="solver_num" localSheetId="14" hidden="1">0</definedName>
    <definedName name="solver_num" localSheetId="15" hidden="1">0</definedName>
    <definedName name="solver_num" localSheetId="16" hidden="1">0</definedName>
    <definedName name="solver_num" localSheetId="17" hidden="1">0</definedName>
    <definedName name="solver_num" localSheetId="18" hidden="1">0</definedName>
    <definedName name="solver_opt" localSheetId="0" hidden="1">ARS!$I$5</definedName>
    <definedName name="solver_opt" localSheetId="1" hidden="1">AVL!$I$5</definedName>
    <definedName name="solver_opt" localSheetId="4" hidden="1">BHA!$I$5</definedName>
    <definedName name="solver_opt" localSheetId="2" hidden="1">BOU!$I$5</definedName>
    <definedName name="solver_opt" localSheetId="3" hidden="1">BRE!$I$5</definedName>
    <definedName name="solver_opt" localSheetId="5" hidden="1">BUR!$I$5</definedName>
    <definedName name="solver_opt" localSheetId="6" hidden="1">CHE!$I$5</definedName>
    <definedName name="solver_opt" localSheetId="7" hidden="1">CRY!$I$5</definedName>
    <definedName name="solver_opt" localSheetId="8" hidden="1">EVE!$I$5</definedName>
    <definedName name="solver_opt" localSheetId="9" hidden="1">FUL!$I$5</definedName>
    <definedName name="solver_opt" localSheetId="10" hidden="1">LIV!$I$5</definedName>
    <definedName name="solver_opt" localSheetId="11" hidden="1">MCI!$I$5</definedName>
    <definedName name="solver_opt" localSheetId="12" hidden="1">MUN!$I$5</definedName>
    <definedName name="solver_opt" localSheetId="13" hidden="1">NEW!$I$5</definedName>
    <definedName name="solver_opt" localSheetId="14" hidden="1">NFO!$I$5</definedName>
    <definedName name="solver_opt" localSheetId="15" hidden="1">SHU!$I$5</definedName>
    <definedName name="solver_opt" localSheetId="16" hidden="1">TOT!$I$5</definedName>
    <definedName name="solver_opt" localSheetId="17" hidden="1">WHU!$I$5</definedName>
    <definedName name="solver_opt" localSheetId="18" hidden="1">WOL!$I$5</definedName>
    <definedName name="solver_pre" localSheetId="0" hidden="1">0.000001</definedName>
    <definedName name="solver_pre" localSheetId="1" hidden="1">0.000001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rbv" localSheetId="0" hidden="1">1</definedName>
    <definedName name="solver_rbv" localSheetId="1" hidden="1">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lx" localSheetId="0" hidden="1">2</definedName>
    <definedName name="solver_rlx" localSheetId="1" hidden="1">2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lx" localSheetId="12" hidden="1">1</definedName>
    <definedName name="solver_rlx" localSheetId="13" hidden="1">2</definedName>
    <definedName name="solver_rlx" localSheetId="14" hidden="1">2</definedName>
    <definedName name="solver_rlx" localSheetId="15" hidden="1">2</definedName>
    <definedName name="solver_rlx" localSheetId="16" hidden="1">2</definedName>
    <definedName name="solver_rlx" localSheetId="17" hidden="1">2</definedName>
    <definedName name="solver_rlx" localSheetId="18" hidden="1">2</definedName>
    <definedName name="solver_rsd" localSheetId="0" hidden="1">0</definedName>
    <definedName name="solver_rsd" localSheetId="1" hidden="1">0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scl" localSheetId="0" hidden="1">1</definedName>
    <definedName name="solver_scl" localSheetId="1" hidden="1">1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cl" localSheetId="5" hidden="1">1</definedName>
    <definedName name="solver_scl" localSheetId="6" hidden="1">1</definedName>
    <definedName name="solver_scl" localSheetId="7" hidden="1">1</definedName>
    <definedName name="solver_scl" localSheetId="8" hidden="1">1</definedName>
    <definedName name="solver_scl" localSheetId="9" hidden="1">1</definedName>
    <definedName name="solver_scl" localSheetId="10" hidden="1">1</definedName>
    <definedName name="solver_scl" localSheetId="11" hidden="1">1</definedName>
    <definedName name="solver_scl" localSheetId="12" hidden="1">2</definedName>
    <definedName name="solver_scl" localSheetId="13" hidden="1">1</definedName>
    <definedName name="solver_scl" localSheetId="14" hidden="1">1</definedName>
    <definedName name="solver_scl" localSheetId="15" hidden="1">1</definedName>
    <definedName name="solver_scl" localSheetId="16" hidden="1">1</definedName>
    <definedName name="solver_scl" localSheetId="17" hidden="1">1</definedName>
    <definedName name="solver_scl" localSheetId="18" hidden="1">1</definedName>
    <definedName name="solver_sho" localSheetId="0" hidden="1">2</definedName>
    <definedName name="solver_sho" localSheetId="1" hidden="1">2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sz" localSheetId="0" hidden="1">100</definedName>
    <definedName name="solver_ssz" localSheetId="1" hidden="1">100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tim" localSheetId="0" hidden="1">2147483647</definedName>
    <definedName name="solver_tim" localSheetId="1" hidden="1">2147483647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im" localSheetId="12" hidden="1">2147483647</definedName>
    <definedName name="solver_tim" localSheetId="13" hidden="1">2147483647</definedName>
    <definedName name="solver_tim" localSheetId="14" hidden="1">2147483647</definedName>
    <definedName name="solver_tim" localSheetId="15" hidden="1">2147483647</definedName>
    <definedName name="solver_tim" localSheetId="16" hidden="1">2147483647</definedName>
    <definedName name="solver_tim" localSheetId="17" hidden="1">2147483647</definedName>
    <definedName name="solver_tim" localSheetId="18" hidden="1">2147483647</definedName>
    <definedName name="solver_tol" localSheetId="0" hidden="1">0.01</definedName>
    <definedName name="solver_tol" localSheetId="1" hidden="1">0.01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0.01</definedName>
    <definedName name="solver_tol" localSheetId="9" hidden="1">0.01</definedName>
    <definedName name="solver_tol" localSheetId="10" hidden="1">0.01</definedName>
    <definedName name="solver_tol" localSheetId="11" hidden="1">0.01</definedName>
    <definedName name="solver_tol" localSheetId="12" hidden="1">0.01</definedName>
    <definedName name="solver_tol" localSheetId="13" hidden="1">0.01</definedName>
    <definedName name="solver_tol" localSheetId="14" hidden="1">0.01</definedName>
    <definedName name="solver_tol" localSheetId="15" hidden="1">0.01</definedName>
    <definedName name="solver_tol" localSheetId="16" hidden="1">0.01</definedName>
    <definedName name="solver_tol" localSheetId="17" hidden="1">0.01</definedName>
    <definedName name="solver_tol" localSheetId="18" hidden="1">0.01</definedName>
    <definedName name="solver_typ" localSheetId="0" hidden="1">2</definedName>
    <definedName name="solver_typ" localSheetId="1" hidden="1">2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val" localSheetId="0" hidden="1">0</definedName>
    <definedName name="solver_val" localSheetId="1" hidden="1">0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er" localSheetId="0" hidden="1">2</definedName>
    <definedName name="solver_ver" localSheetId="1" hidden="1">2</definedName>
    <definedName name="solver_ver" localSheetId="4" hidden="1">2</definedName>
    <definedName name="solver_ver" localSheetId="2" hidden="1">2</definedName>
    <definedName name="solver_ver" localSheetId="3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  <definedName name="solver_ver" localSheetId="12" hidden="1">2</definedName>
    <definedName name="solver_ver" localSheetId="13" hidden="1">2</definedName>
    <definedName name="solver_ver" localSheetId="14" hidden="1">2</definedName>
    <definedName name="solver_ver" localSheetId="15" hidden="1">2</definedName>
    <definedName name="solver_ver" localSheetId="16" hidden="1">2</definedName>
    <definedName name="solver_ver" localSheetId="17" hidden="1">2</definedName>
    <definedName name="solver_ver" localSheetId="18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9" l="1"/>
  <c r="F6" i="19" s="1"/>
  <c r="D5" i="19"/>
  <c r="D4" i="19"/>
  <c r="F4" i="19" s="1"/>
  <c r="D3" i="19"/>
  <c r="F3" i="19" s="1"/>
  <c r="D2" i="19"/>
  <c r="F2" i="19" s="1"/>
  <c r="D8" i="18"/>
  <c r="F8" i="18" s="1"/>
  <c r="D7" i="18"/>
  <c r="F7" i="18" s="1"/>
  <c r="D6" i="18"/>
  <c r="F6" i="18" s="1"/>
  <c r="D5" i="18"/>
  <c r="F5" i="18" s="1"/>
  <c r="D4" i="18"/>
  <c r="F4" i="18" s="1"/>
  <c r="D3" i="18"/>
  <c r="F3" i="18" s="1"/>
  <c r="D2" i="18"/>
  <c r="D10" i="17"/>
  <c r="F10" i="17" s="1"/>
  <c r="D9" i="17"/>
  <c r="F9" i="17" s="1"/>
  <c r="D8" i="17"/>
  <c r="F8" i="17" s="1"/>
  <c r="D7" i="17"/>
  <c r="F7" i="17" s="1"/>
  <c r="D6" i="17"/>
  <c r="F6" i="17" s="1"/>
  <c r="D5" i="17"/>
  <c r="F5" i="17" s="1"/>
  <c r="D4" i="17"/>
  <c r="F4" i="17" s="1"/>
  <c r="D3" i="17"/>
  <c r="F3" i="17" s="1"/>
  <c r="D2" i="17"/>
  <c r="D5" i="16"/>
  <c r="F5" i="16" s="1"/>
  <c r="D4" i="16"/>
  <c r="F4" i="16" s="1"/>
  <c r="D3" i="16"/>
  <c r="F3" i="16" s="1"/>
  <c r="D2" i="16"/>
  <c r="D8" i="15"/>
  <c r="F8" i="15" s="1"/>
  <c r="D7" i="15"/>
  <c r="F7" i="15" s="1"/>
  <c r="D6" i="15"/>
  <c r="F6" i="15" s="1"/>
  <c r="D5" i="15"/>
  <c r="F5" i="15" s="1"/>
  <c r="D4" i="15"/>
  <c r="F4" i="15" s="1"/>
  <c r="D3" i="15"/>
  <c r="F3" i="15" s="1"/>
  <c r="D2" i="15"/>
  <c r="D13" i="14"/>
  <c r="F13" i="14" s="1"/>
  <c r="D12" i="14"/>
  <c r="F12" i="14" s="1"/>
  <c r="D11" i="14"/>
  <c r="F11" i="14" s="1"/>
  <c r="D10" i="14"/>
  <c r="F10" i="14" s="1"/>
  <c r="D9" i="14"/>
  <c r="F9" i="14" s="1"/>
  <c r="D8" i="14"/>
  <c r="F8" i="14" s="1"/>
  <c r="D7" i="14"/>
  <c r="F7" i="14" s="1"/>
  <c r="D6" i="14"/>
  <c r="F6" i="14" s="1"/>
  <c r="D5" i="14"/>
  <c r="F5" i="14" s="1"/>
  <c r="D4" i="14"/>
  <c r="F4" i="14" s="1"/>
  <c r="D3" i="14"/>
  <c r="F3" i="14" s="1"/>
  <c r="D2" i="14"/>
  <c r="F2" i="14" s="1"/>
  <c r="D12" i="13"/>
  <c r="F12" i="13" s="1"/>
  <c r="D11" i="13"/>
  <c r="F11" i="13" s="1"/>
  <c r="D10" i="13"/>
  <c r="F10" i="13" s="1"/>
  <c r="D9" i="13"/>
  <c r="F9" i="13" s="1"/>
  <c r="D8" i="13"/>
  <c r="F8" i="13" s="1"/>
  <c r="D7" i="13"/>
  <c r="F7" i="13" s="1"/>
  <c r="D6" i="13"/>
  <c r="F6" i="13" s="1"/>
  <c r="D5" i="13"/>
  <c r="F5" i="13" s="1"/>
  <c r="D4" i="13"/>
  <c r="F4" i="13" s="1"/>
  <c r="D3" i="13"/>
  <c r="F3" i="13" s="1"/>
  <c r="D2" i="13"/>
  <c r="D11" i="12"/>
  <c r="F11" i="12" s="1"/>
  <c r="F10" i="12"/>
  <c r="D10" i="12"/>
  <c r="D9" i="12"/>
  <c r="F9" i="12" s="1"/>
  <c r="D8" i="12"/>
  <c r="F8" i="12" s="1"/>
  <c r="D7" i="12"/>
  <c r="F7" i="12" s="1"/>
  <c r="D6" i="12"/>
  <c r="F6" i="12" s="1"/>
  <c r="D5" i="12"/>
  <c r="D4" i="12"/>
  <c r="F4" i="12" s="1"/>
  <c r="D3" i="12"/>
  <c r="F3" i="12" s="1"/>
  <c r="D2" i="12"/>
  <c r="F2" i="12" s="1"/>
  <c r="D13" i="11"/>
  <c r="F13" i="11" s="1"/>
  <c r="D12" i="11"/>
  <c r="F12" i="11" s="1"/>
  <c r="D11" i="11"/>
  <c r="F11" i="11" s="1"/>
  <c r="D10" i="11"/>
  <c r="F10" i="11" s="1"/>
  <c r="D9" i="11"/>
  <c r="F9" i="11" s="1"/>
  <c r="D8" i="11"/>
  <c r="F8" i="11" s="1"/>
  <c r="D7" i="11"/>
  <c r="F7" i="11" s="1"/>
  <c r="D6" i="11"/>
  <c r="F6" i="11" s="1"/>
  <c r="D5" i="11"/>
  <c r="D4" i="11"/>
  <c r="F4" i="11" s="1"/>
  <c r="D3" i="11"/>
  <c r="F3" i="11" s="1"/>
  <c r="D2" i="11"/>
  <c r="F2" i="11" s="1"/>
  <c r="D11" i="10"/>
  <c r="F11" i="10" s="1"/>
  <c r="D10" i="10"/>
  <c r="F10" i="10" s="1"/>
  <c r="D9" i="10"/>
  <c r="F9" i="10" s="1"/>
  <c r="D8" i="10"/>
  <c r="F8" i="10" s="1"/>
  <c r="D7" i="10"/>
  <c r="F7" i="10" s="1"/>
  <c r="D6" i="10"/>
  <c r="F6" i="10" s="1"/>
  <c r="D5" i="10"/>
  <c r="F5" i="10" s="1"/>
  <c r="D4" i="10"/>
  <c r="F4" i="10" s="1"/>
  <c r="D3" i="10"/>
  <c r="F3" i="10" s="1"/>
  <c r="D2" i="10"/>
  <c r="D11" i="9"/>
  <c r="F11" i="9" s="1"/>
  <c r="D10" i="9"/>
  <c r="F10" i="9" s="1"/>
  <c r="D9" i="9"/>
  <c r="F9" i="9" s="1"/>
  <c r="D8" i="9"/>
  <c r="F8" i="9" s="1"/>
  <c r="D7" i="9"/>
  <c r="F7" i="9" s="1"/>
  <c r="D6" i="9"/>
  <c r="F6" i="9" s="1"/>
  <c r="D5" i="9"/>
  <c r="D4" i="9"/>
  <c r="F4" i="9" s="1"/>
  <c r="D3" i="9"/>
  <c r="F3" i="9" s="1"/>
  <c r="D2" i="9"/>
  <c r="D13" i="8"/>
  <c r="F13" i="8" s="1"/>
  <c r="D12" i="8"/>
  <c r="F12" i="8" s="1"/>
  <c r="D11" i="8"/>
  <c r="F11" i="8" s="1"/>
  <c r="D10" i="8"/>
  <c r="F10" i="8" s="1"/>
  <c r="D9" i="8"/>
  <c r="F9" i="8" s="1"/>
  <c r="D8" i="8"/>
  <c r="F8" i="8" s="1"/>
  <c r="D7" i="8"/>
  <c r="F7" i="8" s="1"/>
  <c r="D6" i="8"/>
  <c r="F6" i="8" s="1"/>
  <c r="D5" i="8"/>
  <c r="F5" i="8" s="1"/>
  <c r="D4" i="8"/>
  <c r="F4" i="8" s="1"/>
  <c r="D3" i="8"/>
  <c r="F3" i="8" s="1"/>
  <c r="D2" i="8"/>
  <c r="F2" i="8" s="1"/>
  <c r="D9" i="7"/>
  <c r="F9" i="7" s="1"/>
  <c r="D8" i="7"/>
  <c r="F8" i="7" s="1"/>
  <c r="D7" i="7"/>
  <c r="F7" i="7" s="1"/>
  <c r="D6" i="7"/>
  <c r="F6" i="7" s="1"/>
  <c r="D5" i="7"/>
  <c r="F5" i="7" s="1"/>
  <c r="D4" i="7"/>
  <c r="F4" i="7" s="1"/>
  <c r="D3" i="7"/>
  <c r="F3" i="7" s="1"/>
  <c r="D2" i="7"/>
  <c r="F2" i="7" s="1"/>
  <c r="D2" i="6"/>
  <c r="F2" i="6" s="1"/>
  <c r="I7" i="6" s="1"/>
  <c r="D7" i="5"/>
  <c r="F7" i="5" s="1"/>
  <c r="D6" i="5"/>
  <c r="F6" i="5" s="1"/>
  <c r="D5" i="5"/>
  <c r="F5" i="5" s="1"/>
  <c r="D4" i="5"/>
  <c r="F4" i="5" s="1"/>
  <c r="D3" i="5"/>
  <c r="F3" i="5" s="1"/>
  <c r="D2" i="5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D4" i="4"/>
  <c r="F4" i="4" s="1"/>
  <c r="D3" i="4"/>
  <c r="F3" i="4" s="1"/>
  <c r="D2" i="4"/>
  <c r="F2" i="4" s="1"/>
  <c r="D8" i="3"/>
  <c r="F8" i="3" s="1"/>
  <c r="D7" i="3"/>
  <c r="F7" i="3" s="1"/>
  <c r="D6" i="3"/>
  <c r="F6" i="3" s="1"/>
  <c r="D5" i="3"/>
  <c r="D4" i="3"/>
  <c r="F4" i="3" s="1"/>
  <c r="D3" i="3"/>
  <c r="F3" i="3" s="1"/>
  <c r="D2" i="3"/>
  <c r="D11" i="2"/>
  <c r="F11" i="2" s="1"/>
  <c r="D10" i="2"/>
  <c r="F10" i="2" s="1"/>
  <c r="D9" i="2"/>
  <c r="F9" i="2" s="1"/>
  <c r="D8" i="2"/>
  <c r="F8" i="2" s="1"/>
  <c r="D7" i="2"/>
  <c r="F7" i="2" s="1"/>
  <c r="D6" i="2"/>
  <c r="F6" i="2" s="1"/>
  <c r="D5" i="2"/>
  <c r="F5" i="2" s="1"/>
  <c r="D4" i="2"/>
  <c r="F4" i="2" s="1"/>
  <c r="D3" i="2"/>
  <c r="F3" i="2" s="1"/>
  <c r="D2" i="2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D4" i="1"/>
  <c r="F4" i="1" s="1"/>
  <c r="D3" i="1"/>
  <c r="F3" i="1" s="1"/>
  <c r="D2" i="1"/>
  <c r="F2" i="1" s="1"/>
  <c r="I5" i="19" l="1" a="1"/>
  <c r="I5" i="19" s="1"/>
  <c r="I5" i="18" a="1"/>
  <c r="I5" i="18" s="1"/>
  <c r="F2" i="18"/>
  <c r="I7" i="18" s="1"/>
  <c r="I5" i="17" a="1"/>
  <c r="I5" i="17" s="1"/>
  <c r="F2" i="17"/>
  <c r="I7" i="17" s="1"/>
  <c r="I5" i="16" a="1"/>
  <c r="I5" i="16" s="1"/>
  <c r="F2" i="16"/>
  <c r="I7" i="16" s="1"/>
  <c r="I5" i="15" a="1"/>
  <c r="I5" i="15" s="1"/>
  <c r="F2" i="15"/>
  <c r="I7" i="15" s="1"/>
  <c r="I5" i="14" a="1"/>
  <c r="I5" i="14" s="1"/>
  <c r="I5" i="13" a="1"/>
  <c r="I5" i="13" s="1"/>
  <c r="F2" i="13"/>
  <c r="I7" i="13" s="1"/>
  <c r="I5" i="12" a="1"/>
  <c r="I5" i="12" s="1"/>
  <c r="I5" i="11" a="1"/>
  <c r="I5" i="11" s="1"/>
  <c r="I5" i="10" a="1"/>
  <c r="I5" i="10" s="1"/>
  <c r="F2" i="10"/>
  <c r="I7" i="10" s="1"/>
  <c r="I5" i="9" a="1"/>
  <c r="I5" i="9" s="1"/>
  <c r="F2" i="9"/>
  <c r="I7" i="8"/>
  <c r="I5" i="8" a="1"/>
  <c r="I5" i="8" s="1"/>
  <c r="I5" i="7" a="1"/>
  <c r="I5" i="7" s="1"/>
  <c r="I5" i="6"/>
  <c r="I5" i="5" a="1"/>
  <c r="I5" i="5" s="1"/>
  <c r="F2" i="5"/>
  <c r="I7" i="5" s="1"/>
  <c r="I5" i="4" a="1"/>
  <c r="I5" i="4" s="1"/>
  <c r="I5" i="3" a="1"/>
  <c r="I5" i="3" s="1"/>
  <c r="F2" i="3"/>
  <c r="I5" i="2" a="1"/>
  <c r="I5" i="2" s="1"/>
  <c r="F2" i="2"/>
  <c r="I7" i="2" s="1"/>
  <c r="I5" i="1" a="1"/>
  <c r="I5" i="1" s="1"/>
  <c r="I7" i="7"/>
  <c r="I7" i="14"/>
  <c r="F5" i="3"/>
  <c r="F5" i="9"/>
  <c r="F5" i="12"/>
  <c r="I7" i="12" s="1"/>
  <c r="F5" i="11"/>
  <c r="I7" i="11" s="1"/>
  <c r="F5" i="19"/>
  <c r="I7" i="19" s="1"/>
  <c r="F5" i="1"/>
  <c r="I7" i="1" s="1"/>
  <c r="F5" i="4"/>
  <c r="I7" i="4" s="1"/>
  <c r="I7" i="9" l="1"/>
  <c r="I7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<sst xmlns="http://schemas.openxmlformats.org/spreadsheetml/2006/main" count="356" uniqueCount="175">
  <si>
    <t>ARIMA</t>
  </si>
  <si>
    <t>LSTM</t>
  </si>
  <si>
    <t>OFF</t>
  </si>
  <si>
    <t>AVG</t>
  </si>
  <si>
    <t>Name</t>
  </si>
  <si>
    <t>ARIMAPP</t>
  </si>
  <si>
    <t>LSTMPP</t>
  </si>
  <si>
    <t>PP</t>
  </si>
  <si>
    <t>AP</t>
  </si>
  <si>
    <t>DIFF</t>
  </si>
  <si>
    <t>Rice</t>
  </si>
  <si>
    <t>G.Jesus</t>
  </si>
  <si>
    <t>Zinchenko</t>
  </si>
  <si>
    <t>Saka</t>
  </si>
  <si>
    <t>Trossard</t>
  </si>
  <si>
    <t>Havertz</t>
  </si>
  <si>
    <t>Ødegaard</t>
  </si>
  <si>
    <t>Raya</t>
  </si>
  <si>
    <t>Tomiyasu</t>
  </si>
  <si>
    <t>Saliba</t>
  </si>
  <si>
    <t>White</t>
  </si>
  <si>
    <t>Martinelli</t>
  </si>
  <si>
    <t>Nketiah</t>
  </si>
  <si>
    <t>Gabriel</t>
  </si>
  <si>
    <t>Fábio Vieira</t>
  </si>
  <si>
    <t>Digne</t>
  </si>
  <si>
    <t>Douglas Luiz</t>
  </si>
  <si>
    <t>McGinn</t>
  </si>
  <si>
    <t>Konsa</t>
  </si>
  <si>
    <t>Watkins</t>
  </si>
  <si>
    <t>Bailey</t>
  </si>
  <si>
    <t>Cash</t>
  </si>
  <si>
    <t>Martinez</t>
  </si>
  <si>
    <t>Diaby</t>
  </si>
  <si>
    <t>Pau</t>
  </si>
  <si>
    <t>Billing</t>
  </si>
  <si>
    <t>Solanke</t>
  </si>
  <si>
    <t>Kelly</t>
  </si>
  <si>
    <t>Christie</t>
  </si>
  <si>
    <t>Tavernier</t>
  </si>
  <si>
    <t>Neto</t>
  </si>
  <si>
    <t>Semenyo</t>
  </si>
  <si>
    <t>Maupay</t>
  </si>
  <si>
    <t>Nørgaard</t>
  </si>
  <si>
    <t>Pinnock</t>
  </si>
  <si>
    <t>Janelt</t>
  </si>
  <si>
    <t>Mbeumo</t>
  </si>
  <si>
    <t>Ajer</t>
  </si>
  <si>
    <t>Wissa</t>
  </si>
  <si>
    <t>Jensen</t>
  </si>
  <si>
    <t>Collins</t>
  </si>
  <si>
    <t>Hickey</t>
  </si>
  <si>
    <t>Gross</t>
  </si>
  <si>
    <t>Gilmour</t>
  </si>
  <si>
    <t>João Pedro</t>
  </si>
  <si>
    <t>Steele</t>
  </si>
  <si>
    <t>Ferguson</t>
  </si>
  <si>
    <t>Mitoma</t>
  </si>
  <si>
    <t>Brownhill</t>
  </si>
  <si>
    <t>Sterling</t>
  </si>
  <si>
    <t>Gallagher</t>
  </si>
  <si>
    <t>Sanchez</t>
  </si>
  <si>
    <t>Palmer</t>
  </si>
  <si>
    <t>T.Silva</t>
  </si>
  <si>
    <t>Colwill</t>
  </si>
  <si>
    <t>Mudryk</t>
  </si>
  <si>
    <t>Enzo</t>
  </si>
  <si>
    <t>Schlupp</t>
  </si>
  <si>
    <t>Hughes</t>
  </si>
  <si>
    <t>Ward</t>
  </si>
  <si>
    <t>J.Ayew</t>
  </si>
  <si>
    <t>Mitchell</t>
  </si>
  <si>
    <t>Eze</t>
  </si>
  <si>
    <t>Johnstone</t>
  </si>
  <si>
    <t>Andersen</t>
  </si>
  <si>
    <t>Mateta</t>
  </si>
  <si>
    <t>Guéhi</t>
  </si>
  <si>
    <t>Edouard</t>
  </si>
  <si>
    <t>Lerma</t>
  </si>
  <si>
    <t>A.Doucoure</t>
  </si>
  <si>
    <t>Gana</t>
  </si>
  <si>
    <t>Tarkowski</t>
  </si>
  <si>
    <t>Pickford</t>
  </si>
  <si>
    <t>Calvert-Lewin</t>
  </si>
  <si>
    <t>McNeil</t>
  </si>
  <si>
    <t>Garner</t>
  </si>
  <si>
    <t>Branthwaite</t>
  </si>
  <si>
    <t>Harrison</t>
  </si>
  <si>
    <t>Onana</t>
  </si>
  <si>
    <t>Iwobi</t>
  </si>
  <si>
    <t>Diop</t>
  </si>
  <si>
    <t>Leno</t>
  </si>
  <si>
    <t>Ream</t>
  </si>
  <si>
    <t>Castagne</t>
  </si>
  <si>
    <t>J.Palhinha</t>
  </si>
  <si>
    <t>Andreas</t>
  </si>
  <si>
    <t>De Cordova-Reid</t>
  </si>
  <si>
    <t>Willian</t>
  </si>
  <si>
    <t>Vinícius</t>
  </si>
  <si>
    <t>A.Becker</t>
  </si>
  <si>
    <t>Robertson</t>
  </si>
  <si>
    <t>Salah</t>
  </si>
  <si>
    <t>Alexander-Arnold</t>
  </si>
  <si>
    <t>Virgil</t>
  </si>
  <si>
    <t>Matip</t>
  </si>
  <si>
    <t>Konaté</t>
  </si>
  <si>
    <t>Luis Díaz</t>
  </si>
  <si>
    <t>Darwin</t>
  </si>
  <si>
    <t>Diogo J.</t>
  </si>
  <si>
    <t>Gakpo</t>
  </si>
  <si>
    <t>Szoboszlai</t>
  </si>
  <si>
    <t>Ederson M.</t>
  </si>
  <si>
    <t>Walker</t>
  </si>
  <si>
    <t>Aké</t>
  </si>
  <si>
    <t>Foden</t>
  </si>
  <si>
    <t>Rodrigo</t>
  </si>
  <si>
    <t>Haaland</t>
  </si>
  <si>
    <t>Bernardo</t>
  </si>
  <si>
    <t>J.Alvarez</t>
  </si>
  <si>
    <t>Rúben</t>
  </si>
  <si>
    <t>Akanji</t>
  </si>
  <si>
    <t>Eriksen</t>
  </si>
  <si>
    <t>Maguire</t>
  </si>
  <si>
    <t>Rashford</t>
  </si>
  <si>
    <t>McTominay</t>
  </si>
  <si>
    <t>Lindelof</t>
  </si>
  <si>
    <t>Martial</t>
  </si>
  <si>
    <t>R.Varane</t>
  </si>
  <si>
    <t>B.Fernandes</t>
  </si>
  <si>
    <t>Dalot</t>
  </si>
  <si>
    <t>Garnacho</t>
  </si>
  <si>
    <t>Casemiro</t>
  </si>
  <si>
    <t>Wilson</t>
  </si>
  <si>
    <t>Trippier</t>
  </si>
  <si>
    <t>Schär</t>
  </si>
  <si>
    <t>Longstaff</t>
  </si>
  <si>
    <t>Burn</t>
  </si>
  <si>
    <t>Joelinton</t>
  </si>
  <si>
    <t>Pope</t>
  </si>
  <si>
    <t>Gordon</t>
  </si>
  <si>
    <t>Anderson</t>
  </si>
  <si>
    <t>Bruno G.</t>
  </si>
  <si>
    <t>Almirón</t>
  </si>
  <si>
    <t>Isak</t>
  </si>
  <si>
    <t>Wood</t>
  </si>
  <si>
    <t>Gibbs-White</t>
  </si>
  <si>
    <t>Aurier</t>
  </si>
  <si>
    <t>Boly</t>
  </si>
  <si>
    <t>Elanga</t>
  </si>
  <si>
    <t>Mangala</t>
  </si>
  <si>
    <t>Awoniyi</t>
  </si>
  <si>
    <t>Norwood</t>
  </si>
  <si>
    <t>Bogle</t>
  </si>
  <si>
    <t>Archer</t>
  </si>
  <si>
    <t>Foderingham</t>
  </si>
  <si>
    <t>Maddison</t>
  </si>
  <si>
    <t>Richarlison</t>
  </si>
  <si>
    <t>Romero</t>
  </si>
  <si>
    <t>Kulusevski</t>
  </si>
  <si>
    <t>Johnson</t>
  </si>
  <si>
    <t>Son</t>
  </si>
  <si>
    <t>Sarr</t>
  </si>
  <si>
    <t>Pedro Porro</t>
  </si>
  <si>
    <t>Vicario</t>
  </si>
  <si>
    <t>Antonio</t>
  </si>
  <si>
    <t>Ward-Prowse</t>
  </si>
  <si>
    <t>Zouma</t>
  </si>
  <si>
    <t>Bowen</t>
  </si>
  <si>
    <t>Areola</t>
  </si>
  <si>
    <t>P.Fornals</t>
  </si>
  <si>
    <t>L.Paquetá</t>
  </si>
  <si>
    <t>Lemina</t>
  </si>
  <si>
    <t>José Sá</t>
  </si>
  <si>
    <t>Hee Chan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</si>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</sst>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RS" displayName="TableARS" ref="A1:F16" totalsRowShown="0">
  <autoFilter ref="A1:F16" xr:uid="{00000000-0009-0000-0100-000001000000}"/>
  <tableColumns count="6">
    <tableColumn id="1" xr3:uid="{00000000-0010-0000-0000-000001000000}" name="Name"/>
    <tableColumn id="2" xr3:uid="{00000000-0010-0000-0000-000002000000}" name="ARIMAPP"/>
    <tableColumn id="3" xr3:uid="{00000000-0010-0000-0000-000003000000}" name="LSTMPP"/>
    <tableColumn id="4" xr3:uid="{00000000-0010-0000-0000-000004000000}" name="PP">
      <calculatedColumnFormula>TableARS[[#This Row],[ARIMAPP]]*$I$2+TableARS[[#This Row],[LSTMPP]]*$I$3</calculatedColumnFormula>
    </tableColumn>
    <tableColumn id="5" xr3:uid="{00000000-0010-0000-0000-000005000000}" name="AP"/>
    <tableColumn id="6" xr3:uid="{00000000-0010-0000-0000-000006000000}" name="DIFF">
      <calculatedColumnFormula>ABS(TableARS[[#This Row],[PP]]-TableARS[[#This Row],[AP]])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VL" displayName="TableAVL" ref="A1:F11" totalsRowShown="0">
  <autoFilter ref="A1:F11" xr:uid="{00000000-0009-0000-0100-000002000000}"/>
  <tableColumns count="6">
    <tableColumn id="1" xr3:uid="{00000000-0010-0000-0100-000001000000}" name="Name"/>
    <tableColumn id="2" xr3:uid="{00000000-0010-0000-0100-000002000000}" name="ARIMAPP"/>
    <tableColumn id="3" xr3:uid="{00000000-0010-0000-0100-000003000000}" name="LSTMPP"/>
    <tableColumn id="4" xr3:uid="{00000000-0010-0000-0100-000004000000}" name="PP">
      <calculatedColumnFormula>TableAVL[[#This Row],[ARIMAPP]]*$I$2+TableAVL[[#This Row],[LSTMPP]]*$I$3</calculatedColumnFormula>
    </tableColumn>
    <tableColumn id="5" xr3:uid="{00000000-0010-0000-0100-000005000000}" name="AP"/>
    <tableColumn id="6" xr3:uid="{00000000-0010-0000-0100-000006000000}" name="DIFF">
      <calculatedColumnFormula>ABS(TableAVL[[#This Row],[PP]]-TableAVL[[#This Row],[AP]])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BOU" displayName="TableBOU" ref="A1:F8" totalsRowShown="0">
  <autoFilter ref="A1:F8" xr:uid="{00000000-0009-0000-0100-000003000000}"/>
  <tableColumns count="6">
    <tableColumn id="1" xr3:uid="{00000000-0010-0000-0200-000001000000}" name="Name"/>
    <tableColumn id="2" xr3:uid="{00000000-0010-0000-0200-000002000000}" name="ARIMAPP"/>
    <tableColumn id="3" xr3:uid="{00000000-0010-0000-0200-000003000000}" name="LSTMPP"/>
    <tableColumn id="4" xr3:uid="{00000000-0010-0000-0200-000004000000}" name="PP">
      <calculatedColumnFormula>TableBOU[[#This Row],[ARIMAPP]]*$I$2+TableBOU[[#This Row],[LSTMPP]]*$I$3</calculatedColumnFormula>
    </tableColumn>
    <tableColumn id="5" xr3:uid="{00000000-0010-0000-0200-000005000000}" name="AP"/>
    <tableColumn id="6" xr3:uid="{00000000-0010-0000-0200-000006000000}" name="DIFF">
      <calculatedColumnFormula>ABS(TableBOU[[#This Row],[PP]]-TableBOU[[#This Row],[AP]])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BRE" displayName="TableBRE" ref="A1:F11" totalsRowShown="0">
  <autoFilter ref="A1:F11" xr:uid="{00000000-0009-0000-0100-000004000000}"/>
  <tableColumns count="6">
    <tableColumn id="1" xr3:uid="{00000000-0010-0000-0300-000001000000}" name="Name"/>
    <tableColumn id="2" xr3:uid="{00000000-0010-0000-0300-000002000000}" name="ARIMAPP"/>
    <tableColumn id="3" xr3:uid="{00000000-0010-0000-0300-000003000000}" name="LSTMPP"/>
    <tableColumn id="4" xr3:uid="{00000000-0010-0000-0300-000004000000}" name="PP">
      <calculatedColumnFormula>TableBRE[[#This Row],[ARIMAPP]]*$I$2+TableBRE[[#This Row],[LSTMPP]]*$I$3</calculatedColumnFormula>
    </tableColumn>
    <tableColumn id="5" xr3:uid="{00000000-0010-0000-0300-000005000000}" name="AP"/>
    <tableColumn id="6" xr3:uid="{00000000-0010-0000-0300-000006000000}" name="DIFF">
      <calculatedColumnFormula>ABS(TableBRE[[#This Row],[PP]]-TableBRE[[#This Row],[AP]])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BHA" displayName="TableBHA" ref="A1:F7" totalsRowShown="0">
  <autoFilter ref="A1:F7" xr:uid="{00000000-0009-0000-0100-000005000000}"/>
  <tableColumns count="6">
    <tableColumn id="1" xr3:uid="{00000000-0010-0000-0400-000001000000}" name="Name"/>
    <tableColumn id="2" xr3:uid="{00000000-0010-0000-0400-000002000000}" name="ARIMAPP"/>
    <tableColumn id="3" xr3:uid="{00000000-0010-0000-0400-000003000000}" name="LSTMPP"/>
    <tableColumn id="4" xr3:uid="{00000000-0010-0000-0400-000004000000}" name="PP">
      <calculatedColumnFormula>TableBHA[[#This Row],[ARIMAPP]]*$I$2+TableBHA[[#This Row],[LSTMPP]]*$I$3</calculatedColumnFormula>
    </tableColumn>
    <tableColumn id="5" xr3:uid="{00000000-0010-0000-0400-000005000000}" name="AP"/>
    <tableColumn id="6" xr3:uid="{00000000-0010-0000-0400-000006000000}" name="DIFF">
      <calculatedColumnFormula>ABS(TableBHA[[#This Row],[PP]]-TableBHA[[#This Row],[AP]])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BUR" displayName="TableBUR" ref="A1:F2" totalsRowShown="0">
  <autoFilter ref="A1:F2" xr:uid="{00000000-0009-0000-0100-000006000000}"/>
  <tableColumns count="6">
    <tableColumn id="1" xr3:uid="{00000000-0010-0000-0500-000001000000}" name="Name"/>
    <tableColumn id="2" xr3:uid="{00000000-0010-0000-0500-000002000000}" name="ARIMAPP"/>
    <tableColumn id="3" xr3:uid="{00000000-0010-0000-0500-000003000000}" name="LSTMPP"/>
    <tableColumn id="4" xr3:uid="{00000000-0010-0000-0500-000004000000}" name="PP">
      <calculatedColumnFormula>TableBUR[[#This Row],[ARIMAPP]]*$I$2+TableBUR[[#This Row],[LSTMPP]]*$I$3</calculatedColumnFormula>
    </tableColumn>
    <tableColumn id="5" xr3:uid="{00000000-0010-0000-0500-000005000000}" name="AP"/>
    <tableColumn id="6" xr3:uid="{00000000-0010-0000-0500-000006000000}" name="DIFF">
      <calculatedColumnFormula>ABS(TableBUR[[#This Row],[PP]]-TableBUR[[#This Row],[AP]])</calculatedColumnFormula>
    </tableColumn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CHE" displayName="TableCHE" ref="A1:F9" totalsRowShown="0">
  <autoFilter ref="A1:F9" xr:uid="{00000000-0009-0000-0100-000007000000}"/>
  <tableColumns count="6">
    <tableColumn id="1" xr3:uid="{00000000-0010-0000-0600-000001000000}" name="Name"/>
    <tableColumn id="2" xr3:uid="{00000000-0010-0000-0600-000002000000}" name="ARIMAPP"/>
    <tableColumn id="3" xr3:uid="{00000000-0010-0000-0600-000003000000}" name="LSTMPP"/>
    <tableColumn id="4" xr3:uid="{00000000-0010-0000-0600-000004000000}" name="PP">
      <calculatedColumnFormula>TableCHE[[#This Row],[ARIMAPP]]*$I$2+TableCHE[[#This Row],[LSTMPP]]*$I$3</calculatedColumnFormula>
    </tableColumn>
    <tableColumn id="5" xr3:uid="{00000000-0010-0000-0600-000005000000}" name="AP"/>
    <tableColumn id="6" xr3:uid="{00000000-0010-0000-0600-000006000000}" name="DIFF">
      <calculatedColumnFormula>ABS(TableCHE[[#This Row],[PP]]-TableCHE[[#This Row],[AP]])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CRY" displayName="TableCRY" ref="A1:F13" totalsRowShown="0">
  <autoFilter ref="A1:F13" xr:uid="{00000000-0009-0000-0100-000008000000}"/>
  <tableColumns count="6">
    <tableColumn id="1" xr3:uid="{00000000-0010-0000-0700-000001000000}" name="Name"/>
    <tableColumn id="2" xr3:uid="{00000000-0010-0000-0700-000002000000}" name="ARIMAPP"/>
    <tableColumn id="3" xr3:uid="{00000000-0010-0000-0700-000003000000}" name="LSTMPP"/>
    <tableColumn id="4" xr3:uid="{00000000-0010-0000-0700-000004000000}" name="PP">
      <calculatedColumnFormula>TableCRY[[#This Row],[ARIMAPP]]*$I$2+TableCRY[[#This Row],[LSTMPP]]*$I$3</calculatedColumnFormula>
    </tableColumn>
    <tableColumn id="5" xr3:uid="{00000000-0010-0000-0700-000005000000}" name="AP"/>
    <tableColumn id="6" xr3:uid="{00000000-0010-0000-0700-000006000000}" name="DIFF">
      <calculatedColumnFormula>ABS(TableCRY[[#This Row],[PP]]-TableCRY[[#This Row],[AP]])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EVE" displayName="TableEVE" ref="A1:F11" totalsRowShown="0">
  <autoFilter ref="A1:F11" xr:uid="{00000000-0009-0000-0100-000009000000}"/>
  <tableColumns count="6">
    <tableColumn id="1" xr3:uid="{00000000-0010-0000-0800-000001000000}" name="Name"/>
    <tableColumn id="2" xr3:uid="{00000000-0010-0000-0800-000002000000}" name="ARIMAPP"/>
    <tableColumn id="3" xr3:uid="{00000000-0010-0000-0800-000003000000}" name="LSTMPP"/>
    <tableColumn id="4" xr3:uid="{00000000-0010-0000-0800-000004000000}" name="PP">
      <calculatedColumnFormula>TableEVE[[#This Row],[ARIMAPP]]*$I$2+TableEVE[[#This Row],[LSTMPP]]*$I$3</calculatedColumnFormula>
    </tableColumn>
    <tableColumn id="5" xr3:uid="{00000000-0010-0000-0800-000005000000}" name="AP"/>
    <tableColumn id="6" xr3:uid="{00000000-0010-0000-0800-000006000000}" name="DIFF">
      <calculatedColumnFormula>ABS(TableEVE[[#This Row],[PP]]-TableEVE[[#This Row],[AP]])</calculatedColumnFormula>
    </tableColumn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FUL" displayName="TableFUL" ref="A1:F11" totalsRowShown="0">
  <autoFilter ref="A1:F11" xr:uid="{00000000-0009-0000-0100-00000A000000}"/>
  <tableColumns count="6">
    <tableColumn id="1" xr3:uid="{00000000-0010-0000-0900-000001000000}" name="Name"/>
    <tableColumn id="2" xr3:uid="{00000000-0010-0000-0900-000002000000}" name="ARIMAPP"/>
    <tableColumn id="3" xr3:uid="{00000000-0010-0000-0900-000003000000}" name="LSTMPP"/>
    <tableColumn id="4" xr3:uid="{00000000-0010-0000-0900-000004000000}" name="PP">
      <calculatedColumnFormula>TableFUL[[#This Row],[ARIMAPP]]*$I$2+TableFUL[[#This Row],[LSTMPP]]*$I$3</calculatedColumnFormula>
    </tableColumn>
    <tableColumn id="5" xr3:uid="{00000000-0010-0000-0900-000005000000}" name="AP"/>
    <tableColumn id="6" xr3:uid="{00000000-0010-0000-0900-000006000000}" name="DIFF">
      <calculatedColumnFormula>ABS(TableFUL[[#This Row],[PP]]-TableFUL[[#This Row],[AP]])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LIV" displayName="TableLIV" ref="A1:F13" totalsRowShown="0">
  <autoFilter ref="A1:F13" xr:uid="{00000000-0009-0000-0100-00000B000000}"/>
  <tableColumns count="6">
    <tableColumn id="1" xr3:uid="{00000000-0010-0000-0A00-000001000000}" name="Name"/>
    <tableColumn id="2" xr3:uid="{00000000-0010-0000-0A00-000002000000}" name="ARIMAPP"/>
    <tableColumn id="3" xr3:uid="{00000000-0010-0000-0A00-000003000000}" name="LSTMPP"/>
    <tableColumn id="4" xr3:uid="{00000000-0010-0000-0A00-000004000000}" name="PP">
      <calculatedColumnFormula>TableLIV[[#This Row],[ARIMAPP]]*$I$2+TableLIV[[#This Row],[LSTMPP]]*$I$3</calculatedColumnFormula>
    </tableColumn>
    <tableColumn id="5" xr3:uid="{00000000-0010-0000-0A00-000005000000}" name="AP"/>
    <tableColumn id="6" xr3:uid="{00000000-0010-0000-0A00-000006000000}" name="DIFF">
      <calculatedColumnFormula>ABS(TableLIV[[#This Row],[PP]]-TableLIV[[#This Row],[AP]])</calculatedColumn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MCI" displayName="TableMCI" ref="A1:F11" totalsRowShown="0">
  <autoFilter ref="A1:F11" xr:uid="{00000000-0009-0000-0100-00000C000000}"/>
  <tableColumns count="6">
    <tableColumn id="1" xr3:uid="{00000000-0010-0000-0B00-000001000000}" name="Name"/>
    <tableColumn id="2" xr3:uid="{00000000-0010-0000-0B00-000002000000}" name="ARIMAPP"/>
    <tableColumn id="3" xr3:uid="{00000000-0010-0000-0B00-000003000000}" name="LSTMPP"/>
    <tableColumn id="4" xr3:uid="{00000000-0010-0000-0B00-000004000000}" name="PP">
      <calculatedColumnFormula>TableMCI[[#This Row],[ARIMAPP]]*$I$2+TableMCI[[#This Row],[LSTMPP]]*$I$3</calculatedColumnFormula>
    </tableColumn>
    <tableColumn id="5" xr3:uid="{00000000-0010-0000-0B00-000005000000}" name="AP"/>
    <tableColumn id="6" xr3:uid="{00000000-0010-0000-0B00-000006000000}" name="DIFF">
      <calculatedColumnFormula>ABS(TableMCI[[#This Row],[PP]]-TableMCI[[#This Row],[AP]])</calculatedColumnFormula>
    </tableColumn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MUN" displayName="TableMUN" ref="A1:F12" totalsRowShown="0">
  <autoFilter ref="A1:F12" xr:uid="{00000000-0009-0000-0100-00000D000000}"/>
  <tableColumns count="6">
    <tableColumn id="1" xr3:uid="{00000000-0010-0000-0C00-000001000000}" name="Name"/>
    <tableColumn id="2" xr3:uid="{00000000-0010-0000-0C00-000002000000}" name="ARIMAPP"/>
    <tableColumn id="3" xr3:uid="{00000000-0010-0000-0C00-000003000000}" name="LSTMPP"/>
    <tableColumn id="4" xr3:uid="{00000000-0010-0000-0C00-000004000000}" name="PP">
      <calculatedColumnFormula>TableMUN[[#This Row],[ARIMAPP]]*$I$2+TableMUN[[#This Row],[LSTMPP]]*$I$3</calculatedColumnFormula>
    </tableColumn>
    <tableColumn id="5" xr3:uid="{00000000-0010-0000-0C00-000005000000}" name="AP"/>
    <tableColumn id="6" xr3:uid="{00000000-0010-0000-0C00-000006000000}" name="DIFF">
      <calculatedColumnFormula>ABS(TableMUN[[#This Row],[PP]]-TableMUN[[#This Row],[AP]])</calculatedColumnFormula>
    </tableColumn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NEW" displayName="TableNEW" ref="A1:F13" totalsRowShown="0">
  <autoFilter ref="A1:F13" xr:uid="{00000000-0009-0000-0100-00000E000000}"/>
  <tableColumns count="6">
    <tableColumn id="1" xr3:uid="{00000000-0010-0000-0D00-000001000000}" name="Name"/>
    <tableColumn id="2" xr3:uid="{00000000-0010-0000-0D00-000002000000}" name="ARIMAPP"/>
    <tableColumn id="3" xr3:uid="{00000000-0010-0000-0D00-000003000000}" name="LSTMPP"/>
    <tableColumn id="4" xr3:uid="{00000000-0010-0000-0D00-000004000000}" name="PP">
      <calculatedColumnFormula>TableNEW[[#This Row],[ARIMAPP]]*$I$2+TableNEW[[#This Row],[LSTMPP]]*$I$3</calculatedColumnFormula>
    </tableColumn>
    <tableColumn id="5" xr3:uid="{00000000-0010-0000-0D00-000005000000}" name="AP"/>
    <tableColumn id="6" xr3:uid="{00000000-0010-0000-0D00-000006000000}" name="DIFF">
      <calculatedColumnFormula>ABS(TableNEW[[#This Row],[PP]]-TableNEW[[#This Row],[AP]])</calculatedColumnFormula>
    </tableColumn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NFO" displayName="TableNFO" ref="A1:F8" totalsRowShown="0">
  <autoFilter ref="A1:F8" xr:uid="{00000000-0009-0000-0100-00000F000000}"/>
  <tableColumns count="6">
    <tableColumn id="1" xr3:uid="{00000000-0010-0000-0E00-000001000000}" name="Name"/>
    <tableColumn id="2" xr3:uid="{00000000-0010-0000-0E00-000002000000}" name="ARIMAPP"/>
    <tableColumn id="3" xr3:uid="{00000000-0010-0000-0E00-000003000000}" name="LSTMPP"/>
    <tableColumn id="4" xr3:uid="{00000000-0010-0000-0E00-000004000000}" name="PP">
      <calculatedColumnFormula>TableNFO[[#This Row],[ARIMAPP]]*$I$2+TableNFO[[#This Row],[LSTMPP]]*$I$3</calculatedColumnFormula>
    </tableColumn>
    <tableColumn id="5" xr3:uid="{00000000-0010-0000-0E00-000005000000}" name="AP"/>
    <tableColumn id="6" xr3:uid="{00000000-0010-0000-0E00-000006000000}" name="DIFF">
      <calculatedColumnFormula>ABS(TableNFO[[#This Row],[PP]]-TableNFO[[#This Row],[AP]])</calculatedColumnFormula>
    </tableColumn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ableSHU" displayName="TableSHU" ref="A1:F5" totalsRowShown="0">
  <autoFilter ref="A1:F5" xr:uid="{00000000-0009-0000-0100-000010000000}"/>
  <tableColumns count="6">
    <tableColumn id="1" xr3:uid="{00000000-0010-0000-0F00-000001000000}" name="Name"/>
    <tableColumn id="2" xr3:uid="{00000000-0010-0000-0F00-000002000000}" name="ARIMAPP"/>
    <tableColumn id="3" xr3:uid="{00000000-0010-0000-0F00-000003000000}" name="LSTMPP"/>
    <tableColumn id="4" xr3:uid="{00000000-0010-0000-0F00-000004000000}" name="PP">
      <calculatedColumnFormula>TableSHU[[#This Row],[ARIMAPP]]*$I$2+TableSHU[[#This Row],[LSTMPP]]*$I$3</calculatedColumnFormula>
    </tableColumn>
    <tableColumn id="5" xr3:uid="{00000000-0010-0000-0F00-000005000000}" name="AP"/>
    <tableColumn id="6" xr3:uid="{00000000-0010-0000-0F00-000006000000}" name="DIFF">
      <calculatedColumnFormula>ABS(TableSHU[[#This Row],[PP]]-TableSHU[[#This Row],[AP]])</calculatedColumnFormula>
    </tableColumn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ableTOT" displayName="TableTOT" ref="A1:F10" totalsRowShown="0">
  <autoFilter ref="A1:F10" xr:uid="{00000000-0009-0000-0100-000011000000}"/>
  <tableColumns count="6">
    <tableColumn id="1" xr3:uid="{00000000-0010-0000-1000-000001000000}" name="Name"/>
    <tableColumn id="2" xr3:uid="{00000000-0010-0000-1000-000002000000}" name="ARIMAPP"/>
    <tableColumn id="3" xr3:uid="{00000000-0010-0000-1000-000003000000}" name="LSTMPP"/>
    <tableColumn id="4" xr3:uid="{00000000-0010-0000-1000-000004000000}" name="PP">
      <calculatedColumnFormula>TableTOT[[#This Row],[ARIMAPP]]*$I$2+TableTOT[[#This Row],[LSTMPP]]*$I$3</calculatedColumnFormula>
    </tableColumn>
    <tableColumn id="5" xr3:uid="{00000000-0010-0000-1000-000005000000}" name="AP"/>
    <tableColumn id="6" xr3:uid="{00000000-0010-0000-1000-000006000000}" name="DIFF">
      <calculatedColumnFormula>ABS(TableTOT[[#This Row],[PP]]-TableTOT[[#This Row],[AP]])</calculatedColumnFormula>
    </tableColumn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ableWHU" displayName="TableWHU" ref="A1:F8" totalsRowShown="0">
  <autoFilter ref="A1:F8" xr:uid="{00000000-0009-0000-0100-000012000000}"/>
  <tableColumns count="6">
    <tableColumn id="1" xr3:uid="{00000000-0010-0000-1100-000001000000}" name="Name"/>
    <tableColumn id="2" xr3:uid="{00000000-0010-0000-1100-000002000000}" name="ARIMAPP"/>
    <tableColumn id="3" xr3:uid="{00000000-0010-0000-1100-000003000000}" name="LSTMPP"/>
    <tableColumn id="4" xr3:uid="{00000000-0010-0000-1100-000004000000}" name="PP">
      <calculatedColumnFormula>TableWHU[[#This Row],[ARIMAPP]]*$I$2+TableWHU[[#This Row],[LSTMPP]]*$I$3</calculatedColumnFormula>
    </tableColumn>
    <tableColumn id="5" xr3:uid="{00000000-0010-0000-1100-000005000000}" name="AP"/>
    <tableColumn id="6" xr3:uid="{00000000-0010-0000-1100-000006000000}" name="DIFF">
      <calculatedColumnFormula>ABS(TableWHU[[#This Row],[PP]]-TableWHU[[#This Row],[AP]])</calculatedColumnFormula>
    </tableColumn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ableWOL" displayName="TableWOL" ref="A1:F6" totalsRowShown="0">
  <autoFilter ref="A1:F6" xr:uid="{00000000-0009-0000-0100-000013000000}"/>
  <tableColumns count="6">
    <tableColumn id="1" xr3:uid="{00000000-0010-0000-1200-000001000000}" name="Name"/>
    <tableColumn id="2" xr3:uid="{00000000-0010-0000-1200-000002000000}" name="ARIMAPP"/>
    <tableColumn id="3" xr3:uid="{00000000-0010-0000-1200-000003000000}" name="LSTMPP"/>
    <tableColumn id="4" xr3:uid="{00000000-0010-0000-1200-000004000000}" name="PP">
      <calculatedColumnFormula>TableWOL[[#This Row],[ARIMAPP]]*$I$2+TableWOL[[#This Row],[LSTMPP]]*$I$3</calculatedColumnFormula>
    </tableColumn>
    <tableColumn id="5" xr3:uid="{00000000-0010-0000-1200-000005000000}" name="AP"/>
    <tableColumn id="6" xr3:uid="{00000000-0010-0000-1200-000006000000}" name="DIFF">
      <calculatedColumnFormula>ABS(TableWOL[[#This Row],[PP]]-TableWOL[[#This Row],[AP]])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10</v>
      </c>
      <c r="B2">
        <v>27.873940476428189</v>
      </c>
      <c r="C2">
        <v>27.785714285714281</v>
      </c>
      <c r="D2">
        <f>TableARS[[#This Row],[ARIMAPP]]*$I$2+TableARS[[#This Row],[LSTMPP]]*$I$3</f>
        <v>30.79452487302704</v>
      </c>
      <c r="E2">
        <v>42</v>
      </c>
      <c r="F2">
        <f>ABS(TableARS[[#This Row],[PP]]-TableARS[[#This Row],[AP]])</f>
        <v>11.20547512697296</v>
      </c>
      <c r="H2" t="s">
        <v>0</v>
      </c>
      <c r="I2">
        <v>0.56733920644557911</v>
      </c>
    </row>
    <row r="3" spans="1:9" x14ac:dyDescent="0.2">
      <c r="A3" t="s">
        <v>11</v>
      </c>
      <c r="B3">
        <v>40.797101449275353</v>
      </c>
      <c r="C3">
        <v>39.85194613347705</v>
      </c>
      <c r="D3">
        <f>TableARS[[#This Row],[ARIMAPP]]*$I$2+TableARS[[#This Row],[LSTMPP]]*$I$3</f>
        <v>44.631796574569108</v>
      </c>
      <c r="E3">
        <v>33</v>
      </c>
      <c r="F3">
        <f>ABS(TableARS[[#This Row],[PP]]-TableARS[[#This Row],[AP]])</f>
        <v>11.631796574569108</v>
      </c>
      <c r="H3" t="s">
        <v>1</v>
      </c>
      <c r="I3">
        <v>0.53914560009425583</v>
      </c>
    </row>
    <row r="4" spans="1:9" x14ac:dyDescent="0.2">
      <c r="A4" t="s">
        <v>12</v>
      </c>
      <c r="B4">
        <v>32.111111111111093</v>
      </c>
      <c r="C4">
        <v>30.555555555555561</v>
      </c>
      <c r="D4">
        <f>TableARS[[#This Row],[ARIMAPP]]*$I$2+TableARS[[#This Row],[LSTMPP]]*$I$3</f>
        <v>34.691785632076957</v>
      </c>
      <c r="E4">
        <v>51</v>
      </c>
      <c r="F4">
        <f>ABS(TableARS[[#This Row],[PP]]-TableARS[[#This Row],[AP]])</f>
        <v>16.308214367923043</v>
      </c>
    </row>
    <row r="5" spans="1:9" x14ac:dyDescent="0.2">
      <c r="A5" t="s">
        <v>13</v>
      </c>
      <c r="B5">
        <v>51.043534398756663</v>
      </c>
      <c r="C5">
        <v>39.976696082150262</v>
      </c>
      <c r="D5">
        <f>TableARS[[#This Row],[ARIMAPP]]*$I$2+TableARS[[#This Row],[LSTMPP]]*$I$3</f>
        <v>50.512258098964814</v>
      </c>
      <c r="E5">
        <v>66</v>
      </c>
      <c r="F5">
        <f>ABS(TableARS[[#This Row],[PP]]-TableARS[[#This Row],[AP]])</f>
        <v>15.487741901035186</v>
      </c>
      <c r="H5" t="s">
        <v>2</v>
      </c>
      <c r="I5" cm="1">
        <f t="array" ref="I5">(SUM(TableARS[PP]-TableARS[AP]))^2</f>
        <v>2.0194839173657902E-28</v>
      </c>
    </row>
    <row r="6" spans="1:9" x14ac:dyDescent="0.2">
      <c r="A6" t="s">
        <v>14</v>
      </c>
      <c r="B6">
        <v>38.298763725919869</v>
      </c>
      <c r="C6">
        <v>40.53172272121563</v>
      </c>
      <c r="D6">
        <f>TableARS[[#This Row],[ARIMAPP]]*$I$2+TableARS[[#This Row],[LSTMPP]]*$I$3</f>
        <v>43.5808901894939</v>
      </c>
      <c r="E6">
        <v>47</v>
      </c>
      <c r="F6">
        <f>ABS(TableARS[[#This Row],[PP]]-TableARS[[#This Row],[AP]])</f>
        <v>3.4191098105061002</v>
      </c>
    </row>
    <row r="7" spans="1:9" x14ac:dyDescent="0.2">
      <c r="A7" t="s">
        <v>15</v>
      </c>
      <c r="B7">
        <v>32.359550561797747</v>
      </c>
      <c r="C7">
        <v>31.12676056338028</v>
      </c>
      <c r="D7">
        <f>TableARS[[#This Row],[ARIMAPP]]*$I$2+TableARS[[#This Row],[LSTMPP]]*$I$3</f>
        <v>35.140697739599801</v>
      </c>
      <c r="E7">
        <v>26</v>
      </c>
      <c r="F7">
        <f>ABS(TableARS[[#This Row],[PP]]-TableARS[[#This Row],[AP]])</f>
        <v>9.1406977395998013</v>
      </c>
      <c r="H7" t="s">
        <v>3</v>
      </c>
      <c r="I7">
        <f>AVERAGE(TableARS[DIFF])/10</f>
        <v>0.82258176272472028</v>
      </c>
    </row>
    <row r="8" spans="1:9" x14ac:dyDescent="0.2">
      <c r="A8" t="s">
        <v>16</v>
      </c>
      <c r="B8">
        <v>55.586811940884509</v>
      </c>
      <c r="C8">
        <v>43.578193194579818</v>
      </c>
      <c r="D8">
        <f>TableARS[[#This Row],[ARIMAPP]]*$I$2+TableARS[[#This Row],[LSTMPP]]*$I$3</f>
        <v>55.031568896296207</v>
      </c>
      <c r="E8">
        <v>51</v>
      </c>
      <c r="F8">
        <f>ABS(TableARS[[#This Row],[PP]]-TableARS[[#This Row],[AP]])</f>
        <v>4.0315688962962071</v>
      </c>
    </row>
    <row r="9" spans="1:9" x14ac:dyDescent="0.2">
      <c r="A9" t="s">
        <v>17</v>
      </c>
      <c r="B9">
        <v>41.724137931034498</v>
      </c>
      <c r="C9">
        <v>35.745531002909523</v>
      </c>
      <c r="D9">
        <f>TableARS[[#This Row],[ARIMAPP]]*$I$2+TableARS[[#This Row],[LSTMPP]]*$I$3</f>
        <v>42.943785066670479</v>
      </c>
      <c r="E9">
        <v>45</v>
      </c>
      <c r="F9">
        <f>ABS(TableARS[[#This Row],[PP]]-TableARS[[#This Row],[AP]])</f>
        <v>2.056214933329521</v>
      </c>
    </row>
    <row r="10" spans="1:9" x14ac:dyDescent="0.2">
      <c r="A10" t="s">
        <v>18</v>
      </c>
      <c r="B10">
        <v>13.141826593053359</v>
      </c>
      <c r="C10">
        <v>28.63636363636364</v>
      </c>
      <c r="D10">
        <f>TableARS[[#This Row],[ARIMAPP]]*$I$2+TableARS[[#This Row],[LSTMPP]]*$I$3</f>
        <v>22.8950429277929</v>
      </c>
      <c r="E10">
        <v>26</v>
      </c>
      <c r="F10">
        <f>ABS(TableARS[[#This Row],[PP]]-TableARS[[#This Row],[AP]])</f>
        <v>3.1049570722070996</v>
      </c>
    </row>
    <row r="11" spans="1:9" x14ac:dyDescent="0.2">
      <c r="A11" t="s">
        <v>19</v>
      </c>
      <c r="B11">
        <v>44.457831538253373</v>
      </c>
      <c r="C11">
        <v>36.833898297711379</v>
      </c>
      <c r="D11">
        <f>TableARS[[#This Row],[ARIMAPP]]*$I$2+TableARS[[#This Row],[LSTMPP]]*$I$3</f>
        <v>45.081505066734294</v>
      </c>
      <c r="E11">
        <v>47</v>
      </c>
      <c r="F11">
        <f>ABS(TableARS[[#This Row],[PP]]-TableARS[[#This Row],[AP]])</f>
        <v>1.9184949332657055</v>
      </c>
    </row>
    <row r="12" spans="1:9" x14ac:dyDescent="0.2">
      <c r="A12" t="s">
        <v>20</v>
      </c>
      <c r="B12">
        <v>40.789473684210542</v>
      </c>
      <c r="C12">
        <v>35.681548396120867</v>
      </c>
      <c r="D12">
        <f>TableARS[[#This Row],[ARIMAPP]]*$I$2+TableARS[[#This Row],[LSTMPP]]*$I$3</f>
        <v>42.379017453651656</v>
      </c>
      <c r="E12">
        <v>46</v>
      </c>
      <c r="F12">
        <f>ABS(TableARS[[#This Row],[PP]]-TableARS[[#This Row],[AP]])</f>
        <v>3.620982546348344</v>
      </c>
    </row>
    <row r="13" spans="1:9" x14ac:dyDescent="0.2">
      <c r="A13" t="s">
        <v>21</v>
      </c>
      <c r="B13">
        <v>54.285714285714292</v>
      </c>
      <c r="C13">
        <v>52.02781919633231</v>
      </c>
      <c r="D13">
        <f>TableARS[[#This Row],[ARIMAPP]]*$I$2+TableARS[[#This Row],[LSTMPP]]*$I$3</f>
        <v>58.848983866390611</v>
      </c>
      <c r="E13">
        <v>28</v>
      </c>
      <c r="F13">
        <f>ABS(TableARS[[#This Row],[PP]]-TableARS[[#This Row],[AP]])</f>
        <v>30.848983866390611</v>
      </c>
    </row>
    <row r="14" spans="1:9" x14ac:dyDescent="0.2">
      <c r="A14" t="s">
        <v>22</v>
      </c>
      <c r="B14">
        <v>25.161290322580641</v>
      </c>
      <c r="C14">
        <v>26.25</v>
      </c>
      <c r="D14">
        <f>TableARS[[#This Row],[ARIMAPP]]*$I$2+TableARS[[#This Row],[LSTMPP]]*$I$3</f>
        <v>28.427558487233945</v>
      </c>
      <c r="E14">
        <v>33</v>
      </c>
      <c r="F14">
        <f>ABS(TableARS[[#This Row],[PP]]-TableARS[[#This Row],[AP]])</f>
        <v>4.5724415127660549</v>
      </c>
    </row>
    <row r="15" spans="1:9" x14ac:dyDescent="0.2">
      <c r="A15" t="s">
        <v>23</v>
      </c>
      <c r="B15">
        <v>36.756756756756779</v>
      </c>
      <c r="C15">
        <v>33.755922269589327</v>
      </c>
      <c r="D15">
        <f>TableARS[[#This Row],[ARIMAPP]]*$I$2+TableARS[[#This Row],[LSTMPP]]*$I$3</f>
        <v>39.052906178664358</v>
      </c>
      <c r="E15">
        <v>34</v>
      </c>
      <c r="F15">
        <f>ABS(TableARS[[#This Row],[PP]]-TableARS[[#This Row],[AP]])</f>
        <v>5.0529061786643581</v>
      </c>
    </row>
    <row r="16" spans="1:9" x14ac:dyDescent="0.2">
      <c r="A16" t="s">
        <v>24</v>
      </c>
      <c r="B16">
        <v>19.473684210526319</v>
      </c>
      <c r="C16">
        <v>24</v>
      </c>
      <c r="D16">
        <f>TableARS[[#This Row],[ARIMAPP]]*$I$2+TableARS[[#This Row],[LSTMPP]]*$I$3</f>
        <v>23.987678948833945</v>
      </c>
      <c r="E16">
        <v>23</v>
      </c>
      <c r="F16">
        <f>ABS(TableARS[[#This Row],[PP]]-TableARS[[#This Row],[AP]])</f>
        <v>0.98767894883394547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25</v>
      </c>
      <c r="B2">
        <v>24.844784364010099</v>
      </c>
      <c r="C2">
        <v>34.28587685228851</v>
      </c>
      <c r="D2">
        <f>TableAVL[[#This Row],[ARIMAPP]]*$I$2+TableAVL[[#This Row],[LSTMPP]]*$I$3</f>
        <v>31.588452797664171</v>
      </c>
      <c r="E2">
        <v>23</v>
      </c>
      <c r="F2">
        <f>ABS(TableAVL[[#This Row],[PP]]-TableAVL[[#This Row],[AP]])</f>
        <v>8.5884527976641714</v>
      </c>
      <c r="H2" t="s">
        <v>0</v>
      </c>
      <c r="I2">
        <v>0.61316742044138983</v>
      </c>
    </row>
    <row r="3" spans="1:9" x14ac:dyDescent="0.2">
      <c r="A3" t="s">
        <v>26</v>
      </c>
      <c r="B3">
        <v>52.14713338524524</v>
      </c>
      <c r="C3">
        <v>26.712962962962969</v>
      </c>
      <c r="D3">
        <f>TableAVL[[#This Row],[ARIMAPP]]*$I$2+TableAVL[[#This Row],[LSTMPP]]*$I$3</f>
        <v>44.717066742372523</v>
      </c>
      <c r="E3">
        <v>57</v>
      </c>
      <c r="F3">
        <f>ABS(TableAVL[[#This Row],[PP]]-TableAVL[[#This Row],[AP]])</f>
        <v>12.282933257627477</v>
      </c>
      <c r="H3" t="s">
        <v>1</v>
      </c>
      <c r="I3">
        <v>0.47700225163323773</v>
      </c>
    </row>
    <row r="4" spans="1:9" x14ac:dyDescent="0.2">
      <c r="A4" t="s">
        <v>27</v>
      </c>
      <c r="B4">
        <v>29.692307692307661</v>
      </c>
      <c r="C4">
        <v>29.66346153846154</v>
      </c>
      <c r="D4">
        <f>TableAVL[[#This Row],[ARIMAPP]]*$I$2+TableAVL[[#This Row],[LSTMPP]]*$I$3</f>
        <v>32.355893659726426</v>
      </c>
      <c r="E4">
        <v>38</v>
      </c>
      <c r="F4">
        <f>ABS(TableAVL[[#This Row],[PP]]-TableAVL[[#This Row],[AP]])</f>
        <v>5.6441063402735736</v>
      </c>
    </row>
    <row r="5" spans="1:9" x14ac:dyDescent="0.2">
      <c r="A5" t="s">
        <v>28</v>
      </c>
      <c r="B5">
        <v>28.56000000000002</v>
      </c>
      <c r="C5">
        <v>28.70000000000001</v>
      </c>
      <c r="D5">
        <f>TableAVL[[#This Row],[ARIMAPP]]*$I$2+TableAVL[[#This Row],[LSTMPP]]*$I$3</f>
        <v>31.202026149680037</v>
      </c>
      <c r="E5">
        <v>25</v>
      </c>
      <c r="F5">
        <f>ABS(TableAVL[[#This Row],[PP]]-TableAVL[[#This Row],[AP]])</f>
        <v>6.2020261496800373</v>
      </c>
      <c r="H5" t="s">
        <v>2</v>
      </c>
      <c r="I5" cm="1">
        <f t="array" ref="I5">(SUM(TableAVL[PP]-TableAVL[AP]))^2</f>
        <v>5.0487097934144756E-29</v>
      </c>
    </row>
    <row r="6" spans="1:9" x14ac:dyDescent="0.2">
      <c r="A6" t="s">
        <v>29</v>
      </c>
      <c r="B6">
        <v>43.01886792452833</v>
      </c>
      <c r="C6">
        <v>34.523809523809533</v>
      </c>
      <c r="D6">
        <f>TableAVL[[#This Row],[ARIMAPP]]*$I$2+TableAVL[[#This Row],[LSTMPP]]*$I$3</f>
        <v>42.845703153406049</v>
      </c>
      <c r="E6">
        <v>70</v>
      </c>
      <c r="F6">
        <f>ABS(TableAVL[[#This Row],[PP]]-TableAVL[[#This Row],[AP]])</f>
        <v>27.154296846593951</v>
      </c>
    </row>
    <row r="7" spans="1:9" x14ac:dyDescent="0.2">
      <c r="A7" t="s">
        <v>30</v>
      </c>
      <c r="B7">
        <v>26.862745098039209</v>
      </c>
      <c r="C7">
        <v>28.500000000000011</v>
      </c>
      <c r="D7">
        <f>TableAVL[[#This Row],[ARIMAPP]]*$I$2+TableAVL[[#This Row],[LSTMPP]]*$I$3</f>
        <v>30.065924289286571</v>
      </c>
      <c r="E7">
        <v>38</v>
      </c>
      <c r="F7">
        <f>ABS(TableAVL[[#This Row],[PP]]-TableAVL[[#This Row],[AP]])</f>
        <v>7.9340757107134294</v>
      </c>
      <c r="H7" t="s">
        <v>3</v>
      </c>
      <c r="I7">
        <f>AVERAGE(TableAVL[DIFF])/10</f>
        <v>1.148026196575552</v>
      </c>
    </row>
    <row r="8" spans="1:9" x14ac:dyDescent="0.2">
      <c r="A8" t="s">
        <v>31</v>
      </c>
      <c r="B8">
        <v>37.785361322395993</v>
      </c>
      <c r="C8">
        <v>26.08695652173914</v>
      </c>
      <c r="D8">
        <f>TableAVL[[#This Row],[ARIMAPP]]*$I$2+TableAVL[[#This Row],[LSTMPP]]*$I$3</f>
        <v>35.612289531627361</v>
      </c>
      <c r="E8">
        <v>23</v>
      </c>
      <c r="F8">
        <f>ABS(TableAVL[[#This Row],[PP]]-TableAVL[[#This Row],[AP]])</f>
        <v>12.612289531627361</v>
      </c>
    </row>
    <row r="9" spans="1:9" x14ac:dyDescent="0.2">
      <c r="A9" t="s">
        <v>32</v>
      </c>
      <c r="B9">
        <v>35.945945945945958</v>
      </c>
      <c r="C9">
        <v>32.068965517241381</v>
      </c>
      <c r="D9">
        <f>TableAVL[[#This Row],[ARIMAPP]]*$I$2+TableAVL[[#This Row],[LSTMPP]]*$I$3</f>
        <v>37.337851710274116</v>
      </c>
      <c r="E9">
        <v>25</v>
      </c>
      <c r="F9">
        <f>ABS(TableAVL[[#This Row],[PP]]-TableAVL[[#This Row],[AP]])</f>
        <v>12.337851710274116</v>
      </c>
    </row>
    <row r="10" spans="1:9" x14ac:dyDescent="0.2">
      <c r="A10" t="s">
        <v>33</v>
      </c>
      <c r="B10">
        <v>73.333333333333343</v>
      </c>
      <c r="C10">
        <v>35</v>
      </c>
      <c r="D10">
        <f>TableAVL[[#This Row],[ARIMAPP]]*$I$2+TableAVL[[#This Row],[LSTMPP]]*$I$3</f>
        <v>61.660689639531917</v>
      </c>
      <c r="E10">
        <v>44</v>
      </c>
      <c r="F10">
        <f>ABS(TableAVL[[#This Row],[PP]]-TableAVL[[#This Row],[AP]])</f>
        <v>17.660689639531917</v>
      </c>
    </row>
    <row r="11" spans="1:9" x14ac:dyDescent="0.2">
      <c r="A11" t="s">
        <v>34</v>
      </c>
      <c r="B11">
        <v>34.909262551483373</v>
      </c>
      <c r="C11">
        <v>25.595015152284521</v>
      </c>
      <c r="D11">
        <f>TableAVL[[#This Row],[ARIMAPP]]*$I$2+TableAVL[[#This Row],[LSTMPP]]*$I$3</f>
        <v>33.614102326430825</v>
      </c>
      <c r="E11">
        <v>38</v>
      </c>
      <c r="F11">
        <f>ABS(TableAVL[[#This Row],[PP]]-TableAVL[[#This Row],[AP]])</f>
        <v>4.3858976735691755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35</v>
      </c>
      <c r="B2">
        <v>26.292825711222921</v>
      </c>
      <c r="C2">
        <v>26.987179487179489</v>
      </c>
      <c r="D2">
        <f>TableBOU[[#This Row],[ARIMAPP]]*$I$2+TableBOU[[#This Row],[LSTMPP]]*$I$3</f>
        <v>29.829007768182123</v>
      </c>
      <c r="E2">
        <v>28</v>
      </c>
      <c r="F2">
        <f>ABS(TableBOU[[#This Row],[PP]]-TableBOU[[#This Row],[AP]])</f>
        <v>1.8290077681821231</v>
      </c>
      <c r="H2" t="s">
        <v>0</v>
      </c>
      <c r="I2">
        <v>0.56334805920289266</v>
      </c>
    </row>
    <row r="3" spans="1:9" x14ac:dyDescent="0.2">
      <c r="A3" t="s">
        <v>36</v>
      </c>
      <c r="B3">
        <v>38.23186300483799</v>
      </c>
      <c r="C3">
        <v>27.295081967213122</v>
      </c>
      <c r="D3">
        <f>TableBOU[[#This Row],[ARIMAPP]]*$I$2+TableBOU[[#This Row],[LSTMPP]]*$I$3</f>
        <v>36.726173356357791</v>
      </c>
      <c r="E3">
        <v>44</v>
      </c>
      <c r="F3">
        <f>ABS(TableBOU[[#This Row],[PP]]-TableBOU[[#This Row],[AP]])</f>
        <v>7.2738266436422094</v>
      </c>
      <c r="H3" t="s">
        <v>1</v>
      </c>
      <c r="I3">
        <v>0.55644923694003445</v>
      </c>
    </row>
    <row r="4" spans="1:9" x14ac:dyDescent="0.2">
      <c r="A4" t="s">
        <v>37</v>
      </c>
      <c r="B4">
        <v>23.103448275862061</v>
      </c>
      <c r="C4">
        <v>26.739130434782609</v>
      </c>
      <c r="D4">
        <f>TableBOU[[#This Row],[ARIMAPP]]*$I$2+TableBOU[[#This Row],[LSTMPP]]*$I$3</f>
        <v>27.894251473976141</v>
      </c>
      <c r="E4">
        <v>22</v>
      </c>
      <c r="F4">
        <f>ABS(TableBOU[[#This Row],[PP]]-TableBOU[[#This Row],[AP]])</f>
        <v>5.8942514739761407</v>
      </c>
    </row>
    <row r="5" spans="1:9" x14ac:dyDescent="0.2">
      <c r="A5" t="s">
        <v>38</v>
      </c>
      <c r="B5">
        <v>19.117647058823529</v>
      </c>
      <c r="C5">
        <v>24.25925925925926</v>
      </c>
      <c r="D5">
        <f>TableBOU[[#This Row],[ARIMAPP]]*$I$2+TableBOU[[#This Row],[LSTMPP]]*$I$3</f>
        <v>24.268935670659406</v>
      </c>
      <c r="E5">
        <v>23</v>
      </c>
      <c r="F5">
        <f>ABS(TableBOU[[#This Row],[PP]]-TableBOU[[#This Row],[AP]])</f>
        <v>1.2689356706594062</v>
      </c>
      <c r="H5" t="s">
        <v>2</v>
      </c>
      <c r="I5" cm="1">
        <f t="array" ref="I5">(SUM(TableBOU[PP]-TableBOU[AP]))^2</f>
        <v>4.543838814073028E-28</v>
      </c>
    </row>
    <row r="6" spans="1:9" x14ac:dyDescent="0.2">
      <c r="A6" t="s">
        <v>39</v>
      </c>
      <c r="B6">
        <v>43.969205867832308</v>
      </c>
      <c r="C6">
        <v>35</v>
      </c>
      <c r="D6">
        <f>TableBOU[[#This Row],[ARIMAPP]]*$I$2+TableBOU[[#This Row],[LSTMPP]]*$I$3</f>
        <v>44.24569008323698</v>
      </c>
      <c r="E6">
        <v>37</v>
      </c>
      <c r="F6">
        <f>ABS(TableBOU[[#This Row],[PP]]-TableBOU[[#This Row],[AP]])</f>
        <v>7.2456900832369797</v>
      </c>
    </row>
    <row r="7" spans="1:9" x14ac:dyDescent="0.2">
      <c r="A7" t="s">
        <v>40</v>
      </c>
      <c r="B7">
        <v>34.444444444444457</v>
      </c>
      <c r="C7">
        <v>38.778107271402106</v>
      </c>
      <c r="D7">
        <f>TableBOU[[#This Row],[ARIMAPP]]*$I$2+TableBOU[[#This Row],[LSTMPP]]*$I$3</f>
        <v>40.982259129250153</v>
      </c>
      <c r="E7">
        <v>39</v>
      </c>
      <c r="F7">
        <f>ABS(TableBOU[[#This Row],[PP]]-TableBOU[[#This Row],[AP]])</f>
        <v>1.9822591292501528</v>
      </c>
      <c r="H7" t="s">
        <v>3</v>
      </c>
      <c r="I7">
        <f>AVERAGE(TableBOU[DIFF])/10</f>
        <v>0.52057554643728043</v>
      </c>
    </row>
    <row r="8" spans="1:9" x14ac:dyDescent="0.2">
      <c r="A8" t="s">
        <v>41</v>
      </c>
      <c r="B8">
        <v>17</v>
      </c>
      <c r="C8">
        <v>20.625</v>
      </c>
      <c r="D8">
        <f>TableBOU[[#This Row],[ARIMAPP]]*$I$2+TableBOU[[#This Row],[LSTMPP]]*$I$3</f>
        <v>21.053682518337386</v>
      </c>
      <c r="E8">
        <v>32</v>
      </c>
      <c r="F8">
        <f>ABS(TableBOU[[#This Row],[PP]]-TableBOU[[#This Row],[AP]])</f>
        <v>10.946317481662614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42</v>
      </c>
      <c r="B2">
        <v>15.604354180238101</v>
      </c>
      <c r="C2">
        <v>30.7</v>
      </c>
      <c r="D2">
        <f>TableBRE[[#This Row],[ARIMAPP]]*$I$2+TableBRE[[#This Row],[LSTMPP]]*$I$3</f>
        <v>24.591499283310469</v>
      </c>
      <c r="E2">
        <v>23</v>
      </c>
      <c r="F2">
        <f>ABS(TableBRE[[#This Row],[PP]]-TableBRE[[#This Row],[AP]])</f>
        <v>1.5914992833104691</v>
      </c>
      <c r="H2" t="s">
        <v>0</v>
      </c>
      <c r="I2">
        <v>0.53694801571470374</v>
      </c>
    </row>
    <row r="3" spans="1:9" x14ac:dyDescent="0.2">
      <c r="A3" t="s">
        <v>43</v>
      </c>
      <c r="B3">
        <v>31.25</v>
      </c>
      <c r="C3">
        <v>29.659090909090899</v>
      </c>
      <c r="D3">
        <f>TableBRE[[#This Row],[ARIMAPP]]*$I$2+TableBRE[[#This Row],[LSTMPP]]*$I$3</f>
        <v>32.44269020235739</v>
      </c>
      <c r="E3">
        <v>25</v>
      </c>
      <c r="F3">
        <f>ABS(TableBRE[[#This Row],[PP]]-TableBRE[[#This Row],[AP]])</f>
        <v>7.4426902023573902</v>
      </c>
      <c r="H3" t="s">
        <v>1</v>
      </c>
      <c r="I3">
        <v>0.52810333126130871</v>
      </c>
    </row>
    <row r="4" spans="1:9" x14ac:dyDescent="0.2">
      <c r="A4" t="s">
        <v>44</v>
      </c>
      <c r="B4">
        <v>32.786885245901651</v>
      </c>
      <c r="C4">
        <v>29.791666666666671</v>
      </c>
      <c r="D4">
        <f>TableBRE[[#This Row],[ARIMAPP]]*$I$2+TableBRE[[#This Row],[LSTMPP]]*$I$3</f>
        <v>33.337931384745744</v>
      </c>
      <c r="E4">
        <v>33</v>
      </c>
      <c r="F4">
        <f>ABS(TableBRE[[#This Row],[PP]]-TableBRE[[#This Row],[AP]])</f>
        <v>0.33793138474574391</v>
      </c>
    </row>
    <row r="5" spans="1:9" x14ac:dyDescent="0.2">
      <c r="A5" t="s">
        <v>45</v>
      </c>
      <c r="B5">
        <v>26.818181818181809</v>
      </c>
      <c r="C5">
        <v>27.78846153846154</v>
      </c>
      <c r="D5">
        <f>TableBRE[[#This Row],[ARIMAPP]]*$I$2+TableBRE[[#This Row],[LSTMPP]]*$I$3</f>
        <v>29.075148621437158</v>
      </c>
      <c r="E5">
        <v>23</v>
      </c>
      <c r="F5">
        <f>ABS(TableBRE[[#This Row],[PP]]-TableBRE[[#This Row],[AP]])</f>
        <v>6.0751486214371582</v>
      </c>
      <c r="H5" t="s">
        <v>2</v>
      </c>
      <c r="I5" cm="1">
        <f t="array" ref="I5">(SUM(TableBRE[PP]-TableBRE[AP]))^2</f>
        <v>4.0894549326657252E-27</v>
      </c>
    </row>
    <row r="6" spans="1:9" x14ac:dyDescent="0.2">
      <c r="A6" t="s">
        <v>46</v>
      </c>
      <c r="B6">
        <v>38.493150684931543</v>
      </c>
      <c r="C6">
        <v>34.362330708678137</v>
      </c>
      <c r="D6">
        <f>TableBRE[[#This Row],[ARIMAPP]]*$I$2+TableBRE[[#This Row],[LSTMPP]]*$I$3</f>
        <v>38.815682196036775</v>
      </c>
      <c r="E6">
        <v>51</v>
      </c>
      <c r="F6">
        <f>ABS(TableBRE[[#This Row],[PP]]-TableBRE[[#This Row],[AP]])</f>
        <v>12.184317803963225</v>
      </c>
    </row>
    <row r="7" spans="1:9" x14ac:dyDescent="0.2">
      <c r="A7" t="s">
        <v>47</v>
      </c>
      <c r="B7">
        <v>32.647058823529413</v>
      </c>
      <c r="C7">
        <v>30.74074074074073</v>
      </c>
      <c r="D7">
        <f>TableBRE[[#This Row],[ARIMAPP]]*$I$2+TableBRE[[#This Row],[LSTMPP]]*$I$3</f>
        <v>33.764061044840737</v>
      </c>
      <c r="E7">
        <v>21</v>
      </c>
      <c r="F7">
        <f>ABS(TableBRE[[#This Row],[PP]]-TableBRE[[#This Row],[AP]])</f>
        <v>12.764061044840737</v>
      </c>
      <c r="H7" t="s">
        <v>3</v>
      </c>
      <c r="I7">
        <f>AVERAGE(TableBRE[DIFF])/10</f>
        <v>0.74237930725982126</v>
      </c>
    </row>
    <row r="8" spans="1:9" x14ac:dyDescent="0.2">
      <c r="A8" t="s">
        <v>48</v>
      </c>
      <c r="B8">
        <v>35.496600678249663</v>
      </c>
      <c r="C8">
        <v>28.867924528301891</v>
      </c>
      <c r="D8">
        <f>TableBRE[[#This Row],[ARIMAPP]]*$I$2+TableBRE[[#This Row],[LSTMPP]]*$I$3</f>
        <v>34.305076408799636</v>
      </c>
      <c r="E8">
        <v>28</v>
      </c>
      <c r="F8">
        <f>ABS(TableBRE[[#This Row],[PP]]-TableBRE[[#This Row],[AP]])</f>
        <v>6.3050764087996356</v>
      </c>
    </row>
    <row r="9" spans="1:9" x14ac:dyDescent="0.2">
      <c r="A9" t="s">
        <v>49</v>
      </c>
      <c r="B9">
        <v>33.622288381029179</v>
      </c>
      <c r="C9">
        <v>26.53846153846154</v>
      </c>
      <c r="D9">
        <f>TableBRE[[#This Row],[ARIMAPP]]*$I$2+TableBRE[[#This Row],[LSTMPP]]*$I$3</f>
        <v>32.068470974992806</v>
      </c>
      <c r="E9">
        <v>51</v>
      </c>
      <c r="F9">
        <f>ABS(TableBRE[[#This Row],[PP]]-TableBRE[[#This Row],[AP]])</f>
        <v>18.931529025007194</v>
      </c>
    </row>
    <row r="10" spans="1:9" x14ac:dyDescent="0.2">
      <c r="A10" t="s">
        <v>50</v>
      </c>
      <c r="B10">
        <v>23.777777777777771</v>
      </c>
      <c r="C10">
        <v>26.944444444444439</v>
      </c>
      <c r="D10">
        <f>TableBRE[[#This Row],[ARIMAPP]]*$I$2+TableBRE[[#This Row],[LSTMPP]]*$I$3</f>
        <v>26.996881465979321</v>
      </c>
      <c r="E10">
        <v>33</v>
      </c>
      <c r="F10">
        <f>ABS(TableBRE[[#This Row],[PP]]-TableBRE[[#This Row],[AP]])</f>
        <v>6.003118534020679</v>
      </c>
    </row>
    <row r="11" spans="1:9" x14ac:dyDescent="0.2">
      <c r="A11" t="s">
        <v>51</v>
      </c>
      <c r="B11">
        <v>23.91304347826086</v>
      </c>
      <c r="C11">
        <v>24.166666666666671</v>
      </c>
      <c r="D11">
        <f>TableBRE[[#This Row],[ARIMAPP]]*$I$2+TableBRE[[#This Row],[LSTMPP]]*$I$3</f>
        <v>25.6025584174999</v>
      </c>
      <c r="E11">
        <v>23</v>
      </c>
      <c r="F11">
        <f>ABS(TableBRE[[#This Row],[PP]]-TableBRE[[#This Row],[AP]])</f>
        <v>2.6025584174998997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52</v>
      </c>
      <c r="B2">
        <v>33.835616438356169</v>
      </c>
      <c r="C2">
        <v>31.5948275862069</v>
      </c>
      <c r="D2">
        <f>TableBHA[[#This Row],[ARIMAPP]]*$I$2+TableBHA[[#This Row],[LSTMPP]]*$I$3</f>
        <v>34.84859883512285</v>
      </c>
      <c r="E2">
        <v>48</v>
      </c>
      <c r="F2">
        <f>ABS(TableBHA[[#This Row],[PP]]-TableBHA[[#This Row],[AP]])</f>
        <v>13.15140116487715</v>
      </c>
      <c r="H2" t="s">
        <v>0</v>
      </c>
      <c r="I2">
        <v>0.54892072825957328</v>
      </c>
    </row>
    <row r="3" spans="1:9" x14ac:dyDescent="0.2">
      <c r="A3" t="s">
        <v>53</v>
      </c>
      <c r="B3">
        <v>17.608695652165451</v>
      </c>
      <c r="C3">
        <v>24.027777777777779</v>
      </c>
      <c r="D3">
        <f>TableBHA[[#This Row],[ARIMAPP]]*$I$2+TableBHA[[#This Row],[LSTMPP]]*$I$3</f>
        <v>22.043271153542189</v>
      </c>
      <c r="E3">
        <v>29</v>
      </c>
      <c r="F3">
        <f>ABS(TableBHA[[#This Row],[PP]]-TableBHA[[#This Row],[AP]])</f>
        <v>6.9567288464578105</v>
      </c>
      <c r="H3" t="s">
        <v>1</v>
      </c>
      <c r="I3">
        <v>0.51513266132757973</v>
      </c>
    </row>
    <row r="4" spans="1:9" x14ac:dyDescent="0.2">
      <c r="A4" t="s">
        <v>54</v>
      </c>
      <c r="B4">
        <v>20.909090909090899</v>
      </c>
      <c r="C4">
        <v>24.42307692307693</v>
      </c>
      <c r="D4">
        <f>TableBHA[[#This Row],[ARIMAPP]]*$I$2+TableBHA[[#This Row],[LSTMPP]]*$I$3</f>
        <v>24.058558022256616</v>
      </c>
      <c r="E4">
        <v>34</v>
      </c>
      <c r="F4">
        <f>ABS(TableBHA[[#This Row],[PP]]-TableBHA[[#This Row],[AP]])</f>
        <v>9.9414419777433842</v>
      </c>
    </row>
    <row r="5" spans="1:9" x14ac:dyDescent="0.2">
      <c r="A5" t="s">
        <v>55</v>
      </c>
      <c r="B5">
        <v>52.499999999999993</v>
      </c>
      <c r="C5">
        <v>43.618647840834399</v>
      </c>
      <c r="D5">
        <f>TableBHA[[#This Row],[ARIMAPP]]*$I$2+TableBHA[[#This Row],[LSTMPP]]*$I$3</f>
        <v>51.287728379387104</v>
      </c>
      <c r="E5">
        <v>21</v>
      </c>
      <c r="F5">
        <f>ABS(TableBHA[[#This Row],[PP]]-TableBHA[[#This Row],[AP]])</f>
        <v>30.287728379387104</v>
      </c>
      <c r="H5" t="s">
        <v>2</v>
      </c>
      <c r="I5" cm="1">
        <f t="array" ref="I5">(SUM(TableBHA[PP]-TableBHA[AP]))^2</f>
        <v>5.0487097934144756E-29</v>
      </c>
    </row>
    <row r="6" spans="1:9" x14ac:dyDescent="0.2">
      <c r="A6" t="s">
        <v>56</v>
      </c>
      <c r="B6">
        <v>28.94736842105263</v>
      </c>
      <c r="C6">
        <v>30</v>
      </c>
      <c r="D6">
        <f>TableBHA[[#This Row],[ARIMAPP]]*$I$2+TableBHA[[#This Row],[LSTMPP]]*$I$3</f>
        <v>31.343790394709778</v>
      </c>
      <c r="E6">
        <v>40</v>
      </c>
      <c r="F6">
        <f>ABS(TableBHA[[#This Row],[PP]]-TableBHA[[#This Row],[AP]])</f>
        <v>8.656209605290222</v>
      </c>
    </row>
    <row r="7" spans="1:9" x14ac:dyDescent="0.2">
      <c r="A7" t="s">
        <v>57</v>
      </c>
      <c r="B7">
        <v>47.68224283061258</v>
      </c>
      <c r="C7">
        <v>35.416666666666671</v>
      </c>
      <c r="D7">
        <f>TableBHA[[#This Row],[ARIMAPP]]*$I$2+TableBHA[[#This Row],[LSTMPP]]*$I$3</f>
        <v>44.418053214981455</v>
      </c>
      <c r="E7">
        <v>36</v>
      </c>
      <c r="F7">
        <f>ABS(TableBHA[[#This Row],[PP]]-TableBHA[[#This Row],[AP]])</f>
        <v>8.4180532149814553</v>
      </c>
      <c r="H7" t="s">
        <v>3</v>
      </c>
      <c r="I7">
        <f>AVERAGE(TableBHA[DIFF])/10</f>
        <v>1.2901927198122853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58</v>
      </c>
      <c r="B2">
        <v>23.333333333333329</v>
      </c>
      <c r="C2">
        <v>25.17543859649123</v>
      </c>
      <c r="D2">
        <f>TableBUR[[#This Row],[ARIMAPP]]*$I$2+TableBUR[[#This Row],[LSTMPP]]*$I$3</f>
        <v>27</v>
      </c>
      <c r="E2">
        <v>27</v>
      </c>
      <c r="F2">
        <f>ABS(TableBUR[[#This Row],[PP]]-TableBUR[[#This Row],[AP]])</f>
        <v>0</v>
      </c>
      <c r="H2" t="s">
        <v>0</v>
      </c>
      <c r="I2">
        <v>0.53469256852550817</v>
      </c>
    </row>
    <row r="3" spans="1:9" x14ac:dyDescent="0.2">
      <c r="H3" t="s">
        <v>1</v>
      </c>
      <c r="I3">
        <v>0.57690514554778694</v>
      </c>
    </row>
    <row r="5" spans="1:9" x14ac:dyDescent="0.2">
      <c r="H5" t="s">
        <v>2</v>
      </c>
      <c r="I5">
        <f>(SUM(TableBUR[PP]-TableBUR[AP]))^2</f>
        <v>0</v>
      </c>
    </row>
    <row r="7" spans="1:9" x14ac:dyDescent="0.2">
      <c r="H7" t="s">
        <v>3</v>
      </c>
      <c r="I7">
        <f>AVERAGE(TableBUR[DIFF])/10</f>
        <v>0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59</v>
      </c>
      <c r="B2">
        <v>46.558421522277563</v>
      </c>
      <c r="C2">
        <v>57.873495417682108</v>
      </c>
      <c r="D2">
        <f>TableCHE[[#This Row],[ARIMAPP]]*$I$2+TableCHE[[#This Row],[LSTMPP]]*$I$3</f>
        <v>65.136444136349994</v>
      </c>
      <c r="E2">
        <v>43</v>
      </c>
      <c r="F2">
        <f>ABS(TableCHE[[#This Row],[PP]]-TableCHE[[#This Row],[AP]])</f>
        <v>22.136444136349994</v>
      </c>
      <c r="H2" t="s">
        <v>0</v>
      </c>
      <c r="I2">
        <v>0.54032087883195368</v>
      </c>
    </row>
    <row r="3" spans="1:9" x14ac:dyDescent="0.2">
      <c r="A3" t="s">
        <v>60</v>
      </c>
      <c r="B3">
        <v>28.324286941810879</v>
      </c>
      <c r="C3">
        <v>28.896103896103899</v>
      </c>
      <c r="D3">
        <f>TableCHE[[#This Row],[ARIMAPP]]*$I$2+TableCHE[[#This Row],[LSTMPP]]*$I$3</f>
        <v>35.266104653499298</v>
      </c>
      <c r="E3">
        <v>40</v>
      </c>
      <c r="F3">
        <f>ABS(TableCHE[[#This Row],[PP]]-TableCHE[[#This Row],[AP]])</f>
        <v>4.7338953465007023</v>
      </c>
      <c r="H3" t="s">
        <v>1</v>
      </c>
      <c r="I3">
        <v>0.69081635062584001</v>
      </c>
    </row>
    <row r="4" spans="1:9" x14ac:dyDescent="0.2">
      <c r="A4" t="s">
        <v>61</v>
      </c>
      <c r="B4">
        <v>35.116279069767479</v>
      </c>
      <c r="C4">
        <v>32.393117712881427</v>
      </c>
      <c r="D4">
        <f>TableCHE[[#This Row],[ARIMAPP]]*$I$2+TableCHE[[#This Row],[LSTMPP]]*$I$3</f>
        <v>41.35175413209091</v>
      </c>
      <c r="E4">
        <v>33</v>
      </c>
      <c r="F4">
        <f>ABS(TableCHE[[#This Row],[PP]]-TableCHE[[#This Row],[AP]])</f>
        <v>8.3517541320909103</v>
      </c>
    </row>
    <row r="5" spans="1:9" x14ac:dyDescent="0.2">
      <c r="A5" t="s">
        <v>62</v>
      </c>
      <c r="B5">
        <v>12.076168361302701</v>
      </c>
      <c r="C5">
        <v>18.928571428571431</v>
      </c>
      <c r="D5">
        <f>TableCHE[[#This Row],[ARIMAPP]]*$I$2+TableCHE[[#This Row],[LSTMPP]]*$I$3</f>
        <v>19.601172538747967</v>
      </c>
      <c r="E5">
        <v>48</v>
      </c>
      <c r="F5">
        <f>ABS(TableCHE[[#This Row],[PP]]-TableCHE[[#This Row],[AP]])</f>
        <v>28.398827461252033</v>
      </c>
      <c r="H5" t="s">
        <v>2</v>
      </c>
      <c r="I5" cm="1">
        <f t="array" ref="I5">(SUM(TableCHE[PP]-TableCHE[AP]))^2</f>
        <v>2.0194839173657902E-28</v>
      </c>
    </row>
    <row r="6" spans="1:9" x14ac:dyDescent="0.2">
      <c r="A6" t="s">
        <v>63</v>
      </c>
      <c r="B6">
        <v>34.827586206896562</v>
      </c>
      <c r="C6">
        <v>33.295853623778022</v>
      </c>
      <c r="D6">
        <f>TableCHE[[#This Row],[ARIMAPP]]*$I$2+TableCHE[[#This Row],[LSTMPP]]*$I$3</f>
        <v>41.819392078256456</v>
      </c>
      <c r="E6">
        <v>28</v>
      </c>
      <c r="F6">
        <f>ABS(TableCHE[[#This Row],[PP]]-TableCHE[[#This Row],[AP]])</f>
        <v>13.819392078256456</v>
      </c>
    </row>
    <row r="7" spans="1:9" x14ac:dyDescent="0.2">
      <c r="A7" t="s">
        <v>64</v>
      </c>
      <c r="B7">
        <v>21.889492043133998</v>
      </c>
      <c r="C7">
        <v>27.155992810353169</v>
      </c>
      <c r="D7">
        <f>TableCHE[[#This Row],[ARIMAPP]]*$I$2+TableCHE[[#This Row],[LSTMPP]]*$I$3</f>
        <v>30.587153428800946</v>
      </c>
      <c r="E7">
        <v>32</v>
      </c>
      <c r="F7">
        <f>ABS(TableCHE[[#This Row],[PP]]-TableCHE[[#This Row],[AP]])</f>
        <v>1.4128465711990543</v>
      </c>
      <c r="H7" t="s">
        <v>3</v>
      </c>
      <c r="I7">
        <f>AVERAGE(TableCHE[DIFF])/10</f>
        <v>1.1076897586674341</v>
      </c>
    </row>
    <row r="8" spans="1:9" x14ac:dyDescent="0.2">
      <c r="A8" t="s">
        <v>65</v>
      </c>
      <c r="B8">
        <v>18.225370321357449</v>
      </c>
      <c r="C8">
        <v>23.63636363636364</v>
      </c>
      <c r="D8">
        <f>TableCHE[[#This Row],[ARIMAPP]]*$I$2+TableCHE[[#This Row],[LSTMPP]]*$I$3</f>
        <v>26.175934578411702</v>
      </c>
      <c r="E8">
        <v>30</v>
      </c>
      <c r="F8">
        <f>ABS(TableCHE[[#This Row],[PP]]-TableCHE[[#This Row],[AP]])</f>
        <v>3.8240654215882977</v>
      </c>
    </row>
    <row r="9" spans="1:9" x14ac:dyDescent="0.2">
      <c r="A9" t="s">
        <v>66</v>
      </c>
      <c r="B9">
        <v>-1.73120311469365</v>
      </c>
      <c r="C9">
        <v>27.5</v>
      </c>
      <c r="D9">
        <f>TableCHE[[#This Row],[ARIMAPP]]*$I$2+TableCHE[[#This Row],[LSTMPP]]*$I$3</f>
        <v>18.062044453842713</v>
      </c>
      <c r="E9">
        <v>24</v>
      </c>
      <c r="F9">
        <f>ABS(TableCHE[[#This Row],[PP]]-TableCHE[[#This Row],[AP]])</f>
        <v>5.937955546157287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67</v>
      </c>
      <c r="B2">
        <v>26.861313868613131</v>
      </c>
      <c r="C2">
        <v>28.669724770642201</v>
      </c>
      <c r="D2">
        <f>TableCRY[[#This Row],[ARIMAPP]]*$I$2+TableCRY[[#This Row],[LSTMPP]]*$I$3</f>
        <v>30.214187942140882</v>
      </c>
      <c r="E2">
        <v>27</v>
      </c>
      <c r="F2">
        <f>ABS(TableCRY[[#This Row],[PP]]-TableCRY[[#This Row],[AP]])</f>
        <v>3.2141879421408817</v>
      </c>
      <c r="H2" t="s">
        <v>0</v>
      </c>
      <c r="I2">
        <v>0.53389422362294658</v>
      </c>
    </row>
    <row r="3" spans="1:9" x14ac:dyDescent="0.2">
      <c r="A3" t="s">
        <v>68</v>
      </c>
      <c r="B3">
        <v>21.56862745098039</v>
      </c>
      <c r="C3">
        <v>25.92592592592592</v>
      </c>
      <c r="D3">
        <f>TableCRY[[#This Row],[ARIMAPP]]*$I$2+TableCRY[[#This Row],[LSTMPP]]*$I$3</f>
        <v>25.869339961032846</v>
      </c>
      <c r="E3">
        <v>20</v>
      </c>
      <c r="F3">
        <f>ABS(TableCRY[[#This Row],[PP]]-TableCRY[[#This Row],[AP]])</f>
        <v>5.8693399610328463</v>
      </c>
      <c r="H3" t="s">
        <v>1</v>
      </c>
      <c r="I3">
        <v>0.55365329649133677</v>
      </c>
    </row>
    <row r="4" spans="1:9" x14ac:dyDescent="0.2">
      <c r="A4" t="s">
        <v>69</v>
      </c>
      <c r="B4">
        <v>20.72968677107092</v>
      </c>
      <c r="C4">
        <v>27.5</v>
      </c>
      <c r="D4">
        <f>TableCRY[[#This Row],[ARIMAPP]]*$I$2+TableCRY[[#This Row],[LSTMPP]]*$I$3</f>
        <v>26.292925678099536</v>
      </c>
      <c r="E4">
        <v>23</v>
      </c>
      <c r="F4">
        <f>ABS(TableCRY[[#This Row],[PP]]-TableCRY[[#This Row],[AP]])</f>
        <v>3.292925678099536</v>
      </c>
    </row>
    <row r="5" spans="1:9" x14ac:dyDescent="0.2">
      <c r="A5" t="s">
        <v>70</v>
      </c>
      <c r="B5">
        <v>27.515923566878971</v>
      </c>
      <c r="C5">
        <v>28.79999999999999</v>
      </c>
      <c r="D5">
        <f>TableCRY[[#This Row],[ARIMAPP]]*$I$2+TableCRY[[#This Row],[LSTMPP]]*$I$3</f>
        <v>30.635807588957682</v>
      </c>
      <c r="E5">
        <v>27</v>
      </c>
      <c r="F5">
        <f>ABS(TableCRY[[#This Row],[PP]]-TableCRY[[#This Row],[AP]])</f>
        <v>3.6358075889576824</v>
      </c>
      <c r="H5" t="s">
        <v>2</v>
      </c>
      <c r="I5" cm="1">
        <f t="array" ref="I5">(SUM(TableCRY[PP]-TableCRY[AP]))^2</f>
        <v>8.0779356694631609E-28</v>
      </c>
    </row>
    <row r="6" spans="1:9" x14ac:dyDescent="0.2">
      <c r="A6" t="s">
        <v>71</v>
      </c>
      <c r="B6">
        <v>27.254801271364869</v>
      </c>
      <c r="C6">
        <v>28.648648648648649</v>
      </c>
      <c r="D6">
        <f>TableCRY[[#This Row],[ARIMAPP]]*$I$2+TableCRY[[#This Row],[LSTMPP]]*$I$3</f>
        <v>30.412599729119449</v>
      </c>
      <c r="E6">
        <v>39</v>
      </c>
      <c r="F6">
        <f>ABS(TableCRY[[#This Row],[PP]]-TableCRY[[#This Row],[AP]])</f>
        <v>8.5874002708805506</v>
      </c>
    </row>
    <row r="7" spans="1:9" x14ac:dyDescent="0.2">
      <c r="A7" t="s">
        <v>72</v>
      </c>
      <c r="B7">
        <v>36.749999999999979</v>
      </c>
      <c r="C7">
        <v>33.308696953957053</v>
      </c>
      <c r="D7">
        <f>TableCRY[[#This Row],[ARIMAPP]]*$I$2+TableCRY[[#This Row],[LSTMPP]]*$I$3</f>
        <v>38.062082588532547</v>
      </c>
      <c r="E7">
        <v>36</v>
      </c>
      <c r="F7">
        <f>ABS(TableCRY[[#This Row],[PP]]-TableCRY[[#This Row],[AP]])</f>
        <v>2.0620825885325473</v>
      </c>
      <c r="H7" t="s">
        <v>3</v>
      </c>
      <c r="I7">
        <f>AVERAGE(TableCRY[DIFF])/10</f>
        <v>0.41986475135963197</v>
      </c>
    </row>
    <row r="8" spans="1:9" x14ac:dyDescent="0.2">
      <c r="A8" t="s">
        <v>73</v>
      </c>
      <c r="B8">
        <v>36.666666666666693</v>
      </c>
      <c r="C8">
        <v>35.120499863206199</v>
      </c>
      <c r="D8">
        <f>TableCRY[[#This Row],[ARIMAPP]]*$I$2+TableCRY[[#This Row],[LSTMPP]]*$I$3</f>
        <v>39.020702056529046</v>
      </c>
      <c r="E8">
        <v>41</v>
      </c>
      <c r="F8">
        <f>ABS(TableCRY[[#This Row],[PP]]-TableCRY[[#This Row],[AP]])</f>
        <v>1.9792979434709537</v>
      </c>
    </row>
    <row r="9" spans="1:9" x14ac:dyDescent="0.2">
      <c r="A9" t="s">
        <v>74</v>
      </c>
      <c r="B9">
        <v>32.380983089510949</v>
      </c>
      <c r="C9">
        <v>31.284790126121671</v>
      </c>
      <c r="D9">
        <f>TableCRY[[#This Row],[ARIMAPP]]*$I$2+TableCRY[[#This Row],[LSTMPP]]*$I$3</f>
        <v>34.608947010089096</v>
      </c>
      <c r="E9">
        <v>39</v>
      </c>
      <c r="F9">
        <f>ABS(TableCRY[[#This Row],[PP]]-TableCRY[[#This Row],[AP]])</f>
        <v>4.3910529899109036</v>
      </c>
    </row>
    <row r="10" spans="1:9" x14ac:dyDescent="0.2">
      <c r="A10" t="s">
        <v>75</v>
      </c>
      <c r="B10">
        <v>20.1204459473071</v>
      </c>
      <c r="C10">
        <v>25.11363636363636</v>
      </c>
      <c r="D10">
        <f>TableCRY[[#This Row],[ARIMAPP]]*$I$2+TableCRY[[#This Row],[LSTMPP]]*$I$3</f>
        <v>24.646437427596965</v>
      </c>
      <c r="E10">
        <v>22</v>
      </c>
      <c r="F10">
        <f>ABS(TableCRY[[#This Row],[PP]]-TableCRY[[#This Row],[AP]])</f>
        <v>2.6464374275969647</v>
      </c>
    </row>
    <row r="11" spans="1:9" x14ac:dyDescent="0.2">
      <c r="A11" t="s">
        <v>76</v>
      </c>
      <c r="B11">
        <v>30</v>
      </c>
      <c r="C11">
        <v>29.017857142857149</v>
      </c>
      <c r="D11">
        <f>TableCRY[[#This Row],[ARIMAPP]]*$I$2+TableCRY[[#This Row],[LSTMPP]]*$I$3</f>
        <v>32.082658972945943</v>
      </c>
      <c r="E11">
        <v>35</v>
      </c>
      <c r="F11">
        <f>ABS(TableCRY[[#This Row],[PP]]-TableCRY[[#This Row],[AP]])</f>
        <v>2.9173410270540572</v>
      </c>
    </row>
    <row r="12" spans="1:9" x14ac:dyDescent="0.2">
      <c r="A12" t="s">
        <v>77</v>
      </c>
      <c r="B12">
        <v>29.685136434963962</v>
      </c>
      <c r="C12">
        <v>28.6</v>
      </c>
      <c r="D12">
        <f>TableCRY[[#This Row],[ARIMAPP]]*$I$2+TableCRY[[#This Row],[LSTMPP]]*$I$3</f>
        <v>31.683207149738561</v>
      </c>
      <c r="E12">
        <v>39</v>
      </c>
      <c r="F12">
        <f>ABS(TableCRY[[#This Row],[PP]]-TableCRY[[#This Row],[AP]])</f>
        <v>7.3167928502614394</v>
      </c>
    </row>
    <row r="13" spans="1:9" x14ac:dyDescent="0.2">
      <c r="A13" t="s">
        <v>78</v>
      </c>
      <c r="B13">
        <v>27.999999999999989</v>
      </c>
      <c r="C13">
        <v>28.035714285714281</v>
      </c>
      <c r="D13">
        <f>TableCRY[[#This Row],[ARIMAPP]]*$I$2+TableCRY[[#This Row],[LSTMPP]]*$I$3</f>
        <v>30.471103895217475</v>
      </c>
      <c r="E13">
        <v>26</v>
      </c>
      <c r="F13">
        <f>ABS(TableCRY[[#This Row],[PP]]-TableCRY[[#This Row],[AP]])</f>
        <v>4.4711038952174746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79</v>
      </c>
      <c r="B2">
        <v>31.733134299946339</v>
      </c>
      <c r="C2">
        <v>30.375000000000011</v>
      </c>
      <c r="D2">
        <f>TableEVE[[#This Row],[ARIMAPP]]*$I$2+TableEVE[[#This Row],[LSTMPP]]*$I$3</f>
        <v>31.603262077163969</v>
      </c>
      <c r="E2">
        <v>47</v>
      </c>
      <c r="F2">
        <f>ABS(TableEVE[[#This Row],[PP]]-TableEVE[[#This Row],[AP]])</f>
        <v>15.396737922836031</v>
      </c>
      <c r="H2" t="s">
        <v>0</v>
      </c>
      <c r="I2">
        <v>0.48610734645859843</v>
      </c>
    </row>
    <row r="3" spans="1:9" x14ac:dyDescent="0.2">
      <c r="A3" t="s">
        <v>80</v>
      </c>
      <c r="B3">
        <v>21.59169990279451</v>
      </c>
      <c r="C3">
        <v>26.15384615384616</v>
      </c>
      <c r="D3">
        <f>TableEVE[[#This Row],[ARIMAPP]]*$I$2+TableEVE[[#This Row],[LSTMPP]]*$I$3</f>
        <v>24.425273764975</v>
      </c>
      <c r="E3">
        <v>21</v>
      </c>
      <c r="F3">
        <f>ABS(TableEVE[[#This Row],[PP]]-TableEVE[[#This Row],[AP]])</f>
        <v>3.4252737649749996</v>
      </c>
      <c r="H3" t="s">
        <v>1</v>
      </c>
      <c r="I3">
        <v>0.5325943166354804</v>
      </c>
    </row>
    <row r="4" spans="1:9" x14ac:dyDescent="0.2">
      <c r="A4" t="s">
        <v>81</v>
      </c>
      <c r="B4">
        <v>30.355252009207788</v>
      </c>
      <c r="C4">
        <v>29.468085106382979</v>
      </c>
      <c r="D4">
        <f>TableEVE[[#This Row],[ARIMAPP]]*$I$2+TableEVE[[#This Row],[LSTMPP]]*$I$3</f>
        <v>30.450445655068258</v>
      </c>
      <c r="E4">
        <v>34</v>
      </c>
      <c r="F4">
        <f>ABS(TableEVE[[#This Row],[PP]]-TableEVE[[#This Row],[AP]])</f>
        <v>3.5495543449317424</v>
      </c>
    </row>
    <row r="5" spans="1:9" x14ac:dyDescent="0.2">
      <c r="A5" t="s">
        <v>82</v>
      </c>
      <c r="B5">
        <v>34.914285714285711</v>
      </c>
      <c r="C5">
        <v>39.972612820771801</v>
      </c>
      <c r="D5">
        <f>TableEVE[[#This Row],[ARIMAPP]]*$I$2+TableEVE[[#This Row],[LSTMPP]]*$I$3</f>
        <v>38.261277191482378</v>
      </c>
      <c r="E5">
        <v>28</v>
      </c>
      <c r="F5">
        <f>ABS(TableEVE[[#This Row],[PP]]-TableEVE[[#This Row],[AP]])</f>
        <v>10.261277191482378</v>
      </c>
      <c r="H5" t="s">
        <v>2</v>
      </c>
      <c r="I5" cm="1">
        <f t="array" ref="I5">(SUM(TableEVE[PP]-TableEVE[AP]))^2</f>
        <v>3.1554436208840472E-28</v>
      </c>
    </row>
    <row r="6" spans="1:9" x14ac:dyDescent="0.2">
      <c r="A6" t="s">
        <v>83</v>
      </c>
      <c r="B6">
        <v>34.572154640136738</v>
      </c>
      <c r="C6">
        <v>36.303607073724493</v>
      </c>
      <c r="D6">
        <f>TableEVE[[#This Row],[ARIMAPP]]*$I$2+TableEVE[[#This Row],[LSTMPP]]*$I$3</f>
        <v>36.140873154306476</v>
      </c>
      <c r="E6">
        <v>32</v>
      </c>
      <c r="F6">
        <f>ABS(TableEVE[[#This Row],[PP]]-TableEVE[[#This Row],[AP]])</f>
        <v>4.1408731543064761</v>
      </c>
    </row>
    <row r="7" spans="1:9" x14ac:dyDescent="0.2">
      <c r="A7" t="s">
        <v>84</v>
      </c>
      <c r="B7">
        <v>31.563782436143889</v>
      </c>
      <c r="C7">
        <v>29.85761631398492</v>
      </c>
      <c r="D7">
        <f>TableEVE[[#This Row],[ARIMAPP]]*$I$2+TableEVE[[#This Row],[LSTMPP]]*$I$3</f>
        <v>31.245383281341589</v>
      </c>
      <c r="E7">
        <v>23</v>
      </c>
      <c r="F7">
        <f>ABS(TableEVE[[#This Row],[PP]]-TableEVE[[#This Row],[AP]])</f>
        <v>8.2453832813415886</v>
      </c>
      <c r="H7" t="s">
        <v>3</v>
      </c>
      <c r="I7">
        <f>AVERAGE(TableEVE[DIFF])/10</f>
        <v>0.65633182559283887</v>
      </c>
    </row>
    <row r="8" spans="1:9" x14ac:dyDescent="0.2">
      <c r="A8" t="s">
        <v>85</v>
      </c>
      <c r="B8">
        <v>15.238095238095241</v>
      </c>
      <c r="C8">
        <v>21.875</v>
      </c>
      <c r="D8">
        <f>TableEVE[[#This Row],[ARIMAPP]]*$I$2+TableEVE[[#This Row],[LSTMPP]]*$I$3</f>
        <v>19.057850717675016</v>
      </c>
      <c r="E8">
        <v>30</v>
      </c>
      <c r="F8">
        <f>ABS(TableEVE[[#This Row],[PP]]-TableEVE[[#This Row],[AP]])</f>
        <v>10.942149282324984</v>
      </c>
    </row>
    <row r="9" spans="1:9" x14ac:dyDescent="0.2">
      <c r="A9" t="s">
        <v>86</v>
      </c>
      <c r="B9">
        <v>17.27272727272727</v>
      </c>
      <c r="C9">
        <v>26.875</v>
      </c>
      <c r="D9">
        <f>TableEVE[[#This Row],[ARIMAPP]]*$I$2+TableEVE[[#This Row],[LSTMPP]]*$I$3</f>
        <v>22.709871880227052</v>
      </c>
      <c r="E9">
        <v>22</v>
      </c>
      <c r="F9">
        <f>ABS(TableEVE[[#This Row],[PP]]-TableEVE[[#This Row],[AP]])</f>
        <v>0.70987188022705183</v>
      </c>
    </row>
    <row r="10" spans="1:9" x14ac:dyDescent="0.2">
      <c r="A10" t="s">
        <v>87</v>
      </c>
      <c r="B10">
        <v>39.591836734693871</v>
      </c>
      <c r="C10">
        <v>39.102872342853921</v>
      </c>
      <c r="D10">
        <f>TableEVE[[#This Row],[ARIMAPP]]*$I$2+TableEVE[[#This Row],[LSTMPP]]*$I$3</f>
        <v>40.07185027045081</v>
      </c>
      <c r="E10">
        <v>43</v>
      </c>
      <c r="F10">
        <f>ABS(TableEVE[[#This Row],[PP]]-TableEVE[[#This Row],[AP]])</f>
        <v>2.9281497295491903</v>
      </c>
    </row>
    <row r="11" spans="1:9" x14ac:dyDescent="0.2">
      <c r="A11" t="s">
        <v>88</v>
      </c>
      <c r="B11">
        <v>23.636734493953359</v>
      </c>
      <c r="C11">
        <v>27.307692307692299</v>
      </c>
      <c r="D11">
        <f>TableEVE[[#This Row],[ARIMAPP]]*$I$2+TableEVE[[#This Row],[LSTMPP]]*$I$3</f>
        <v>26.033912007309436</v>
      </c>
      <c r="E11">
        <v>20</v>
      </c>
      <c r="F11">
        <f>ABS(TableEVE[[#This Row],[PP]]-TableEVE[[#This Row],[AP]])</f>
        <v>6.0339120073094357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89</v>
      </c>
      <c r="B2">
        <v>27.0860927152318</v>
      </c>
      <c r="C2">
        <v>27.208333333333329</v>
      </c>
      <c r="D2">
        <f>TableFUL[[#This Row],[ARIMAPP]]*$I$2+TableFUL[[#This Row],[LSTMPP]]*$I$3</f>
        <v>25.747794616401102</v>
      </c>
      <c r="E2">
        <v>21</v>
      </c>
      <c r="F2">
        <f>ABS(TableFUL[[#This Row],[PP]]-TableFUL[[#This Row],[AP]])</f>
        <v>4.7477946164011016</v>
      </c>
      <c r="H2" t="s">
        <v>0</v>
      </c>
      <c r="I2">
        <v>0.47315547231639604</v>
      </c>
    </row>
    <row r="3" spans="1:9" x14ac:dyDescent="0.2">
      <c r="A3" t="s">
        <v>90</v>
      </c>
      <c r="B3">
        <v>26.63793103448274</v>
      </c>
      <c r="C3">
        <v>26.90217391304348</v>
      </c>
      <c r="D3">
        <f>TableFUL[[#This Row],[ARIMAPP]]*$I$2+TableFUL[[#This Row],[LSTMPP]]*$I$3</f>
        <v>25.390229808933185</v>
      </c>
      <c r="E3">
        <v>25</v>
      </c>
      <c r="F3">
        <f>ABS(TableFUL[[#This Row],[PP]]-TableFUL[[#This Row],[AP]])</f>
        <v>0.39022980893318504</v>
      </c>
      <c r="H3" t="s">
        <v>1</v>
      </c>
      <c r="I3">
        <v>0.47529047318296752</v>
      </c>
    </row>
    <row r="4" spans="1:9" x14ac:dyDescent="0.2">
      <c r="A4" t="s">
        <v>91</v>
      </c>
      <c r="B4">
        <v>36.779756197584483</v>
      </c>
      <c r="C4">
        <v>32.453703703703702</v>
      </c>
      <c r="D4">
        <f>TableFUL[[#This Row],[ARIMAPP]]*$I$2+TableFUL[[#This Row],[LSTMPP]]*$I$3</f>
        <v>32.827479105223134</v>
      </c>
      <c r="E4">
        <v>31</v>
      </c>
      <c r="F4">
        <f>ABS(TableFUL[[#This Row],[PP]]-TableFUL[[#This Row],[AP]])</f>
        <v>1.8274791052231336</v>
      </c>
    </row>
    <row r="5" spans="1:9" x14ac:dyDescent="0.2">
      <c r="A5" t="s">
        <v>92</v>
      </c>
      <c r="B5">
        <v>22.985074626865689</v>
      </c>
      <c r="C5">
        <v>25.09433962264151</v>
      </c>
      <c r="D5">
        <f>TableFUL[[#This Row],[ARIMAPP]]*$I$2+TableFUL[[#This Row],[LSTMPP]]*$I$3</f>
        <v>22.802614394761619</v>
      </c>
      <c r="E5">
        <v>29</v>
      </c>
      <c r="F5">
        <f>ABS(TableFUL[[#This Row],[PP]]-TableFUL[[#This Row],[AP]])</f>
        <v>6.1973856052383809</v>
      </c>
      <c r="H5" t="s">
        <v>2</v>
      </c>
      <c r="I5" cm="1">
        <f t="array" ref="I5">(SUM(TableFUL[PP]-TableFUL[AP]))^2</f>
        <v>3.2311742677852644E-27</v>
      </c>
    </row>
    <row r="6" spans="1:9" x14ac:dyDescent="0.2">
      <c r="A6" t="s">
        <v>93</v>
      </c>
      <c r="B6">
        <v>31.123801549222019</v>
      </c>
      <c r="C6">
        <v>31.39705882352942</v>
      </c>
      <c r="D6">
        <f>TableFUL[[#This Row],[ARIMAPP]]*$I$2+TableFUL[[#This Row],[LSTMPP]]*$I$3</f>
        <v>29.649119967092687</v>
      </c>
      <c r="E6">
        <v>25</v>
      </c>
      <c r="F6">
        <f>ABS(TableFUL[[#This Row],[PP]]-TableFUL[[#This Row],[AP]])</f>
        <v>4.6491199670926875</v>
      </c>
    </row>
    <row r="7" spans="1:9" x14ac:dyDescent="0.2">
      <c r="A7" t="s">
        <v>94</v>
      </c>
      <c r="B7">
        <v>23.93939393939392</v>
      </c>
      <c r="C7">
        <v>26.92307692307693</v>
      </c>
      <c r="D7">
        <f>TableFUL[[#This Row],[ARIMAPP]]*$I$2+TableFUL[[#This Row],[LSTMPP]]*$I$3</f>
        <v>24.123337216672866</v>
      </c>
      <c r="E7">
        <v>32</v>
      </c>
      <c r="F7">
        <f>ABS(TableFUL[[#This Row],[PP]]-TableFUL[[#This Row],[AP]])</f>
        <v>7.8766627833271343</v>
      </c>
      <c r="H7" t="s">
        <v>3</v>
      </c>
      <c r="I7">
        <f>AVERAGE(TableFUL[DIFF])/10</f>
        <v>0.5093154795547763</v>
      </c>
    </row>
    <row r="8" spans="1:9" x14ac:dyDescent="0.2">
      <c r="A8" t="s">
        <v>95</v>
      </c>
      <c r="B8">
        <v>37.300938577528292</v>
      </c>
      <c r="C8">
        <v>38.296596074599549</v>
      </c>
      <c r="D8">
        <f>TableFUL[[#This Row],[ARIMAPP]]*$I$2+TableFUL[[#This Row],[LSTMPP]]*$I$3</f>
        <v>35.851150480088677</v>
      </c>
      <c r="E8">
        <v>22</v>
      </c>
      <c r="F8">
        <f>ABS(TableFUL[[#This Row],[PP]]-TableFUL[[#This Row],[AP]])</f>
        <v>13.851150480088677</v>
      </c>
    </row>
    <row r="9" spans="1:9" x14ac:dyDescent="0.2">
      <c r="A9" t="s">
        <v>96</v>
      </c>
      <c r="B9">
        <v>26.344499166244699</v>
      </c>
      <c r="C9">
        <v>27.321428571428569</v>
      </c>
      <c r="D9">
        <f>TableFUL[[#This Row],[ARIMAPP]]*$I$2+TableFUL[[#This Row],[LSTMPP]]*$I$3</f>
        <v>25.450658659692344</v>
      </c>
      <c r="E9">
        <v>26</v>
      </c>
      <c r="F9">
        <f>ABS(TableFUL[[#This Row],[PP]]-TableFUL[[#This Row],[AP]])</f>
        <v>0.54934134030765591</v>
      </c>
    </row>
    <row r="10" spans="1:9" x14ac:dyDescent="0.2">
      <c r="A10" t="s">
        <v>97</v>
      </c>
      <c r="B10">
        <v>39.642857142857153</v>
      </c>
      <c r="C10">
        <v>36.786133440361347</v>
      </c>
      <c r="D10">
        <f>TableFUL[[#This Row],[ARIMAPP]]*$I$2+TableFUL[[#This Row],[LSTMPP]]*$I$3</f>
        <v>36.241333564841121</v>
      </c>
      <c r="E10">
        <v>46</v>
      </c>
      <c r="F10">
        <f>ABS(TableFUL[[#This Row],[PP]]-TableFUL[[#This Row],[AP]])</f>
        <v>9.7586664351588794</v>
      </c>
    </row>
    <row r="11" spans="1:9" x14ac:dyDescent="0.2">
      <c r="A11" t="s">
        <v>98</v>
      </c>
      <c r="B11">
        <v>22.713371598304271</v>
      </c>
      <c r="C11">
        <v>23.5</v>
      </c>
      <c r="D11">
        <f>TableFUL[[#This Row],[ARIMAPP]]*$I$2+TableFUL[[#This Row],[LSTMPP]]*$I$3</f>
        <v>21.916282186293209</v>
      </c>
      <c r="E11">
        <v>23</v>
      </c>
      <c r="F11">
        <f>ABS(TableFUL[[#This Row],[PP]]-TableFUL[[#This Row],[AP]])</f>
        <v>1.0837178137067909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99</v>
      </c>
      <c r="B2">
        <v>44.373605189766572</v>
      </c>
      <c r="C2">
        <v>38.407018386807813</v>
      </c>
      <c r="D2">
        <f>TableLIV[[#This Row],[ARIMAPP]]*$I$2+TableLIV[[#This Row],[LSTMPP]]*$I$3</f>
        <v>39.195490023728489</v>
      </c>
      <c r="E2">
        <v>49</v>
      </c>
      <c r="F2">
        <f>ABS(TableLIV[[#This Row],[PP]]-TableLIV[[#This Row],[AP]])</f>
        <v>9.8045099762715111</v>
      </c>
      <c r="H2" t="s">
        <v>0</v>
      </c>
      <c r="I2">
        <v>0.49092256949554325</v>
      </c>
    </row>
    <row r="3" spans="1:9" x14ac:dyDescent="0.2">
      <c r="A3" t="s">
        <v>100</v>
      </c>
      <c r="B3">
        <v>50.365853658536572</v>
      </c>
      <c r="C3">
        <v>43.473397705559208</v>
      </c>
      <c r="D3">
        <f>TableLIV[[#This Row],[ARIMAPP]]*$I$2+TableLIV[[#This Row],[LSTMPP]]*$I$3</f>
        <v>44.434018775303741</v>
      </c>
      <c r="E3">
        <v>34</v>
      </c>
      <c r="F3">
        <f>ABS(TableLIV[[#This Row],[PP]]-TableLIV[[#This Row],[AP]])</f>
        <v>10.434018775303741</v>
      </c>
      <c r="H3" t="s">
        <v>1</v>
      </c>
      <c r="I3">
        <v>0.4533412505712256</v>
      </c>
    </row>
    <row r="4" spans="1:9" x14ac:dyDescent="0.2">
      <c r="A4" t="s">
        <v>101</v>
      </c>
      <c r="B4">
        <v>68.057142857142864</v>
      </c>
      <c r="C4">
        <v>70.573733743912527</v>
      </c>
      <c r="D4">
        <f>TableLIV[[#This Row],[ARIMAPP]]*$I$2+TableLIV[[#This Row],[LSTMPP]]*$I$3</f>
        <v>65.404772156899838</v>
      </c>
      <c r="E4">
        <v>91</v>
      </c>
      <c r="F4">
        <f>ABS(TableLIV[[#This Row],[PP]]-TableLIV[[#This Row],[AP]])</f>
        <v>25.595227843100162</v>
      </c>
    </row>
    <row r="5" spans="1:9" x14ac:dyDescent="0.2">
      <c r="A5" t="s">
        <v>102</v>
      </c>
      <c r="B5">
        <v>52.391027190746257</v>
      </c>
      <c r="C5">
        <v>41.856060606060623</v>
      </c>
      <c r="D5">
        <f>TableLIV[[#This Row],[ARIMAPP]]*$I$2+TableLIV[[#This Row],[LSTMPP]]*$I$3</f>
        <v>44.695016546128556</v>
      </c>
      <c r="E5">
        <v>45</v>
      </c>
      <c r="F5">
        <f>ABS(TableLIV[[#This Row],[PP]]-TableLIV[[#This Row],[AP]])</f>
        <v>0.30498345387144354</v>
      </c>
      <c r="H5" t="s">
        <v>2</v>
      </c>
      <c r="I5" cm="1">
        <f t="array" ref="I5">(SUM(TableLIV[PP]-TableLIV[AP]))^2</f>
        <v>2.0194839173657902E-28</v>
      </c>
    </row>
    <row r="6" spans="1:9" x14ac:dyDescent="0.2">
      <c r="A6" t="s">
        <v>103</v>
      </c>
      <c r="B6">
        <v>49.428813606204812</v>
      </c>
      <c r="C6">
        <v>43.798590621515658</v>
      </c>
      <c r="D6">
        <f>TableLIV[[#This Row],[ARIMAPP]]*$I$2+TableLIV[[#This Row],[LSTMPP]]*$I$3</f>
        <v>44.121428028289401</v>
      </c>
      <c r="E6">
        <v>36</v>
      </c>
      <c r="F6">
        <f>ABS(TableLIV[[#This Row],[PP]]-TableLIV[[#This Row],[AP]])</f>
        <v>8.1214280282894009</v>
      </c>
    </row>
    <row r="7" spans="1:9" x14ac:dyDescent="0.2">
      <c r="A7" t="s">
        <v>104</v>
      </c>
      <c r="B7">
        <v>42.891566265060263</v>
      </c>
      <c r="C7">
        <v>38.813488934040329</v>
      </c>
      <c r="D7">
        <f>TableLIV[[#This Row],[ARIMAPP]]*$I$2+TableLIV[[#This Row],[LSTMPP]]*$I$3</f>
        <v>38.652193532922013</v>
      </c>
      <c r="E7">
        <v>20</v>
      </c>
      <c r="F7">
        <f>ABS(TableLIV[[#This Row],[PP]]-TableLIV[[#This Row],[AP]])</f>
        <v>18.652193532922013</v>
      </c>
      <c r="H7" t="s">
        <v>3</v>
      </c>
      <c r="I7">
        <f>AVERAGE(TableLIV[DIFF])/10</f>
        <v>1.1519808017024664</v>
      </c>
    </row>
    <row r="8" spans="1:9" x14ac:dyDescent="0.2">
      <c r="A8" t="s">
        <v>105</v>
      </c>
      <c r="B8">
        <v>30.4</v>
      </c>
      <c r="C8">
        <v>30.75</v>
      </c>
      <c r="D8">
        <f>TableLIV[[#This Row],[ARIMAPP]]*$I$2+TableLIV[[#This Row],[LSTMPP]]*$I$3</f>
        <v>28.864289567729703</v>
      </c>
      <c r="E8">
        <v>26</v>
      </c>
      <c r="F8">
        <f>ABS(TableLIV[[#This Row],[PP]]-TableLIV[[#This Row],[AP]])</f>
        <v>2.8642895677297027</v>
      </c>
    </row>
    <row r="9" spans="1:9" x14ac:dyDescent="0.2">
      <c r="A9" t="s">
        <v>106</v>
      </c>
      <c r="B9">
        <v>37.142857142857153</v>
      </c>
      <c r="C9">
        <v>36.411559544752741</v>
      </c>
      <c r="D9">
        <f>TableLIV[[#This Row],[ARIMAPP]]*$I$2+TableLIV[[#This Row],[LSTMPP]]*$I$3</f>
        <v>34.741128806244177</v>
      </c>
      <c r="E9">
        <v>25</v>
      </c>
      <c r="F9">
        <f>ABS(TableLIV[[#This Row],[PP]]-TableLIV[[#This Row],[AP]])</f>
        <v>9.741128806244177</v>
      </c>
    </row>
    <row r="10" spans="1:9" x14ac:dyDescent="0.2">
      <c r="A10" t="s">
        <v>107</v>
      </c>
      <c r="B10">
        <v>34.482758620689637</v>
      </c>
      <c r="C10">
        <v>35.726378212643652</v>
      </c>
      <c r="D10">
        <f>TableLIV[[#This Row],[ARIMAPP]]*$I$2+TableLIV[[#This Row],[LSTMPP]]*$I$3</f>
        <v>33.124605442664013</v>
      </c>
      <c r="E10">
        <v>53</v>
      </c>
      <c r="F10">
        <f>ABS(TableLIV[[#This Row],[PP]]-TableLIV[[#This Row],[AP]])</f>
        <v>19.875394557335987</v>
      </c>
    </row>
    <row r="11" spans="1:9" x14ac:dyDescent="0.2">
      <c r="A11" t="s">
        <v>108</v>
      </c>
      <c r="B11">
        <v>39.047619047619037</v>
      </c>
      <c r="C11">
        <v>31.875</v>
      </c>
      <c r="D11">
        <f>TableLIV[[#This Row],[ARIMAPP]]*$I$2+TableLIV[[#This Row],[LSTMPP]]*$I$3</f>
        <v>33.619609837498075</v>
      </c>
      <c r="E11">
        <v>31</v>
      </c>
      <c r="F11">
        <f>ABS(TableLIV[[#This Row],[PP]]-TableLIV[[#This Row],[AP]])</f>
        <v>2.619609837498075</v>
      </c>
    </row>
    <row r="12" spans="1:9" x14ac:dyDescent="0.2">
      <c r="A12" t="s">
        <v>109</v>
      </c>
      <c r="B12">
        <v>44.749051245340439</v>
      </c>
      <c r="C12">
        <v>39.082832881379083</v>
      </c>
      <c r="D12">
        <f>TableLIV[[#This Row],[ARIMAPP]]*$I$2+TableLIV[[#This Row],[LSTMPP]]*$I$3</f>
        <v>39.68617955416088</v>
      </c>
      <c r="E12">
        <v>23</v>
      </c>
      <c r="F12">
        <f>ABS(TableLIV[[#This Row],[PP]]-TableLIV[[#This Row],[AP]])</f>
        <v>16.68617955416088</v>
      </c>
    </row>
    <row r="13" spans="1:9" x14ac:dyDescent="0.2">
      <c r="A13" t="s">
        <v>110</v>
      </c>
      <c r="B13">
        <v>30</v>
      </c>
      <c r="C13">
        <v>32.5</v>
      </c>
      <c r="D13">
        <f>TableLIV[[#This Row],[ARIMAPP]]*$I$2+TableLIV[[#This Row],[LSTMPP]]*$I$3</f>
        <v>29.461267728431128</v>
      </c>
      <c r="E13">
        <v>43</v>
      </c>
      <c r="F13">
        <f>ABS(TableLIV[[#This Row],[PP]]-TableLIV[[#This Row],[AP]])</f>
        <v>13.538732271568872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1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111</v>
      </c>
      <c r="B2">
        <v>41.097595399006117</v>
      </c>
      <c r="C2">
        <v>35.006511508459567</v>
      </c>
      <c r="D2">
        <f>TableMCI[[#This Row],[ARIMAPP]]*$I$2+TableMCI[[#This Row],[LSTMPP]]*$I$3</f>
        <v>41.064293623948203</v>
      </c>
      <c r="E2">
        <v>27</v>
      </c>
      <c r="F2">
        <f>ABS(TableMCI[[#This Row],[PP]]-TableMCI[[#This Row],[AP]])</f>
        <v>14.064293623948203</v>
      </c>
      <c r="H2" t="s">
        <v>0</v>
      </c>
      <c r="I2">
        <v>0.55134038581159539</v>
      </c>
    </row>
    <row r="3" spans="1:9" x14ac:dyDescent="0.2">
      <c r="A3" t="s">
        <v>112</v>
      </c>
      <c r="B3">
        <v>38.888888888888857</v>
      </c>
      <c r="C3">
        <v>36.476819439271978</v>
      </c>
      <c r="D3">
        <f>TableMCI[[#This Row],[ARIMAPP]]*$I$2+TableMCI[[#This Row],[LSTMPP]]*$I$3</f>
        <v>40.619594875979274</v>
      </c>
      <c r="E3">
        <v>31</v>
      </c>
      <c r="F3">
        <f>ABS(TableMCI[[#This Row],[PP]]-TableMCI[[#This Row],[AP]])</f>
        <v>9.6195948759792742</v>
      </c>
      <c r="H3" t="s">
        <v>1</v>
      </c>
      <c r="I3">
        <v>0.52577445531193512</v>
      </c>
    </row>
    <row r="4" spans="1:9" x14ac:dyDescent="0.2">
      <c r="A4" t="s">
        <v>113</v>
      </c>
      <c r="B4">
        <v>32.347826086956502</v>
      </c>
      <c r="C4">
        <v>30.054347826086961</v>
      </c>
      <c r="D4">
        <f>TableMCI[[#This Row],[ARIMAPP]]*$I$2+TableMCI[[#This Row],[LSTMPP]]*$I$3</f>
        <v>33.636471272965302</v>
      </c>
      <c r="E4">
        <v>39</v>
      </c>
      <c r="F4">
        <f>ABS(TableMCI[[#This Row],[PP]]-TableMCI[[#This Row],[AP]])</f>
        <v>5.3635287270346979</v>
      </c>
    </row>
    <row r="5" spans="1:9" x14ac:dyDescent="0.2">
      <c r="A5" t="s">
        <v>114</v>
      </c>
      <c r="B5">
        <v>47.090875582914222</v>
      </c>
      <c r="C5">
        <v>43.222820640281128</v>
      </c>
      <c r="D5">
        <f>TableMCI[[#This Row],[ARIMAPP]]*$I$2+TableMCI[[#This Row],[LSTMPP]]*$I$3</f>
        <v>48.688556491279044</v>
      </c>
      <c r="E5">
        <v>41</v>
      </c>
      <c r="F5">
        <f>ABS(TableMCI[[#This Row],[PP]]-TableMCI[[#This Row],[AP]])</f>
        <v>7.6885564912790443</v>
      </c>
      <c r="H5" t="s">
        <v>2</v>
      </c>
      <c r="I5" cm="1">
        <f t="array" ref="I5">(SUM(TableMCI[PP]-TableMCI[AP]))^2</f>
        <v>1.8175355256292112E-27</v>
      </c>
    </row>
    <row r="6" spans="1:9" x14ac:dyDescent="0.2">
      <c r="A6" t="s">
        <v>115</v>
      </c>
      <c r="B6">
        <v>30.381679389312989</v>
      </c>
      <c r="C6">
        <v>29.182692307692299</v>
      </c>
      <c r="D6">
        <f>TableMCI[[#This Row],[ARIMAPP]]*$I$2+TableMCI[[#This Row],[LSTMPP]]*$I$3</f>
        <v>32.094160988720738</v>
      </c>
      <c r="E6">
        <v>34</v>
      </c>
      <c r="F6">
        <f>ABS(TableMCI[[#This Row],[PP]]-TableMCI[[#This Row],[AP]])</f>
        <v>1.9058390112792623</v>
      </c>
    </row>
    <row r="7" spans="1:9" x14ac:dyDescent="0.2">
      <c r="A7" t="s">
        <v>116</v>
      </c>
      <c r="B7">
        <v>81.176470588235262</v>
      </c>
      <c r="C7">
        <v>77.676761616340315</v>
      </c>
      <c r="D7">
        <f>TableMCI[[#This Row],[ARIMAPP]]*$I$2+TableMCI[[#This Row],[LSTMPP]]*$I$3</f>
        <v>85.596323642167619</v>
      </c>
      <c r="E7">
        <v>84</v>
      </c>
      <c r="F7">
        <f>ABS(TableMCI[[#This Row],[PP]]-TableMCI[[#This Row],[AP]])</f>
        <v>1.5963236421676186</v>
      </c>
      <c r="H7" t="s">
        <v>3</v>
      </c>
      <c r="I7">
        <f>AVERAGE(TableMCI[DIFF])/10</f>
        <v>0.92048539381596051</v>
      </c>
    </row>
    <row r="8" spans="1:9" x14ac:dyDescent="0.2">
      <c r="A8" t="s">
        <v>117</v>
      </c>
      <c r="B8">
        <v>31.738130994854071</v>
      </c>
      <c r="C8">
        <v>37.909363599987309</v>
      </c>
      <c r="D8">
        <f>TableMCI[[#This Row],[ARIMAPP]]*$I$2+TableMCI[[#This Row],[LSTMPP]]*$I$3</f>
        <v>37.430288385647223</v>
      </c>
      <c r="E8">
        <v>50</v>
      </c>
      <c r="F8">
        <f>ABS(TableMCI[[#This Row],[PP]]-TableMCI[[#This Row],[AP]])</f>
        <v>12.569711614352777</v>
      </c>
    </row>
    <row r="9" spans="1:9" x14ac:dyDescent="0.2">
      <c r="A9" t="s">
        <v>118</v>
      </c>
      <c r="B9">
        <v>30.3125</v>
      </c>
      <c r="C9">
        <v>31.431674910467422</v>
      </c>
      <c r="D9">
        <f>TableMCI[[#This Row],[ARIMAPP]]*$I$2+TableMCI[[#This Row],[LSTMPP]]*$I$3</f>
        <v>33.238477200506807</v>
      </c>
      <c r="E9">
        <v>54</v>
      </c>
      <c r="F9">
        <f>ABS(TableMCI[[#This Row],[PP]]-TableMCI[[#This Row],[AP]])</f>
        <v>20.761522799493193</v>
      </c>
    </row>
    <row r="10" spans="1:9" x14ac:dyDescent="0.2">
      <c r="A10" t="s">
        <v>119</v>
      </c>
      <c r="B10">
        <v>35.927064955017777</v>
      </c>
      <c r="C10">
        <v>28.999999999999989</v>
      </c>
      <c r="D10">
        <f>TableMCI[[#This Row],[ARIMAPP]]*$I$2+TableMCI[[#This Row],[LSTMPP]]*$I$3</f>
        <v>35.055501057423861</v>
      </c>
      <c r="E10">
        <v>22</v>
      </c>
      <c r="F10">
        <f>ABS(TableMCI[[#This Row],[PP]]-TableMCI[[#This Row],[AP]])</f>
        <v>13.055501057423861</v>
      </c>
    </row>
    <row r="11" spans="1:9" x14ac:dyDescent="0.2">
      <c r="A11" t="s">
        <v>120</v>
      </c>
      <c r="B11">
        <v>30</v>
      </c>
      <c r="C11">
        <v>30.5</v>
      </c>
      <c r="D11">
        <f>TableMCI[[#This Row],[ARIMAPP]]*$I$2+TableMCI[[#This Row],[LSTMPP]]*$I$3</f>
        <v>32.576332461361886</v>
      </c>
      <c r="E11">
        <v>38</v>
      </c>
      <c r="F11">
        <f>ABS(TableMCI[[#This Row],[PP]]-TableMCI[[#This Row],[AP]])</f>
        <v>5.4236675386381137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121</v>
      </c>
      <c r="B2">
        <v>37.252747252747227</v>
      </c>
      <c r="C2">
        <v>37.531422796075262</v>
      </c>
      <c r="D2">
        <f>TableMUN[[#This Row],[ARIMAPP]]*$I$2+TableMUN[[#This Row],[LSTMPP]]*$I$3</f>
        <v>37.028127338811373</v>
      </c>
      <c r="E2">
        <v>28</v>
      </c>
      <c r="F2">
        <f>ABS(TableMUN[[#This Row],[PP]]-TableMUN[[#This Row],[AP]])</f>
        <v>9.0281273388113732</v>
      </c>
      <c r="H2" t="s">
        <v>0</v>
      </c>
      <c r="I2">
        <v>0.49484866384506987</v>
      </c>
    </row>
    <row r="3" spans="1:9" x14ac:dyDescent="0.2">
      <c r="A3" t="s">
        <v>122</v>
      </c>
      <c r="B3">
        <v>30.339113545110092</v>
      </c>
      <c r="C3">
        <v>30.350877192982459</v>
      </c>
      <c r="D3">
        <f>TableMUN[[#This Row],[ARIMAPP]]*$I$2+TableMUN[[#This Row],[LSTMPP]]*$I$3</f>
        <v>30.049570093656826</v>
      </c>
      <c r="E3">
        <v>32</v>
      </c>
      <c r="F3">
        <f>ABS(TableMUN[[#This Row],[PP]]-TableMUN[[#This Row],[AP]])</f>
        <v>1.9504299063431745</v>
      </c>
      <c r="H3" t="s">
        <v>1</v>
      </c>
      <c r="I3">
        <v>0.49541567441391232</v>
      </c>
    </row>
    <row r="4" spans="1:9" x14ac:dyDescent="0.2">
      <c r="A4" t="s">
        <v>123</v>
      </c>
      <c r="B4">
        <v>46.107675616795539</v>
      </c>
      <c r="C4">
        <v>44.45682837091848</v>
      </c>
      <c r="D4">
        <f>TableMUN[[#This Row],[ARIMAPP]]*$I$2+TableMUN[[#This Row],[LSTMPP]]*$I$3</f>
        <v>44.840931281655315</v>
      </c>
      <c r="E4">
        <v>38</v>
      </c>
      <c r="F4">
        <f>ABS(TableMUN[[#This Row],[PP]]-TableMUN[[#This Row],[AP]])</f>
        <v>6.8409312816553154</v>
      </c>
    </row>
    <row r="5" spans="1:9" x14ac:dyDescent="0.2">
      <c r="A5" t="s">
        <v>124</v>
      </c>
      <c r="B5">
        <v>24.132231404958659</v>
      </c>
      <c r="C5">
        <v>27.34375</v>
      </c>
      <c r="D5">
        <f>TableMUN[[#This Row],[ARIMAPP]]*$I$2+TableMUN[[#This Row],[LSTMPP]]*$I$3</f>
        <v>25.488324813599242</v>
      </c>
      <c r="E5">
        <v>39</v>
      </c>
      <c r="F5">
        <f>ABS(TableMUN[[#This Row],[PP]]-TableMUN[[#This Row],[AP]])</f>
        <v>13.511675186400758</v>
      </c>
      <c r="H5" t="s">
        <v>2</v>
      </c>
      <c r="I5" cm="1">
        <f t="array" ref="I5">(SUM(TableMUN[PP]-TableMUN[AP]))^2</f>
        <v>1.2621774483536189E-29</v>
      </c>
    </row>
    <row r="6" spans="1:9" x14ac:dyDescent="0.2">
      <c r="A6" t="s">
        <v>125</v>
      </c>
      <c r="B6">
        <v>30.673005045466539</v>
      </c>
      <c r="C6">
        <v>31.379297057702459</v>
      </c>
      <c r="D6">
        <f>TableMUN[[#This Row],[ARIMAPP]]*$I$2+TableMUN[[#This Row],[LSTMPP]]*$I$3</f>
        <v>30.724291177338362</v>
      </c>
      <c r="E6">
        <v>40</v>
      </c>
      <c r="F6">
        <f>ABS(TableMUN[[#This Row],[PP]]-TableMUN[[#This Row],[AP]])</f>
        <v>9.2757088226616382</v>
      </c>
    </row>
    <row r="7" spans="1:9" x14ac:dyDescent="0.2">
      <c r="A7" t="s">
        <v>126</v>
      </c>
      <c r="B7">
        <v>43.999999999999993</v>
      </c>
      <c r="C7">
        <v>44.060661188786789</v>
      </c>
      <c r="D7">
        <f>TableMUN[[#This Row],[ARIMAPP]]*$I$2+TableMUN[[#This Row],[LSTMPP]]*$I$3</f>
        <v>43.601683387148768</v>
      </c>
      <c r="E7">
        <v>21</v>
      </c>
      <c r="F7">
        <f>ABS(TableMUN[[#This Row],[PP]]-TableMUN[[#This Row],[AP]])</f>
        <v>22.601683387148768</v>
      </c>
      <c r="H7" t="s">
        <v>3</v>
      </c>
      <c r="I7">
        <f>AVERAGE(TableMUN[DIFF])/10</f>
        <v>0.76265935855952649</v>
      </c>
    </row>
    <row r="8" spans="1:9" x14ac:dyDescent="0.2">
      <c r="A8" t="s">
        <v>127</v>
      </c>
      <c r="B8">
        <v>34.210526315789487</v>
      </c>
      <c r="C8">
        <v>31.38069762274943</v>
      </c>
      <c r="D8">
        <f>TableMUN[[#This Row],[ARIMAPP]]*$I$2+TableMUN[[#This Row],[LSTMPP]]*$I$3</f>
        <v>32.475522713158497</v>
      </c>
      <c r="E8">
        <v>29</v>
      </c>
      <c r="F8">
        <f>ABS(TableMUN[[#This Row],[PP]]-TableMUN[[#This Row],[AP]])</f>
        <v>3.4755227131584974</v>
      </c>
    </row>
    <row r="9" spans="1:9" x14ac:dyDescent="0.2">
      <c r="A9" t="s">
        <v>128</v>
      </c>
      <c r="B9">
        <v>44.857142857142847</v>
      </c>
      <c r="C9">
        <v>41.056464437344097</v>
      </c>
      <c r="D9">
        <f>TableMUN[[#This Row],[ARIMAPP]]*$I$2+TableMUN[[#This Row],[LSTMPP]]*$I$3</f>
        <v>42.53751322504219</v>
      </c>
      <c r="E9">
        <v>45</v>
      </c>
      <c r="F9">
        <f>ABS(TableMUN[[#This Row],[PP]]-TableMUN[[#This Row],[AP]])</f>
        <v>2.4624867749578101</v>
      </c>
    </row>
    <row r="10" spans="1:9" x14ac:dyDescent="0.2">
      <c r="A10" t="s">
        <v>129</v>
      </c>
      <c r="B10">
        <v>36.153846153846139</v>
      </c>
      <c r="C10">
        <v>36.885677126295818</v>
      </c>
      <c r="D10">
        <f>TableMUN[[#This Row],[ARIMAPP]]*$I$2+TableMUN[[#This Row],[LSTMPP]]*$I$3</f>
        <v>36.164425071828646</v>
      </c>
      <c r="E10">
        <v>48</v>
      </c>
      <c r="F10">
        <f>ABS(TableMUN[[#This Row],[PP]]-TableMUN[[#This Row],[AP]])</f>
        <v>11.835574928171354</v>
      </c>
    </row>
    <row r="11" spans="1:9" x14ac:dyDescent="0.2">
      <c r="A11" t="s">
        <v>130</v>
      </c>
      <c r="B11">
        <v>20.61955816626087</v>
      </c>
      <c r="C11">
        <v>21.53846153846154</v>
      </c>
      <c r="D11">
        <f>TableMUN[[#This Row],[ARIMAPP]]*$I$2+TableMUN[[#This Row],[LSTMPP]]*$I$3</f>
        <v>20.874052256564923</v>
      </c>
      <c r="E11">
        <v>21</v>
      </c>
      <c r="F11">
        <f>ABS(TableMUN[[#This Row],[PP]]-TableMUN[[#This Row],[AP]])</f>
        <v>0.12594774343507709</v>
      </c>
    </row>
    <row r="12" spans="1:9" x14ac:dyDescent="0.2">
      <c r="A12" t="s">
        <v>131</v>
      </c>
      <c r="B12">
        <v>26.08695652173914</v>
      </c>
      <c r="C12">
        <v>28.877695643266989</v>
      </c>
      <c r="D12">
        <f>TableMUN[[#This Row],[ARIMAPP]]*$I$2+TableMUN[[#This Row],[LSTMPP]]*$I$3</f>
        <v>27.215558641195855</v>
      </c>
      <c r="E12">
        <v>30</v>
      </c>
      <c r="F12">
        <f>ABS(TableMUN[[#This Row],[PP]]-TableMUN[[#This Row],[AP]])</f>
        <v>2.7844413588041448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3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132</v>
      </c>
      <c r="B2">
        <v>45.985401459854018</v>
      </c>
      <c r="C2">
        <v>44.458015405112853</v>
      </c>
      <c r="D2">
        <f>TableNEW[[#This Row],[ARIMAPP]]*$I$2+TableNEW[[#This Row],[LSTMPP]]*$I$3</f>
        <v>57.598891421579836</v>
      </c>
      <c r="E2">
        <v>46</v>
      </c>
      <c r="F2">
        <f>ABS(TableNEW[[#This Row],[PP]]-TableNEW[[#This Row],[AP]])</f>
        <v>11.598891421579836</v>
      </c>
      <c r="H2" t="s">
        <v>0</v>
      </c>
      <c r="I2">
        <v>0.65073387340780842</v>
      </c>
    </row>
    <row r="3" spans="1:9" x14ac:dyDescent="0.2">
      <c r="A3" t="s">
        <v>133</v>
      </c>
      <c r="B3">
        <v>45.5882011863198</v>
      </c>
      <c r="C3">
        <v>40.45060257343733</v>
      </c>
      <c r="D3">
        <f>TableNEW[[#This Row],[ARIMAPP]]*$I$2+TableNEW[[#This Row],[LSTMPP]]*$I$3</f>
        <v>54.845848670639342</v>
      </c>
      <c r="E3">
        <v>66</v>
      </c>
      <c r="F3">
        <f>ABS(TableNEW[[#This Row],[PP]]-TableNEW[[#This Row],[AP]])</f>
        <v>11.154151329360658</v>
      </c>
      <c r="H3" t="s">
        <v>1</v>
      </c>
      <c r="I3">
        <v>0.62248916775113727</v>
      </c>
    </row>
    <row r="4" spans="1:9" x14ac:dyDescent="0.2">
      <c r="A4" t="s">
        <v>134</v>
      </c>
      <c r="B4">
        <v>30.80925041256209</v>
      </c>
      <c r="C4">
        <v>30.255102040816329</v>
      </c>
      <c r="D4">
        <f>TableNEW[[#This Row],[ARIMAPP]]*$I$2+TableNEW[[#This Row],[LSTMPP]]*$I$3</f>
        <v>38.882096147371144</v>
      </c>
      <c r="E4">
        <v>41</v>
      </c>
      <c r="F4">
        <f>ABS(TableNEW[[#This Row],[PP]]-TableNEW[[#This Row],[AP]])</f>
        <v>2.1179038526288565</v>
      </c>
    </row>
    <row r="5" spans="1:9" x14ac:dyDescent="0.2">
      <c r="A5" t="s">
        <v>135</v>
      </c>
      <c r="B5">
        <v>22.522522522522539</v>
      </c>
      <c r="C5">
        <v>25.51136363636364</v>
      </c>
      <c r="D5">
        <f>TableNEW[[#This Row],[ARIMAPP]]*$I$2+TableNEW[[#This Row],[LSTMPP]]*$I$3</f>
        <v>30.536715838192325</v>
      </c>
      <c r="E5">
        <v>35</v>
      </c>
      <c r="F5">
        <f>ABS(TableNEW[[#This Row],[PP]]-TableNEW[[#This Row],[AP]])</f>
        <v>4.4632841618076746</v>
      </c>
      <c r="H5" t="s">
        <v>2</v>
      </c>
      <c r="I5" cm="1">
        <f t="array" ref="I5">(SUM(TableNEW[PP]-TableNEW[AP]))^2</f>
        <v>2.8398992587956425E-27</v>
      </c>
    </row>
    <row r="6" spans="1:9" x14ac:dyDescent="0.2">
      <c r="A6" t="s">
        <v>136</v>
      </c>
      <c r="B6">
        <v>29.10569105691059</v>
      </c>
      <c r="C6">
        <v>29.030612244897959</v>
      </c>
      <c r="D6">
        <f>TableNEW[[#This Row],[ARIMAPP]]*$I$2+TableNEW[[#This Row],[LSTMPP]]*$I$3</f>
        <v>37.011300735306946</v>
      </c>
      <c r="E6">
        <v>35</v>
      </c>
      <c r="F6">
        <f>ABS(TableNEW[[#This Row],[PP]]-TableNEW[[#This Row],[AP]])</f>
        <v>2.0113007353069463</v>
      </c>
    </row>
    <row r="7" spans="1:9" x14ac:dyDescent="0.2">
      <c r="A7" t="s">
        <v>137</v>
      </c>
      <c r="B7">
        <v>36.573984467364497</v>
      </c>
      <c r="C7">
        <v>26.226415094339622</v>
      </c>
      <c r="D7">
        <f>TableNEW[[#This Row],[ARIMAPP]]*$I$2+TableNEW[[#This Row],[LSTMPP]]*$I$3</f>
        <v>40.125589883576453</v>
      </c>
      <c r="E7">
        <v>28</v>
      </c>
      <c r="F7">
        <f>ABS(TableNEW[[#This Row],[PP]]-TableNEW[[#This Row],[AP]])</f>
        <v>12.125589883576453</v>
      </c>
      <c r="H7" t="s">
        <v>3</v>
      </c>
      <c r="I7">
        <f>AVERAGE(TableNEW[DIFF])/10</f>
        <v>0.98255095067274978</v>
      </c>
    </row>
    <row r="8" spans="1:9" x14ac:dyDescent="0.2">
      <c r="A8" t="s">
        <v>138</v>
      </c>
      <c r="B8">
        <v>41.111111111111093</v>
      </c>
      <c r="C8">
        <v>35.659175481538718</v>
      </c>
      <c r="D8">
        <f>TableNEW[[#This Row],[ARIMAPP]]*$I$2+TableNEW[[#This Row],[LSTMPP]]*$I$3</f>
        <v>48.949843041626906</v>
      </c>
      <c r="E8">
        <v>43</v>
      </c>
      <c r="F8">
        <f>ABS(TableNEW[[#This Row],[PP]]-TableNEW[[#This Row],[AP]])</f>
        <v>5.9498430416269059</v>
      </c>
    </row>
    <row r="9" spans="1:9" x14ac:dyDescent="0.2">
      <c r="A9" t="s">
        <v>139</v>
      </c>
      <c r="B9">
        <v>23.1690504558333</v>
      </c>
      <c r="C9">
        <v>26.803278688524589</v>
      </c>
      <c r="D9">
        <f>TableNEW[[#This Row],[ARIMAPP]]*$I$2+TableNEW[[#This Row],[LSTMPP]]*$I$3</f>
        <v>31.76163659012682</v>
      </c>
      <c r="E9">
        <v>65</v>
      </c>
      <c r="F9">
        <f>ABS(TableNEW[[#This Row],[PP]]-TableNEW[[#This Row],[AP]])</f>
        <v>33.23836340987318</v>
      </c>
    </row>
    <row r="10" spans="1:9" x14ac:dyDescent="0.2">
      <c r="A10" t="s">
        <v>140</v>
      </c>
      <c r="B10">
        <v>10.95238094850794</v>
      </c>
      <c r="C10">
        <v>17.5</v>
      </c>
      <c r="D10">
        <f>TableNEW[[#This Row],[ARIMAPP]]*$I$2+TableNEW[[#This Row],[LSTMPP]]*$I$3</f>
        <v>18.020645713305363</v>
      </c>
      <c r="E10">
        <v>26</v>
      </c>
      <c r="F10">
        <f>ABS(TableNEW[[#This Row],[PP]]-TableNEW[[#This Row],[AP]])</f>
        <v>7.9793542866946368</v>
      </c>
    </row>
    <row r="11" spans="1:9" x14ac:dyDescent="0.2">
      <c r="A11" t="s">
        <v>141</v>
      </c>
      <c r="B11">
        <v>33.913043478260867</v>
      </c>
      <c r="C11">
        <v>32.083333333333329</v>
      </c>
      <c r="D11">
        <f>TableNEW[[#This Row],[ARIMAPP]]*$I$2+TableNEW[[#This Row],[LSTMPP]]*$I$3</f>
        <v>42.039893607005098</v>
      </c>
      <c r="E11">
        <v>32</v>
      </c>
      <c r="F11">
        <f>ABS(TableNEW[[#This Row],[PP]]-TableNEW[[#This Row],[AP]])</f>
        <v>10.039893607005098</v>
      </c>
    </row>
    <row r="12" spans="1:9" x14ac:dyDescent="0.2">
      <c r="A12" t="s">
        <v>142</v>
      </c>
      <c r="B12">
        <v>37.60513641087698</v>
      </c>
      <c r="C12">
        <v>39.602896596294123</v>
      </c>
      <c r="D12">
        <f>TableNEW[[#This Row],[ARIMAPP]]*$I$2+TableNEW[[#This Row],[LSTMPP]]*$I$3</f>
        <v>49.123310219440469</v>
      </c>
      <c r="E12">
        <v>34</v>
      </c>
      <c r="F12">
        <f>ABS(TableNEW[[#This Row],[PP]]-TableNEW[[#This Row],[AP]])</f>
        <v>15.123310219440469</v>
      </c>
    </row>
    <row r="13" spans="1:9" x14ac:dyDescent="0.2">
      <c r="A13" t="s">
        <v>143</v>
      </c>
      <c r="B13">
        <v>47.894736842105281</v>
      </c>
      <c r="C13">
        <v>40.060938892816331</v>
      </c>
      <c r="D13">
        <f>TableNEW[[#This Row],[ARIMAPP]]*$I$2+TableNEW[[#This Row],[LSTMPP]]*$I$3</f>
        <v>56.104228131829245</v>
      </c>
      <c r="E13">
        <v>54</v>
      </c>
      <c r="F13">
        <f>ABS(TableNEW[[#This Row],[PP]]-TableNEW[[#This Row],[AP]])</f>
        <v>2.1042281318292453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144</v>
      </c>
      <c r="B2">
        <v>33.54659116672245</v>
      </c>
      <c r="C2">
        <v>33.412698412698411</v>
      </c>
      <c r="D2">
        <f>TableNFO[[#This Row],[ARIMAPP]]*$I$2+TableNFO[[#This Row],[LSTMPP]]*$I$3</f>
        <v>35.965907105060182</v>
      </c>
      <c r="E2">
        <v>30</v>
      </c>
      <c r="F2">
        <f>ABS(TableNFO[[#This Row],[PP]]-TableNFO[[#This Row],[AP]])</f>
        <v>5.9659071050601824</v>
      </c>
      <c r="H2" t="s">
        <v>0</v>
      </c>
      <c r="I2">
        <v>0.55874180681075225</v>
      </c>
    </row>
    <row r="3" spans="1:9" x14ac:dyDescent="0.2">
      <c r="A3" t="s">
        <v>145</v>
      </c>
      <c r="B3">
        <v>45.531846816638001</v>
      </c>
      <c r="C3">
        <v>25.970149253731339</v>
      </c>
      <c r="D3">
        <f>TableNFO[[#This Row],[ARIMAPP]]*$I$2+TableNFO[[#This Row],[LSTMPP]]*$I$3</f>
        <v>38.826431327375062</v>
      </c>
      <c r="E3">
        <v>33</v>
      </c>
      <c r="F3">
        <f>ABS(TableNFO[[#This Row],[PP]]-TableNFO[[#This Row],[AP]])</f>
        <v>5.8264313273750616</v>
      </c>
      <c r="H3" t="s">
        <v>1</v>
      </c>
      <c r="I3">
        <v>0.5154335017036179</v>
      </c>
    </row>
    <row r="4" spans="1:9" x14ac:dyDescent="0.2">
      <c r="A4" t="s">
        <v>146</v>
      </c>
      <c r="B4">
        <v>35.476190476190467</v>
      </c>
      <c r="C4">
        <v>34.347531270948537</v>
      </c>
      <c r="D4">
        <f>TableNFO[[#This Row],[ARIMAPP]]*$I$2+TableNFO[[#This Row],[LSTMPP]]*$I$3</f>
        <v>37.525899083288579</v>
      </c>
      <c r="E4">
        <v>24</v>
      </c>
      <c r="F4">
        <f>ABS(TableNFO[[#This Row],[PP]]-TableNFO[[#This Row],[AP]])</f>
        <v>13.525899083288579</v>
      </c>
    </row>
    <row r="5" spans="1:9" x14ac:dyDescent="0.2">
      <c r="A5" t="s">
        <v>147</v>
      </c>
      <c r="B5">
        <v>34.123711340206171</v>
      </c>
      <c r="C5">
        <v>33.095241883852481</v>
      </c>
      <c r="D5">
        <f>TableNFO[[#This Row],[ARIMAPP]]*$I$2+TableNFO[[#This Row],[LSTMPP]]*$I$3</f>
        <v>36.124740543237678</v>
      </c>
      <c r="E5">
        <v>35</v>
      </c>
      <c r="F5">
        <f>ABS(TableNFO[[#This Row],[PP]]-TableNFO[[#This Row],[AP]])</f>
        <v>1.124740543237678</v>
      </c>
      <c r="H5" t="s">
        <v>2</v>
      </c>
      <c r="I5" cm="1">
        <f t="array" ref="I5">(SUM(TableNFO[PP]-TableNFO[AP]))^2</f>
        <v>1.2621774483536189E-29</v>
      </c>
    </row>
    <row r="6" spans="1:9" x14ac:dyDescent="0.2">
      <c r="A6" t="s">
        <v>148</v>
      </c>
      <c r="B6">
        <v>16.45253886987755</v>
      </c>
      <c r="C6">
        <v>25.5</v>
      </c>
      <c r="D6">
        <f>TableNFO[[#This Row],[ARIMAPP]]*$I$2+TableNFO[[#This Row],[LSTMPP]]*$I$3</f>
        <v>22.336275588221771</v>
      </c>
      <c r="E6">
        <v>40</v>
      </c>
      <c r="F6">
        <f>ABS(TableNFO[[#This Row],[PP]]-TableNFO[[#This Row],[AP]])</f>
        <v>17.663724411778229</v>
      </c>
    </row>
    <row r="7" spans="1:9" x14ac:dyDescent="0.2">
      <c r="A7" t="s">
        <v>149</v>
      </c>
      <c r="B7">
        <v>18.214285714285712</v>
      </c>
      <c r="C7">
        <v>22.27272727272727</v>
      </c>
      <c r="D7">
        <f>TableNFO[[#This Row],[ARIMAPP]]*$I$2+TableNFO[[#This Row],[LSTMPP]]*$I$3</f>
        <v>21.657192720438758</v>
      </c>
      <c r="E7">
        <v>25</v>
      </c>
      <c r="F7">
        <f>ABS(TableNFO[[#This Row],[PP]]-TableNFO[[#This Row],[AP]])</f>
        <v>3.3428072795612422</v>
      </c>
      <c r="H7" t="s">
        <v>3</v>
      </c>
      <c r="I7">
        <f>AVERAGE(TableNFO[DIFF])/10</f>
        <v>0.75551365882747146</v>
      </c>
    </row>
    <row r="8" spans="1:9" x14ac:dyDescent="0.2">
      <c r="A8" t="s">
        <v>150</v>
      </c>
      <c r="B8">
        <v>38.076923076923073</v>
      </c>
      <c r="C8">
        <v>29.661216789464721</v>
      </c>
      <c r="D8">
        <f>TableNFO[[#This Row],[ARIMAPP]]*$I$2+TableNFO[[#This Row],[LSTMPP]]*$I$3</f>
        <v>36.563553632377975</v>
      </c>
      <c r="E8">
        <v>42</v>
      </c>
      <c r="F8">
        <f>ABS(TableNFO[[#This Row],[PP]]-TableNFO[[#This Row],[AP]])</f>
        <v>5.4364463676220254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7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151</v>
      </c>
      <c r="B2">
        <v>19.663481089242008</v>
      </c>
      <c r="C2">
        <v>26.071428571428569</v>
      </c>
      <c r="D2">
        <f>TableSHU[[#This Row],[ARIMAPP]]*$I$2+TableSHU[[#This Row],[LSTMPP]]*$I$3</f>
        <v>24.391885927791463</v>
      </c>
      <c r="E2">
        <v>24</v>
      </c>
      <c r="F2">
        <f>ABS(TableSHU[[#This Row],[PP]]-TableSHU[[#This Row],[AP]])</f>
        <v>0.39188592779146347</v>
      </c>
      <c r="H2" t="s">
        <v>0</v>
      </c>
      <c r="I2">
        <v>0.44550283432070148</v>
      </c>
    </row>
    <row r="3" spans="1:9" x14ac:dyDescent="0.2">
      <c r="A3" t="s">
        <v>152</v>
      </c>
      <c r="B3">
        <v>24.375</v>
      </c>
      <c r="C3">
        <v>27.5</v>
      </c>
      <c r="D3">
        <f>TableSHU[[#This Row],[ARIMAPP]]*$I$2+TableSHU[[#This Row],[LSTMPP]]*$I$3</f>
        <v>27.347415168540291</v>
      </c>
      <c r="E3">
        <v>25</v>
      </c>
      <c r="F3">
        <f>ABS(TableSHU[[#This Row],[PP]]-TableSHU[[#This Row],[AP]])</f>
        <v>2.3474151685402909</v>
      </c>
      <c r="H3" t="s">
        <v>1</v>
      </c>
      <c r="I3">
        <v>0.5995739484353888</v>
      </c>
    </row>
    <row r="4" spans="1:9" x14ac:dyDescent="0.2">
      <c r="A4" t="s">
        <v>153</v>
      </c>
      <c r="B4">
        <v>9.0000000000000018</v>
      </c>
      <c r="C4">
        <v>18.125</v>
      </c>
      <c r="D4">
        <f>TableSHU[[#This Row],[ARIMAPP]]*$I$2+TableSHU[[#This Row],[LSTMPP]]*$I$3</f>
        <v>14.876803324277736</v>
      </c>
      <c r="E4">
        <v>35</v>
      </c>
      <c r="F4">
        <f>ABS(TableSHU[[#This Row],[PP]]-TableSHU[[#This Row],[AP]])</f>
        <v>20.123196675722262</v>
      </c>
    </row>
    <row r="5" spans="1:9" x14ac:dyDescent="0.2">
      <c r="A5" t="s">
        <v>154</v>
      </c>
      <c r="B5">
        <v>30</v>
      </c>
      <c r="C5">
        <v>40.059796814800698</v>
      </c>
      <c r="D5">
        <f>TableSHU[[#This Row],[ARIMAPP]]*$I$2+TableSHU[[#This Row],[LSTMPP]]*$I$3</f>
        <v>37.383895579390511</v>
      </c>
      <c r="E5">
        <v>20</v>
      </c>
      <c r="F5">
        <f>ABS(TableSHU[[#This Row],[PP]]-TableSHU[[#This Row],[AP]])</f>
        <v>17.383895579390511</v>
      </c>
      <c r="H5" t="s">
        <v>2</v>
      </c>
      <c r="I5" cm="1">
        <f t="array" ref="I5">(SUM(TableSHU[PP]-TableSHU[AP]))^2</f>
        <v>1.2621774483536189E-29</v>
      </c>
    </row>
    <row r="7" spans="1:9" x14ac:dyDescent="0.2">
      <c r="H7" t="s">
        <v>3</v>
      </c>
      <c r="I7">
        <f>AVERAGE(TableSHU[DIFF])/10</f>
        <v>1.0061598337861131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0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155</v>
      </c>
      <c r="B2">
        <v>43.451991934040016</v>
      </c>
      <c r="C2">
        <v>41.915465173516992</v>
      </c>
      <c r="D2">
        <f>TableTOT[[#This Row],[ARIMAPP]]*$I$2+TableTOT[[#This Row],[LSTMPP]]*$I$3</f>
        <v>40.654957203962063</v>
      </c>
      <c r="E2">
        <v>54</v>
      </c>
      <c r="F2">
        <f>ABS(TableTOT[[#This Row],[PP]]-TableTOT[[#This Row],[AP]])</f>
        <v>13.345042796037937</v>
      </c>
      <c r="H2" t="s">
        <v>0</v>
      </c>
      <c r="I2">
        <v>0.51892455103017165</v>
      </c>
    </row>
    <row r="3" spans="1:9" x14ac:dyDescent="0.2">
      <c r="A3" t="s">
        <v>156</v>
      </c>
      <c r="B3">
        <v>25.80893802691509</v>
      </c>
      <c r="C3">
        <v>41.076355397202271</v>
      </c>
      <c r="D3">
        <f>TableTOT[[#This Row],[ARIMAPP]]*$I$2+TableTOT[[#This Row],[LSTMPP]]*$I$3</f>
        <v>31.137064552007566</v>
      </c>
      <c r="E3">
        <v>30</v>
      </c>
      <c r="F3">
        <f>ABS(TableTOT[[#This Row],[PP]]-TableTOT[[#This Row],[AP]])</f>
        <v>1.1370645520075655</v>
      </c>
      <c r="H3" t="s">
        <v>1</v>
      </c>
      <c r="I3">
        <v>0.431980218357778</v>
      </c>
    </row>
    <row r="4" spans="1:9" x14ac:dyDescent="0.2">
      <c r="A4" t="s">
        <v>157</v>
      </c>
      <c r="B4">
        <v>28.723404255319139</v>
      </c>
      <c r="C4">
        <v>28.513513513513509</v>
      </c>
      <c r="D4">
        <f>TableTOT[[#This Row],[ARIMAPP]]*$I$2+TableTOT[[#This Row],[LSTMPP]]*$I$3</f>
        <v>27.222553450964625</v>
      </c>
      <c r="E4">
        <v>37</v>
      </c>
      <c r="F4">
        <f>ABS(TableTOT[[#This Row],[PP]]-TableTOT[[#This Row],[AP]])</f>
        <v>9.7774465490353748</v>
      </c>
    </row>
    <row r="5" spans="1:9" x14ac:dyDescent="0.2">
      <c r="A5" t="s">
        <v>158</v>
      </c>
      <c r="B5">
        <v>80</v>
      </c>
      <c r="C5">
        <v>44.013426808487573</v>
      </c>
      <c r="D5">
        <f>TableTOT[[#This Row],[ARIMAPP]]*$I$2+TableTOT[[#This Row],[LSTMPP]]*$I$3</f>
        <v>60.526893805818275</v>
      </c>
      <c r="E5">
        <v>35</v>
      </c>
      <c r="F5">
        <f>ABS(TableTOT[[#This Row],[PP]]-TableTOT[[#This Row],[AP]])</f>
        <v>25.526893805818275</v>
      </c>
      <c r="H5" t="s">
        <v>2</v>
      </c>
      <c r="I5" cm="1">
        <f t="array" ref="I5">(SUM(TableTOT[PP]-TableTOT[AP]))^2</f>
        <v>5.0487097934144756E-29</v>
      </c>
    </row>
    <row r="6" spans="1:9" x14ac:dyDescent="0.2">
      <c r="A6" t="s">
        <v>159</v>
      </c>
      <c r="B6">
        <v>31.081081081081091</v>
      </c>
      <c r="C6">
        <v>33.783020326167062</v>
      </c>
      <c r="D6">
        <f>TableTOT[[#This Row],[ARIMAPP]]*$I$2+TableTOT[[#This Row],[LSTMPP]]*$I$3</f>
        <v>30.722332542815266</v>
      </c>
      <c r="E6">
        <v>25</v>
      </c>
      <c r="F6">
        <f>ABS(TableTOT[[#This Row],[PP]]-TableTOT[[#This Row],[AP]])</f>
        <v>5.7223325428152663</v>
      </c>
    </row>
    <row r="7" spans="1:9" x14ac:dyDescent="0.2">
      <c r="A7" t="s">
        <v>160</v>
      </c>
      <c r="B7">
        <v>41.578947368421048</v>
      </c>
      <c r="C7">
        <v>44.245785422580298</v>
      </c>
      <c r="D7">
        <f>TableTOT[[#This Row],[ARIMAPP]]*$I$2+TableTOT[[#This Row],[LSTMPP]]*$I$3</f>
        <v>40.689640643722655</v>
      </c>
      <c r="E7">
        <v>76</v>
      </c>
      <c r="F7">
        <f>ABS(TableTOT[[#This Row],[PP]]-TableTOT[[#This Row],[AP]])</f>
        <v>35.310359356277345</v>
      </c>
      <c r="H7" t="s">
        <v>3</v>
      </c>
      <c r="I7">
        <f>AVERAGE(TableTOT[DIFF])/10</f>
        <v>1.3646225756335215</v>
      </c>
    </row>
    <row r="8" spans="1:9" x14ac:dyDescent="0.2">
      <c r="A8" t="s">
        <v>161</v>
      </c>
      <c r="B8">
        <v>42.214845699876022</v>
      </c>
      <c r="C8">
        <v>19</v>
      </c>
      <c r="D8">
        <f>TableTOT[[#This Row],[ARIMAPP]]*$I$2+TableTOT[[#This Row],[LSTMPP]]*$I$3</f>
        <v>30.113944000413916</v>
      </c>
      <c r="E8">
        <v>25</v>
      </c>
      <c r="F8">
        <f>ABS(TableTOT[[#This Row],[PP]]-TableTOT[[#This Row],[AP]])</f>
        <v>5.1139440004139161</v>
      </c>
    </row>
    <row r="9" spans="1:9" x14ac:dyDescent="0.2">
      <c r="A9" t="s">
        <v>162</v>
      </c>
      <c r="B9">
        <v>42.201279484280263</v>
      </c>
      <c r="C9">
        <v>30.38461538461539</v>
      </c>
      <c r="D9">
        <f>TableTOT[[#This Row],[ARIMAPP]]*$I$2+TableTOT[[#This Row],[LSTMPP]]*$I$3</f>
        <v>35.024832797842187</v>
      </c>
      <c r="E9">
        <v>38</v>
      </c>
      <c r="F9">
        <f>ABS(TableTOT[[#This Row],[PP]]-TableTOT[[#This Row],[AP]])</f>
        <v>2.9751672021578131</v>
      </c>
    </row>
    <row r="10" spans="1:9" x14ac:dyDescent="0.2">
      <c r="A10" t="s">
        <v>163</v>
      </c>
      <c r="B10">
        <v>63.33333333333335</v>
      </c>
      <c r="C10">
        <v>48.711858883735268</v>
      </c>
      <c r="D10">
        <f>TableTOT[[#This Row],[ARIMAPP]]*$I$2+TableTOT[[#This Row],[LSTMPP]]*$I$3</f>
        <v>53.90778100245344</v>
      </c>
      <c r="E10">
        <v>30</v>
      </c>
      <c r="F10">
        <f>ABS(TableTOT[[#This Row],[PP]]-TableTOT[[#This Row],[AP]])</f>
        <v>23.90778100245344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"/>
  <sheetViews>
    <sheetView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164</v>
      </c>
      <c r="B2">
        <v>37.133333333333383</v>
      </c>
      <c r="C2">
        <v>39.772189406627419</v>
      </c>
      <c r="D2">
        <f>TableWHU[[#This Row],[ARIMAPP]]*$I$2+TableWHU[[#This Row],[LSTMPP]]*$I$3</f>
        <v>37.41085974331169</v>
      </c>
      <c r="E2">
        <v>28</v>
      </c>
      <c r="F2">
        <f>ABS(TableWHU[[#This Row],[PP]]-TableWHU[[#This Row],[AP]])</f>
        <v>9.4108597433116898</v>
      </c>
      <c r="H2" t="s">
        <v>0</v>
      </c>
      <c r="I2">
        <v>0.48038168146899896</v>
      </c>
    </row>
    <row r="3" spans="1:9" x14ac:dyDescent="0.2">
      <c r="A3" t="s">
        <v>165</v>
      </c>
      <c r="B3">
        <v>38.757050428624837</v>
      </c>
      <c r="C3">
        <v>38.010272162657792</v>
      </c>
      <c r="D3">
        <f>TableWHU[[#This Row],[ARIMAPP]]*$I$2+TableWHU[[#This Row],[LSTMPP]]*$I$3</f>
        <v>37.32378911999848</v>
      </c>
      <c r="E3">
        <v>41</v>
      </c>
      <c r="F3">
        <f>ABS(TableWHU[[#This Row],[PP]]-TableWHU[[#This Row],[AP]])</f>
        <v>3.6762108800015199</v>
      </c>
      <c r="H3" t="s">
        <v>1</v>
      </c>
      <c r="I3">
        <v>0.4921199192226185</v>
      </c>
    </row>
    <row r="4" spans="1:9" x14ac:dyDescent="0.2">
      <c r="A4" t="s">
        <v>166</v>
      </c>
      <c r="B4">
        <v>32.803030303030283</v>
      </c>
      <c r="C4">
        <v>31.333333333333329</v>
      </c>
      <c r="D4">
        <f>TableWHU[[#This Row],[ARIMAPP]]*$I$2+TableWHU[[#This Row],[LSTMPP]]*$I$3</f>
        <v>31.177732323223591</v>
      </c>
      <c r="E4">
        <v>27</v>
      </c>
      <c r="F4">
        <f>ABS(TableWHU[[#This Row],[PP]]-TableWHU[[#This Row],[AP]])</f>
        <v>4.1777323232235908</v>
      </c>
    </row>
    <row r="5" spans="1:9" x14ac:dyDescent="0.2">
      <c r="A5" t="s">
        <v>167</v>
      </c>
      <c r="B5">
        <v>42.920445972224087</v>
      </c>
      <c r="C5">
        <v>42.811488566245202</v>
      </c>
      <c r="D5">
        <f>TableWHU[[#This Row],[ARIMAPP]]*$I$2+TableWHU[[#This Row],[LSTMPP]]*$I$3</f>
        <v>41.686582300556978</v>
      </c>
      <c r="E5">
        <v>64</v>
      </c>
      <c r="F5">
        <f>ABS(TableWHU[[#This Row],[PP]]-TableWHU[[#This Row],[AP]])</f>
        <v>22.313417699443022</v>
      </c>
      <c r="H5" t="s">
        <v>2</v>
      </c>
      <c r="I5" cm="1">
        <f t="array" ref="I5">(SUM(TableWHU[PP]-TableWHU[AP]))^2</f>
        <v>6.1846694969327326E-28</v>
      </c>
    </row>
    <row r="6" spans="1:9" x14ac:dyDescent="0.2">
      <c r="A6" t="s">
        <v>168</v>
      </c>
      <c r="B6">
        <v>32.380952380952372</v>
      </c>
      <c r="C6">
        <v>31.969696969696962</v>
      </c>
      <c r="D6">
        <f>TableWHU[[#This Row],[ARIMAPP]]*$I$2+TableWHU[[#This Row],[LSTMPP]]*$I$3</f>
        <v>31.288141042628347</v>
      </c>
      <c r="E6">
        <v>25</v>
      </c>
      <c r="F6">
        <f>ABS(TableWHU[[#This Row],[PP]]-TableWHU[[#This Row],[AP]])</f>
        <v>6.2881410426283466</v>
      </c>
    </row>
    <row r="7" spans="1:9" x14ac:dyDescent="0.2">
      <c r="A7" t="s">
        <v>169</v>
      </c>
      <c r="B7">
        <v>19.999999999999989</v>
      </c>
      <c r="C7">
        <v>23.478260869565219</v>
      </c>
      <c r="D7">
        <f>TableWHU[[#This Row],[ARIMAPP]]*$I$2+TableWHU[[#This Row],[LSTMPP]]*$I$3</f>
        <v>21.161753471997976</v>
      </c>
      <c r="E7">
        <v>21</v>
      </c>
      <c r="F7">
        <f>ABS(TableWHU[[#This Row],[PP]]-TableWHU[[#This Row],[AP]])</f>
        <v>0.16175347199797585</v>
      </c>
      <c r="H7" t="s">
        <v>3</v>
      </c>
      <c r="I7">
        <f>AVERAGE(TableWHU[DIFF])/10</f>
        <v>0.74256081655555872</v>
      </c>
    </row>
    <row r="8" spans="1:9" x14ac:dyDescent="0.2">
      <c r="A8" t="s">
        <v>170</v>
      </c>
      <c r="B8">
        <v>35.714285714285701</v>
      </c>
      <c r="C8">
        <v>38.191206330520593</v>
      </c>
      <c r="D8">
        <f>TableWHU[[#This Row],[ARIMAPP]]*$I$2+TableWHU[[#This Row],[LSTMPP]]*$I$3</f>
        <v>35.951141998282964</v>
      </c>
      <c r="E8">
        <v>30</v>
      </c>
      <c r="F8">
        <f>ABS(TableWHU[[#This Row],[PP]]-TableWHU[[#This Row],[AP]])</f>
        <v>5.9511419982829636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7"/>
  <sheetViews>
    <sheetView tabSelected="1" workbookViewId="0">
      <selection activeCell="I3" sqref="I3"/>
    </sheetView>
  </sheetViews>
  <sheetFormatPr baseColWidth="10" defaultColWidth="8.83203125" defaultRowHeight="15" x14ac:dyDescent="0.2"/>
  <sheetData>
    <row r="1" spans="1:9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9" x14ac:dyDescent="0.2">
      <c r="A2" t="s">
        <v>171</v>
      </c>
      <c r="B2">
        <v>19.131391301663069</v>
      </c>
      <c r="C2">
        <v>25.188679245283019</v>
      </c>
      <c r="D2">
        <f>TableWOL[[#This Row],[ARIMAPP]]*$I$2+TableWOL[[#This Row],[LSTMPP]]*$I$3</f>
        <v>33.442164507225037</v>
      </c>
      <c r="E2">
        <v>29</v>
      </c>
      <c r="F2">
        <f>ABS(TableWOL[[#This Row],[PP]]-TableWOL[[#This Row],[AP]])</f>
        <v>4.4421645072250371</v>
      </c>
      <c r="H2" t="s">
        <v>0</v>
      </c>
      <c r="I2">
        <v>0.72390580935162085</v>
      </c>
    </row>
    <row r="3" spans="1:9" x14ac:dyDescent="0.2">
      <c r="A3" t="s">
        <v>40</v>
      </c>
      <c r="B3">
        <v>25.758689774265239</v>
      </c>
      <c r="C3">
        <v>29.002025219348209</v>
      </c>
      <c r="D3">
        <f>TableWOL[[#This Row],[ARIMAPP]]*$I$2+TableWOL[[#This Row],[LSTMPP]]*$I$3</f>
        <v>41.205889052181064</v>
      </c>
      <c r="E3">
        <v>52</v>
      </c>
      <c r="F3">
        <f>ABS(TableWOL[[#This Row],[PP]]-TableWOL[[#This Row],[AP]])</f>
        <v>10.794110947818936</v>
      </c>
      <c r="H3" t="s">
        <v>1</v>
      </c>
      <c r="I3">
        <v>0.77784305450001479</v>
      </c>
    </row>
    <row r="4" spans="1:9" x14ac:dyDescent="0.2">
      <c r="A4" t="s">
        <v>172</v>
      </c>
      <c r="B4">
        <v>39.147115875829158</v>
      </c>
      <c r="C4">
        <v>34.385964912280691</v>
      </c>
      <c r="D4">
        <f>TableWOL[[#This Row],[ARIMAPP]]*$I$2+TableWOL[[#This Row],[LSTMPP]]*$I$3</f>
        <v>55.08570858117254</v>
      </c>
      <c r="E4">
        <v>24</v>
      </c>
      <c r="F4">
        <f>ABS(TableWOL[[#This Row],[PP]]-TableWOL[[#This Row],[AP]])</f>
        <v>31.08570858117254</v>
      </c>
    </row>
    <row r="5" spans="1:9" x14ac:dyDescent="0.2">
      <c r="A5" t="s">
        <v>173</v>
      </c>
      <c r="B5">
        <v>22.333333333333329</v>
      </c>
      <c r="C5">
        <v>24.583333333333329</v>
      </c>
      <c r="D5">
        <f>TableWOL[[#This Row],[ARIMAPP]]*$I$2+TableWOL[[#This Row],[LSTMPP]]*$I$3</f>
        <v>35.289204831978225</v>
      </c>
      <c r="E5">
        <v>56</v>
      </c>
      <c r="F5">
        <f>ABS(TableWOL[[#This Row],[PP]]-TableWOL[[#This Row],[AP]])</f>
        <v>20.710795168021775</v>
      </c>
      <c r="H5" t="s">
        <v>2</v>
      </c>
      <c r="I5" cm="1">
        <f t="array" ref="I5">(SUM(TableWOL[PP]-TableWOL[AP]))^2</f>
        <v>1.8175355256292112E-27</v>
      </c>
    </row>
    <row r="6" spans="1:9" x14ac:dyDescent="0.2">
      <c r="A6" t="s">
        <v>174</v>
      </c>
      <c r="B6">
        <v>22.5</v>
      </c>
      <c r="C6">
        <v>25.3125</v>
      </c>
      <c r="D6">
        <f>TableWOL[[#This Row],[ARIMAPP]]*$I$2+TableWOL[[#This Row],[LSTMPP]]*$I$3</f>
        <v>35.977033027443092</v>
      </c>
      <c r="E6">
        <v>40</v>
      </c>
      <c r="F6">
        <f>ABS(TableWOL[[#This Row],[PP]]-TableWOL[[#This Row],[AP]])</f>
        <v>4.0229669725569082</v>
      </c>
    </row>
    <row r="7" spans="1:9" x14ac:dyDescent="0.2">
      <c r="H7" t="s">
        <v>3</v>
      </c>
      <c r="I7">
        <f>AVERAGE(TableWOL[DIFF])/10</f>
        <v>1.421114923535904</v>
      </c>
    </row>
  </sheetData>
  <conditionalFormatting sqref="I7">
    <cfRule type="colorScale" priority="1">
      <colorScale>
        <cfvo type="num" val="0"/>
        <cfvo type="num" val="1"/>
        <cfvo type="num" val="2"/>
        <color rgb="FF00FF00"/>
        <color rgb="FFFFFF0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ARS</vt:lpstr>
      <vt:lpstr>AVL</vt:lpstr>
      <vt:lpstr>BOU</vt:lpstr>
      <vt:lpstr>BRE</vt:lpstr>
      <vt:lpstr>BHA</vt:lpstr>
      <vt:lpstr>BUR</vt:lpstr>
      <vt:lpstr>CHE</vt:lpstr>
      <vt:lpstr>CRY</vt:lpstr>
      <vt:lpstr>EVE</vt:lpstr>
      <vt:lpstr>FUL</vt:lpstr>
      <vt:lpstr>LIV</vt:lpstr>
      <vt:lpstr>MCI</vt:lpstr>
      <vt:lpstr>MUN</vt:lpstr>
      <vt:lpstr>NEW</vt:lpstr>
      <vt:lpstr>NFO</vt:lpstr>
      <vt:lpstr>SHU</vt:lpstr>
      <vt:lpstr>TOT</vt:lpstr>
      <vt:lpstr>WHU</vt:lpstr>
      <vt:lpstr>WOL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2023-12-01T18:26:56Z</dcterms:created>
  <dcterms:modified xsi:type="dcterms:W3CDTF">2023-12-01T18:48:31Z</dcterms:modified>
</cp:coreProperties>
</file>