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7B4DBD9F-4C71-4918-9EF1-4D9A06AC14FF}" xr6:coauthVersionLast="47" xr6:coauthVersionMax="47" xr10:uidLastSave="{00000000-0000-0000-0000-000000000000}"/>
  <bookViews>
    <workbookView xWindow="-110" yWindow="-110" windowWidth="38620" windowHeight="21100" activeTab="17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SHU" sheetId="15" r:id="rId15"/>
    <sheet name="TOT" sheetId="16" r:id="rId16"/>
    <sheet name="WHU" sheetId="17" r:id="rId17"/>
    <sheet name="WOL" sheetId="18" r:id="rId18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SHU!$I$2:$I$3</definedName>
    <definedName name="solver_adj" localSheetId="15" hidden="1">TOT!$I$2:$I$3</definedName>
    <definedName name="solver_adj" localSheetId="16" hidden="1">WHU!$I$2:$I$3</definedName>
    <definedName name="solver_adj" localSheetId="17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SHU!$I$5</definedName>
    <definedName name="solver_opt" localSheetId="15" hidden="1">TOT!$I$5</definedName>
    <definedName name="solver_opt" localSheetId="16" hidden="1">WHU!$I$5</definedName>
    <definedName name="solver_opt" localSheetId="17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/>
  <c r="XFD1048565" i="1" a="1"/>
  <c r="XFD1048565" i="1"/>
  <c r="XFD1048566" i="1" a="1"/>
  <c r="XFD1048566" i="1" s="1"/>
  <c r="XFD1048567" i="1" a="1"/>
  <c r="XFD1048567" i="1"/>
  <c r="XFD1048568" i="1" a="1"/>
  <c r="XFD1048568" i="1" s="1"/>
  <c r="XFD1048569" i="1" a="1"/>
  <c r="XFD1048569" i="1" s="1"/>
  <c r="XFD1048570" i="1" a="1"/>
  <c r="XFD1048570" i="1" s="1"/>
  <c r="XFD1048571" i="1" a="1"/>
  <c r="XFD1048571" i="1" s="1"/>
  <c r="XFD1048572" i="1" a="1"/>
  <c r="XFD1048572" i="1" s="1"/>
  <c r="XFD1048573" i="1" a="1"/>
  <c r="XFD1048573" i="1" s="1"/>
  <c r="XFD1048574" i="1" a="1"/>
  <c r="XFD1048574" i="1" s="1"/>
  <c r="XFD1048575" i="1" a="1"/>
  <c r="XFD1048575" i="1"/>
  <c r="D5" i="18"/>
  <c r="D4" i="18"/>
  <c r="F4" i="18" s="1"/>
  <c r="D3" i="18"/>
  <c r="F3" i="18" s="1"/>
  <c r="D2" i="18"/>
  <c r="F2" i="18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7" i="16"/>
  <c r="F7" i="16" s="1"/>
  <c r="D6" i="16"/>
  <c r="F6" i="16" s="1"/>
  <c r="D5" i="16"/>
  <c r="D4" i="16"/>
  <c r="F4" i="16" s="1"/>
  <c r="D3" i="16"/>
  <c r="F3" i="16" s="1"/>
  <c r="D2" i="16"/>
  <c r="D2" i="15"/>
  <c r="F2" i="15" s="1"/>
  <c r="I7" i="15" s="1"/>
  <c r="D6" i="14"/>
  <c r="F6" i="14" s="1"/>
  <c r="D5" i="14"/>
  <c r="D4" i="14"/>
  <c r="F4" i="14" s="1"/>
  <c r="D3" i="14"/>
  <c r="F3" i="14" s="1"/>
  <c r="D2" i="14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8" i="12"/>
  <c r="F8" i="12" s="1"/>
  <c r="F7" i="12"/>
  <c r="D7" i="12"/>
  <c r="D6" i="12"/>
  <c r="F6" i="12" s="1"/>
  <c r="D5" i="12"/>
  <c r="F5" i="12" s="1"/>
  <c r="D4" i="12"/>
  <c r="F4" i="12" s="1"/>
  <c r="D3" i="12"/>
  <c r="F3" i="12" s="1"/>
  <c r="D2" i="12"/>
  <c r="F2" i="12" s="1"/>
  <c r="D9" i="11"/>
  <c r="F9" i="11" s="1"/>
  <c r="D8" i="11"/>
  <c r="F8" i="11" s="1"/>
  <c r="D7" i="11"/>
  <c r="F7" i="11" s="1"/>
  <c r="D6" i="11"/>
  <c r="F6" i="11" s="1"/>
  <c r="D5" i="11"/>
  <c r="D4" i="11"/>
  <c r="F4" i="11" s="1"/>
  <c r="D3" i="11"/>
  <c r="F3" i="11" s="1"/>
  <c r="D2" i="11"/>
  <c r="F2" i="11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D5" i="5"/>
  <c r="F5" i="5" s="1"/>
  <c r="D4" i="5"/>
  <c r="F4" i="5" s="1"/>
  <c r="D3" i="5"/>
  <c r="F3" i="5" s="1"/>
  <c r="D2" i="5"/>
  <c r="D10" i="4"/>
  <c r="F10" i="4" s="1"/>
  <c r="D9" i="4"/>
  <c r="F9" i="4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5" i="3"/>
  <c r="F5" i="3" s="1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18" l="1" a="1"/>
  <c r="I5" i="18" s="1"/>
  <c r="I7" i="17"/>
  <c r="I5" i="17" a="1"/>
  <c r="I5" i="17" s="1"/>
  <c r="I5" i="16" a="1"/>
  <c r="I5" i="16" s="1"/>
  <c r="F2" i="16"/>
  <c r="I5" i="15"/>
  <c r="I5" i="14" a="1"/>
  <c r="I5" i="14" s="1"/>
  <c r="F2" i="14"/>
  <c r="I5" i="13" a="1"/>
  <c r="I5" i="13" s="1"/>
  <c r="I5" i="12" a="1"/>
  <c r="I5" i="12" s="1"/>
  <c r="I5" i="11" a="1"/>
  <c r="I5" i="11" s="1"/>
  <c r="I5" i="10" a="1"/>
  <c r="I5" i="10" s="1"/>
  <c r="F2" i="10"/>
  <c r="I7" i="10" s="1"/>
  <c r="I5" i="9" a="1"/>
  <c r="I5" i="9" s="1"/>
  <c r="F2" i="9"/>
  <c r="I7" i="9" s="1"/>
  <c r="I7" i="8"/>
  <c r="I5" i="8" a="1"/>
  <c r="I5" i="8" s="1"/>
  <c r="I5" i="7" a="1"/>
  <c r="I5" i="7" s="1"/>
  <c r="I5" i="6" a="1"/>
  <c r="I5" i="6" s="1"/>
  <c r="F2" i="6"/>
  <c r="I7" i="6" s="1"/>
  <c r="I5" i="5" a="1"/>
  <c r="I5" i="5" s="1"/>
  <c r="F2" i="5"/>
  <c r="I7" i="5" s="1"/>
  <c r="I5" i="4" a="1"/>
  <c r="I5" i="4" s="1"/>
  <c r="I7" i="3"/>
  <c r="I5" i="3" a="1"/>
  <c r="I5" i="3" s="1"/>
  <c r="I5" i="2" a="1"/>
  <c r="I5" i="2" s="1"/>
  <c r="I5" i="1" a="1"/>
  <c r="I5" i="1" s="1"/>
  <c r="I7" i="13"/>
  <c r="I7" i="12"/>
  <c r="I7" i="2"/>
  <c r="I7" i="1"/>
  <c r="I7" i="18"/>
  <c r="I7" i="7"/>
  <c r="F5" i="14"/>
  <c r="I7" i="14" s="1"/>
  <c r="F5" i="16"/>
  <c r="I7" i="16" s="1"/>
  <c r="F5" i="4"/>
  <c r="I7" i="4" s="1"/>
  <c r="F5" i="11"/>
  <c r="I7" i="11" s="1"/>
  <c r="F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<sst xmlns="http://schemas.openxmlformats.org/spreadsheetml/2006/main" count="302" uniqueCount="131">
  <si>
    <t>Name</t>
  </si>
  <si>
    <t>ARIMAPP</t>
  </si>
  <si>
    <t>LSTMPP</t>
  </si>
  <si>
    <t>PP</t>
  </si>
  <si>
    <t>AP</t>
  </si>
  <si>
    <t>DIFF</t>
  </si>
  <si>
    <t>Gabriel</t>
  </si>
  <si>
    <t>ARIMA</t>
  </si>
  <si>
    <t>Havertz</t>
  </si>
  <si>
    <t>LSTM</t>
  </si>
  <si>
    <t>Martinelli</t>
  </si>
  <si>
    <t>Nketiah</t>
  </si>
  <si>
    <t>OFF</t>
  </si>
  <si>
    <t>Ødegaard</t>
  </si>
  <si>
    <t>Saka</t>
  </si>
  <si>
    <t>AVG</t>
  </si>
  <si>
    <t>Saliba</t>
  </si>
  <si>
    <t>White</t>
  </si>
  <si>
    <t>Zinchenko</t>
  </si>
  <si>
    <t>Rice</t>
  </si>
  <si>
    <t>Bailey</t>
  </si>
  <si>
    <t>Cash</t>
  </si>
  <si>
    <t>Digne</t>
  </si>
  <si>
    <t>Douglas Luiz</t>
  </si>
  <si>
    <t>Kamara</t>
  </si>
  <si>
    <t>Konsa</t>
  </si>
  <si>
    <t>Martinez</t>
  </si>
  <si>
    <t>McGinn</t>
  </si>
  <si>
    <t>Watkins</t>
  </si>
  <si>
    <t>Billing</t>
  </si>
  <si>
    <t>Christie</t>
  </si>
  <si>
    <t>Neto</t>
  </si>
  <si>
    <t>Solanke</t>
  </si>
  <si>
    <t>Ajer</t>
  </si>
  <si>
    <t>Collins</t>
  </si>
  <si>
    <t>Hickey</t>
  </si>
  <si>
    <t>Janelt</t>
  </si>
  <si>
    <t>Jensen</t>
  </si>
  <si>
    <t>Mbeumo</t>
  </si>
  <si>
    <t>Nørgaard</t>
  </si>
  <si>
    <t>Pinnock</t>
  </si>
  <si>
    <t>Wissa</t>
  </si>
  <si>
    <t>Ferguson</t>
  </si>
  <si>
    <t>Gross</t>
  </si>
  <si>
    <t>João Pedro</t>
  </si>
  <si>
    <t>Mitoma</t>
  </si>
  <si>
    <t>Sanchez</t>
  </si>
  <si>
    <t>Colwill</t>
  </si>
  <si>
    <t>Gallagher</t>
  </si>
  <si>
    <t>Mudryk</t>
  </si>
  <si>
    <t>Sterling</t>
  </si>
  <si>
    <t>T.Silva</t>
  </si>
  <si>
    <t>Palmer</t>
  </si>
  <si>
    <t>Andersen</t>
  </si>
  <si>
    <t>J.Ayew</t>
  </si>
  <si>
    <t>C.Doucouré</t>
  </si>
  <si>
    <t>Edouard</t>
  </si>
  <si>
    <t>Guéhi</t>
  </si>
  <si>
    <t>Johnstone</t>
  </si>
  <si>
    <t>Mitchell</t>
  </si>
  <si>
    <t>Schlupp</t>
  </si>
  <si>
    <t>Ward</t>
  </si>
  <si>
    <t>Calvert-Lewin</t>
  </si>
  <si>
    <t>A.Doucoure</t>
  </si>
  <si>
    <t>Garner</t>
  </si>
  <si>
    <t>Onana</t>
  </si>
  <si>
    <t>Pickford</t>
  </si>
  <si>
    <t>Tarkowski</t>
  </si>
  <si>
    <t>Andreas</t>
  </si>
  <si>
    <t>De Cordova-Reid</t>
  </si>
  <si>
    <t>Diop</t>
  </si>
  <si>
    <t>Leno</t>
  </si>
  <si>
    <t>J.Palhinha</t>
  </si>
  <si>
    <t>Ream</t>
  </si>
  <si>
    <t>Reed</t>
  </si>
  <si>
    <t>Alexander-Arnold</t>
  </si>
  <si>
    <t>A.Becker</t>
  </si>
  <si>
    <t>Darwin</t>
  </si>
  <si>
    <t>Diogo J.</t>
  </si>
  <si>
    <t>Gakpo</t>
  </si>
  <si>
    <t>Konaté</t>
  </si>
  <si>
    <t>Luis Díaz</t>
  </si>
  <si>
    <t>Robertson</t>
  </si>
  <si>
    <t>Salah</t>
  </si>
  <si>
    <t>Virgil</t>
  </si>
  <si>
    <t>Aké</t>
  </si>
  <si>
    <t>J.Alvarez</t>
  </si>
  <si>
    <t>Rúben</t>
  </si>
  <si>
    <t>Ederson M.</t>
  </si>
  <si>
    <t>Foden</t>
  </si>
  <si>
    <t>Haaland</t>
  </si>
  <si>
    <t>Rodrigo</t>
  </si>
  <si>
    <t>Walker</t>
  </si>
  <si>
    <t>B.Fernandes</t>
  </si>
  <si>
    <t>Casemiro</t>
  </si>
  <si>
    <t>Dalot</t>
  </si>
  <si>
    <t>Eriksen</t>
  </si>
  <si>
    <t>Lindelof</t>
  </si>
  <si>
    <t>McTominay</t>
  </si>
  <si>
    <t>Rashford</t>
  </si>
  <si>
    <t>Almirón</t>
  </si>
  <si>
    <t>Bruno G.</t>
  </si>
  <si>
    <t>Burn</t>
  </si>
  <si>
    <t>Gordon</t>
  </si>
  <si>
    <t>Isak</t>
  </si>
  <si>
    <t>Longstaff</t>
  </si>
  <si>
    <t>Pope</t>
  </si>
  <si>
    <t>Schär</t>
  </si>
  <si>
    <t>Trippier</t>
  </si>
  <si>
    <t>Wilson</t>
  </si>
  <si>
    <t>Elanga</t>
  </si>
  <si>
    <t>Awoniyi</t>
  </si>
  <si>
    <t>Boly</t>
  </si>
  <si>
    <t>Gibbs-White</t>
  </si>
  <si>
    <t>Wood</t>
  </si>
  <si>
    <t>Bogle</t>
  </si>
  <si>
    <t>Kulusevski</t>
  </si>
  <si>
    <t>Maddison</t>
  </si>
  <si>
    <t>Pedro Porro</t>
  </si>
  <si>
    <t>Richarlison</t>
  </si>
  <si>
    <t>Romero</t>
  </si>
  <si>
    <t>Son</t>
  </si>
  <si>
    <t>N.Aguerd</t>
  </si>
  <si>
    <t>Antonio</t>
  </si>
  <si>
    <t>Bowen</t>
  </si>
  <si>
    <t>Emerson</t>
  </si>
  <si>
    <t>L.Paquetá</t>
  </si>
  <si>
    <t>Ward-Prowse</t>
  </si>
  <si>
    <t>Hee Chan</t>
  </si>
  <si>
    <t>Lemina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</si>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</sst>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1">
  <autoFilter ref="A1:F11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>
  <autoFilter ref="A1:F10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5">
  <autoFilter ref="A1:F5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8">
  <autoFilter ref="A1:F8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7">
  <autoFilter ref="A1:F7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11">
  <autoFilter ref="A1:F11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9">
  <autoFilter ref="A1:F9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1">
  <autoFilter ref="A1:F11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6">
  <autoFilter ref="A1:F6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SHU" displayName="TableSHU" ref="A1:F2">
  <autoFilter ref="A1:F2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TOT" displayName="TableTOT" ref="A1:F7">
  <autoFilter ref="A1:F7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HU" displayName="TableWHU" ref="A1:F7">
  <autoFilter ref="A1:F7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WOL" displayName="TableWOL" ref="A1:F5">
  <autoFilter ref="A1:F5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353035-6345-499F-A88F-250D36E88FB0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1031699053547566&quot;"/>
    <we:property name="CTMySScPBw==" value="&quot;&quot;"/>
    <we:property name="CTMySRsCAQMBOm0dNj4=" value="&quot;DzMm&quot;"/>
    <we:property name="CTMySSUMFTgNJg==" value="&quot;eQ==&quot;"/>
    <we:property name="CTMySRsCAQMBOm0WPT4=" value="&quot;eQ==&quot;"/>
    <we:property name="CTMySRsCAQMBOm0IKjw=" value="&quot;eE9RWFhdXUQ=&quot;"/>
    <we:property name="CTMySRsCAQMBOm0LOzU=" value="&quot;eQ==&quot;"/>
    <we:property name="CTMySRsCAQMBOm0KNCE=" value="&quot;eA==&quot;"/>
    <we:property name="CTMySRsCAQMBOm0MNzU=" value="&quot;eE9RWQ==&quot;"/>
    <we:property name="CTMySRsCAQMBOm0bLj4=" value="&quot;eE9RWFhc&quot;"/>
    <we:property name="CTMySRsCAQMBOm0VKzU=" value="&quot;eA==&quot;"/>
    <we:property name="CTMySRsCAQMBOm0LKyM=" value="&quot;eVFR&quot;"/>
    <we:property name="CTMySRsCAQMBOm0KKz0=" value="&quot;eA==&quot;"/>
    <we:property name="CTMySRsCAQMBOm0VKi0=" value="&quot;eE9RX10=&quot;"/>
    <we:property name="CTMySRsCAQMBOm0VNjA=" value="&quot;e1E=&quot;"/>
    <we:property name="CTMySRsCAQMBOm0KOi8=" value="&quot;eQ==&quot;"/>
    <we:property name="CTMySRsCAQMBOm0WLCs=" value="&quot;eg==&quot;"/>
    <we:property name="CTMySRsCAQMBOm0ZOzo=" value="&quot;eE9RWFk=&quot;"/>
    <we:property name="CTMySRsCAQMBOm0KPSo=" value="&quot;fQ==&quot;"/>
    <we:property name="CTMySRsCAQMBOm0ZKio=" value="&quot;eQ==&quot;"/>
    <we:property name="CTMySRsCAQMBOm0LLDg=" value="&quot;eA==&quot;"/>
    <we:property name="CTMySRsCAQMBOm0VPS0=" value="&quot;eg==&quot;"/>
    <we:property name="CTMySRsCAQMBOm0LNzo=" value="&quot;eA==&quot;"/>
    <we:property name="CTMySRsCAQMBOm0UKC0=" value="&quot;eA==&quot;"/>
    <we:property name="CTMySRsCAQMBOm0UKCk=" value="&quot;eA==&quot;"/>
    <we:property name="CTMySRsCAQMBOm0fOSk=" value="&quot;eE9RWFhdXUQ=&quot;"/>
    <we:property name="CTMySRsCAQMBOm0RKCo=" value="&quot;eE9YUQ==&quot;"/>
    <we:property name="CTMySRsCAQMBOm0ePTg=" value="&quot;eE9RWFhdXUQ=&quot;"/>
    <we:property name="CTMySRsCAQMBOm0RKDA=" value="&quot;eQ==&quot;"/>
    <we:property name="CTMySRsCAQMBOm0RKD0=" value="&quot;ew==&quot;"/>
  </we:properties>
  <we:bindings>
    <we:binding id="refEdit" type="matrix" appref="{36F7A1DF-34B1-417E-AE3C-A93A1730BD8D}"/>
    <we:binding id="Worker" type="matrix" appref="{6A088B36-3C5D-412E-BAB5-EDE56687672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58.064516158375604</v>
      </c>
      <c r="C2">
        <v>38.985355749188081</v>
      </c>
      <c r="D2">
        <f t="shared" ref="D2:D11" si="0">B2*$I$2+C2*$I$3</f>
        <v>43.986543307157348</v>
      </c>
      <c r="E2">
        <v>33</v>
      </c>
      <c r="F2">
        <f t="shared" ref="F2:F11" si="1">ABS(D2-E2)</f>
        <v>10.986543307157348</v>
      </c>
      <c r="H2" t="s">
        <v>7</v>
      </c>
      <c r="I2">
        <v>0.40485133540109208</v>
      </c>
    </row>
    <row r="3" spans="1:9" x14ac:dyDescent="0.35">
      <c r="A3" t="s">
        <v>8</v>
      </c>
      <c r="B3">
        <v>48.456790123852741</v>
      </c>
      <c r="C3">
        <v>34.73760490868785</v>
      </c>
      <c r="D3">
        <f t="shared" si="0"/>
        <v>37.865494823221852</v>
      </c>
      <c r="E3">
        <v>22</v>
      </c>
      <c r="F3">
        <f t="shared" si="1"/>
        <v>15.865494823221852</v>
      </c>
      <c r="H3" t="s">
        <v>9</v>
      </c>
      <c r="I3">
        <v>0.52530100104183863</v>
      </c>
    </row>
    <row r="4" spans="1:9" x14ac:dyDescent="0.35">
      <c r="A4" t="s">
        <v>10</v>
      </c>
      <c r="B4">
        <v>52.192177674562529</v>
      </c>
      <c r="C4">
        <v>64.293784498782173</v>
      </c>
      <c r="D4">
        <f t="shared" si="0"/>
        <v>54.903662187016224</v>
      </c>
      <c r="E4">
        <v>30</v>
      </c>
      <c r="F4">
        <f t="shared" si="1"/>
        <v>24.903662187016224</v>
      </c>
    </row>
    <row r="5" spans="1:9" x14ac:dyDescent="0.35">
      <c r="A5" t="s">
        <v>11</v>
      </c>
      <c r="B5">
        <v>20.172031695040605</v>
      </c>
      <c r="C5">
        <v>35.847644019169415</v>
      </c>
      <c r="D5">
        <f t="shared" si="0"/>
        <v>26.997477257751516</v>
      </c>
      <c r="E5">
        <v>46</v>
      </c>
      <c r="F5">
        <f t="shared" si="1"/>
        <v>19.002522742248484</v>
      </c>
      <c r="H5" t="s">
        <v>12</v>
      </c>
      <c r="I5" cm="1">
        <f t="array" ref="I5">(SUM(TableARS[PP]-TableARS[AP]))^2</f>
        <v>1.2621774483536189E-27</v>
      </c>
    </row>
    <row r="6" spans="1:9" x14ac:dyDescent="0.35">
      <c r="A6" t="s">
        <v>13</v>
      </c>
      <c r="B6">
        <v>44.00335658601557</v>
      </c>
      <c r="C6">
        <v>60.86737475119493</v>
      </c>
      <c r="D6">
        <f t="shared" si="0"/>
        <v>49.78851056357027</v>
      </c>
      <c r="E6">
        <v>53</v>
      </c>
      <c r="F6">
        <f t="shared" si="1"/>
        <v>3.2114894364297299</v>
      </c>
    </row>
    <row r="7" spans="1:9" x14ac:dyDescent="0.35">
      <c r="A7" t="s">
        <v>14</v>
      </c>
      <c r="B7">
        <v>46.185068078284544</v>
      </c>
      <c r="C7">
        <v>57.933275239321731</v>
      </c>
      <c r="D7">
        <f t="shared" si="0"/>
        <v>49.130493963931919</v>
      </c>
      <c r="E7">
        <v>65</v>
      </c>
      <c r="F7">
        <f t="shared" si="1"/>
        <v>15.869506036068081</v>
      </c>
      <c r="H7" t="s">
        <v>15</v>
      </c>
      <c r="I7">
        <f>AVERAGE(TableARS[DIFF])/10</f>
        <v>1.1855946902568524</v>
      </c>
    </row>
    <row r="8" spans="1:9" x14ac:dyDescent="0.35">
      <c r="A8" t="s">
        <v>16</v>
      </c>
      <c r="B8">
        <v>43.966533630768375</v>
      </c>
      <c r="C8">
        <v>45.212806073626687</v>
      </c>
      <c r="D8">
        <f t="shared" si="0"/>
        <v>41.550242143760222</v>
      </c>
      <c r="E8">
        <v>49</v>
      </c>
      <c r="F8">
        <f t="shared" si="1"/>
        <v>7.4497578562397777</v>
      </c>
    </row>
    <row r="9" spans="1:9" x14ac:dyDescent="0.35">
      <c r="A9" t="s">
        <v>17</v>
      </c>
      <c r="B9">
        <v>82.818181747641276</v>
      </c>
      <c r="C9">
        <v>45.678539869207519</v>
      </c>
      <c r="D9">
        <f t="shared" si="0"/>
        <v>57.524034195447172</v>
      </c>
      <c r="E9">
        <v>50</v>
      </c>
      <c r="F9">
        <f t="shared" si="1"/>
        <v>7.5240341954471717</v>
      </c>
    </row>
    <row r="10" spans="1:9" x14ac:dyDescent="0.35">
      <c r="A10" t="s">
        <v>18</v>
      </c>
      <c r="B10">
        <v>35.339622564647492</v>
      </c>
      <c r="C10">
        <v>34.508713593192944</v>
      </c>
      <c r="D10">
        <f t="shared" si="0"/>
        <v>32.434755183038462</v>
      </c>
      <c r="E10">
        <v>39</v>
      </c>
      <c r="F10">
        <f t="shared" si="1"/>
        <v>6.5652448169615383</v>
      </c>
    </row>
    <row r="11" spans="1:9" x14ac:dyDescent="0.35">
      <c r="A11" t="s">
        <v>19</v>
      </c>
      <c r="B11">
        <v>22.664955560198042</v>
      </c>
      <c r="C11">
        <v>31.682499779639386</v>
      </c>
      <c r="D11">
        <f t="shared" si="0"/>
        <v>25.818786375104985</v>
      </c>
      <c r="E11">
        <v>33</v>
      </c>
      <c r="F11">
        <f t="shared" si="1"/>
        <v>7.1812136248950154</v>
      </c>
    </row>
    <row r="1048550" spans="16384:16384" x14ac:dyDescent="0.35">
      <c r="XFD1048550" cm="1">
        <f t="array" ref="XFD1048550">solver_pre</f>
        <v>9.9999999999999995E-7</v>
      </c>
    </row>
    <row r="1048551" spans="16384:16384" x14ac:dyDescent="0.35">
      <c r="XFD1048551" cm="1">
        <f t="array" ref="XFD1048551">solver_scl</f>
        <v>1</v>
      </c>
    </row>
    <row r="1048552" spans="16384:16384" x14ac:dyDescent="0.35">
      <c r="XFD1048552" cm="1">
        <f t="array" ref="XFD1048552">solver_rlx</f>
        <v>2</v>
      </c>
    </row>
    <row r="1048553" spans="16384:16384" x14ac:dyDescent="0.35">
      <c r="XFD1048553" cm="1">
        <f t="array" ref="XFD1048553">solver_tol</f>
        <v>0.01</v>
      </c>
    </row>
    <row r="1048554" spans="16384:16384" x14ac:dyDescent="0.35">
      <c r="XFD1048554" cm="1">
        <f t="array" ref="XFD1048554">solver_cvg</f>
        <v>1E-4</v>
      </c>
    </row>
    <row r="1048555" spans="16384:16384" x14ac:dyDescent="0.35">
      <c r="XFD1048555" t="e" cm="1">
        <f t="array" ref="XFD1048555">AREAS(solver_adj1)</f>
        <v>#NAME?</v>
      </c>
    </row>
    <row r="1048556" spans="16384:16384" x14ac:dyDescent="0.35">
      <c r="XFD1048556" cm="1">
        <f t="array" ref="XFD1048556">solver_ssz</f>
        <v>100</v>
      </c>
    </row>
    <row r="1048557" spans="16384:16384" x14ac:dyDescent="0.35">
      <c r="XFD1048557" cm="1">
        <f t="array" ref="XFD1048557">solver_rsd</f>
        <v>0</v>
      </c>
    </row>
    <row r="1048558" spans="16384:16384" x14ac:dyDescent="0.35">
      <c r="XFD1048558" cm="1">
        <f t="array" ref="XFD1048558">solver_mrt</f>
        <v>7.4999999999999997E-2</v>
      </c>
    </row>
    <row r="1048559" spans="16384:16384" x14ac:dyDescent="0.35">
      <c r="XFD1048559" cm="1">
        <f t="array" ref="XFD1048559">solver_mni</f>
        <v>30</v>
      </c>
    </row>
    <row r="1048560" spans="16384:16384" x14ac:dyDescent="0.35">
      <c r="XFD1048560" cm="1">
        <f t="array" ref="XFD1048560">solver_rbv</f>
        <v>1</v>
      </c>
    </row>
    <row r="1048561" spans="16384:16384" x14ac:dyDescent="0.35">
      <c r="XFD1048561" cm="1">
        <f t="array" ref="XFD1048561">solver_neg</f>
        <v>1</v>
      </c>
    </row>
    <row r="1048562" spans="16384:16384" x14ac:dyDescent="0.35">
      <c r="XFD1048562" t="e" cm="1">
        <f t="array" ref="XFD1048562">solver_ntr</f>
        <v>#NAME?</v>
      </c>
    </row>
    <row r="1048563" spans="16384:16384" x14ac:dyDescent="0.35">
      <c r="XFD1048563" t="e" cm="1">
        <f t="array" ref="XFD1048563">solver_acc</f>
        <v>#NAME?</v>
      </c>
    </row>
    <row r="1048564" spans="16384:16384" x14ac:dyDescent="0.35">
      <c r="XFD1048564" t="e" cm="1">
        <f t="array" ref="XFD1048564">solver_res</f>
        <v>#NAME?</v>
      </c>
    </row>
    <row r="1048565" spans="16384:16384" x14ac:dyDescent="0.35">
      <c r="XFD1048565" t="e" cm="1">
        <f t="array" ref="XFD1048565">solver_ars</f>
        <v>#NAME?</v>
      </c>
    </row>
    <row r="1048566" spans="16384:16384" x14ac:dyDescent="0.35">
      <c r="XFD1048566" t="e" cm="1">
        <f t="array" ref="XFD1048566">solver_sta</f>
        <v>#NAME?</v>
      </c>
    </row>
    <row r="1048567" spans="16384:16384" x14ac:dyDescent="0.35">
      <c r="XFD1048567" t="e" cm="1">
        <f t="array" ref="XFD1048567">solver_met</f>
        <v>#NAME?</v>
      </c>
    </row>
    <row r="1048568" spans="16384:16384" x14ac:dyDescent="0.35">
      <c r="XFD1048568" t="e" cm="1">
        <f t="array" ref="XFD1048568">solver_soc</f>
        <v>#NAME?</v>
      </c>
    </row>
    <row r="1048569" spans="16384:16384" x14ac:dyDescent="0.35">
      <c r="XFD1048569" t="e" cm="1">
        <f t="array" ref="XFD1048569">solver_lpt</f>
        <v>#NAME?</v>
      </c>
    </row>
    <row r="1048570" spans="16384:16384" x14ac:dyDescent="0.35">
      <c r="XFD1048570" t="e" cm="1">
        <f t="array" ref="XFD1048570">solver_lpp</f>
        <v>#NAME?</v>
      </c>
    </row>
    <row r="1048571" spans="16384:16384" x14ac:dyDescent="0.35">
      <c r="XFD1048571" t="e" cm="1">
        <f t="array" ref="XFD1048571">solver_gap</f>
        <v>#NAME?</v>
      </c>
    </row>
    <row r="1048572" spans="16384:16384" x14ac:dyDescent="0.35">
      <c r="XFD1048572" t="e" cm="1">
        <f t="array" ref="XFD1048572">solver_ips</f>
        <v>#NAME?</v>
      </c>
    </row>
    <row r="1048573" spans="16384:16384" x14ac:dyDescent="0.35">
      <c r="XFD1048573" t="e" cm="1">
        <f t="array" ref="XFD1048573">solver_fea</f>
        <v>#NAME?</v>
      </c>
    </row>
    <row r="1048574" spans="16384:16384" x14ac:dyDescent="0.35">
      <c r="XFD1048574" t="e" cm="1">
        <f t="array" ref="XFD1048574">solver_ipi</f>
        <v>#NAME?</v>
      </c>
    </row>
    <row r="1048575" spans="16384:16384" x14ac:dyDescent="0.35">
      <c r="XFD1048575" t="e" cm="1">
        <f t="array" ref="XFD1048575">solver_ipd</f>
        <v>#NAME?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6F7A1DF-34B1-417E-AE3C-A93A1730BD8D}">
          <xm:f>ARS!1:1048576</xm:f>
        </x15:webExtension>
        <x15:webExtension appRef="{6A088B36-3C5D-412E-BAB5-EDE566876722}">
          <xm:f>ARS!XFD1048550:XFD1048575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20</v>
      </c>
      <c r="B2">
        <v>23.188759005485135</v>
      </c>
      <c r="C2">
        <v>35.872538958076163</v>
      </c>
      <c r="D2">
        <f t="shared" ref="D2:D10" si="0">B2*$I$2+C2*$I$3</f>
        <v>35.010378015103456</v>
      </c>
      <c r="E2">
        <v>40</v>
      </c>
      <c r="F2">
        <f t="shared" ref="F2:F10" si="1">ABS(D2-E2)</f>
        <v>4.9896219848965444</v>
      </c>
      <c r="H2" t="s">
        <v>7</v>
      </c>
      <c r="I2">
        <v>0.53377630057350023</v>
      </c>
    </row>
    <row r="3" spans="1:9" x14ac:dyDescent="0.35">
      <c r="A3" t="s">
        <v>21</v>
      </c>
      <c r="B3">
        <v>21.406169348208298</v>
      </c>
      <c r="C3">
        <v>41.755807837091226</v>
      </c>
      <c r="D3">
        <f t="shared" si="0"/>
        <v>37.770756685034982</v>
      </c>
      <c r="E3">
        <v>45</v>
      </c>
      <c r="F3">
        <f t="shared" si="1"/>
        <v>7.2292433149650179</v>
      </c>
      <c r="H3" t="s">
        <v>9</v>
      </c>
      <c r="I3">
        <v>0.63092183256712953</v>
      </c>
    </row>
    <row r="4" spans="1:9" x14ac:dyDescent="0.35">
      <c r="A4" t="s">
        <v>22</v>
      </c>
      <c r="B4">
        <v>21.065534717434137</v>
      </c>
      <c r="C4">
        <v>27.115530560304371</v>
      </c>
      <c r="D4">
        <f t="shared" si="0"/>
        <v>28.352063423211867</v>
      </c>
      <c r="E4">
        <v>32</v>
      </c>
      <c r="F4">
        <f t="shared" si="1"/>
        <v>3.6479365767881333</v>
      </c>
    </row>
    <row r="5" spans="1:9" x14ac:dyDescent="0.35">
      <c r="A5" t="s">
        <v>23</v>
      </c>
      <c r="B5">
        <v>26.850265297415667</v>
      </c>
      <c r="C5">
        <v>35.831272709453785</v>
      </c>
      <c r="D5">
        <f t="shared" si="0"/>
        <v>36.938767520932728</v>
      </c>
      <c r="E5">
        <v>64</v>
      </c>
      <c r="F5">
        <f t="shared" si="1"/>
        <v>27.061232479067272</v>
      </c>
      <c r="H5" t="s">
        <v>12</v>
      </c>
      <c r="I5" cm="1">
        <f t="array" ref="I5">(SUM(TableAVL[PP]-TableAVL[AP]))^2</f>
        <v>1.2621774483536189E-27</v>
      </c>
    </row>
    <row r="6" spans="1:9" x14ac:dyDescent="0.35">
      <c r="A6" t="s">
        <v>24</v>
      </c>
      <c r="B6">
        <v>18.416567538373517</v>
      </c>
      <c r="C6">
        <v>35.934772921382304</v>
      </c>
      <c r="D6">
        <f t="shared" si="0"/>
        <v>32.502360074337219</v>
      </c>
      <c r="E6">
        <v>20</v>
      </c>
      <c r="F6">
        <f t="shared" si="1"/>
        <v>12.502360074337219</v>
      </c>
    </row>
    <row r="7" spans="1:9" x14ac:dyDescent="0.35">
      <c r="A7" t="s">
        <v>25</v>
      </c>
      <c r="B7">
        <v>29.514575069024517</v>
      </c>
      <c r="C7">
        <v>34.076895311555035</v>
      </c>
      <c r="D7">
        <f t="shared" si="0"/>
        <v>37.254037931507291</v>
      </c>
      <c r="E7">
        <v>30</v>
      </c>
      <c r="F7">
        <f t="shared" si="1"/>
        <v>7.2540379315072911</v>
      </c>
      <c r="H7" t="s">
        <v>15</v>
      </c>
      <c r="I7">
        <f>AVERAGE(TableAVL[DIFF])/10</f>
        <v>1.161175932580135</v>
      </c>
    </row>
    <row r="8" spans="1:9" x14ac:dyDescent="0.35">
      <c r="A8" t="s">
        <v>26</v>
      </c>
      <c r="B8">
        <v>60.096774193548391</v>
      </c>
      <c r="C8">
        <v>46.627464190182721</v>
      </c>
      <c r="D8">
        <f t="shared" si="0"/>
        <v>61.496518960261547</v>
      </c>
      <c r="E8">
        <v>29</v>
      </c>
      <c r="F8">
        <f t="shared" si="1"/>
        <v>32.496518960261547</v>
      </c>
    </row>
    <row r="9" spans="1:9" x14ac:dyDescent="0.35">
      <c r="A9" t="s">
        <v>27</v>
      </c>
      <c r="B9">
        <v>29.467217691123146</v>
      </c>
      <c r="C9">
        <v>32.627882316265612</v>
      </c>
      <c r="D9">
        <f t="shared" si="0"/>
        <v>36.314545751124655</v>
      </c>
      <c r="E9">
        <v>38</v>
      </c>
      <c r="F9">
        <f t="shared" si="1"/>
        <v>1.6854542488753452</v>
      </c>
    </row>
    <row r="10" spans="1:9" x14ac:dyDescent="0.35">
      <c r="A10" t="s">
        <v>28</v>
      </c>
      <c r="B10">
        <v>60.727272727272727</v>
      </c>
      <c r="C10">
        <v>53.803483896070077</v>
      </c>
      <c r="D10">
        <f t="shared" si="0"/>
        <v>66.360571638486221</v>
      </c>
      <c r="E10">
        <v>74</v>
      </c>
      <c r="F10">
        <f t="shared" si="1"/>
        <v>7.6394283615137795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29</v>
      </c>
      <c r="B2">
        <v>64.666666666666657</v>
      </c>
      <c r="C2">
        <v>42.27725331262122</v>
      </c>
      <c r="D2">
        <f>B2*$I$2+C2*$I$3</f>
        <v>36.760541600603332</v>
      </c>
      <c r="E2">
        <v>30</v>
      </c>
      <c r="F2">
        <f>ABS(D2-E2)</f>
        <v>6.7605416006033323</v>
      </c>
      <c r="H2" t="s">
        <v>7</v>
      </c>
      <c r="I2">
        <v>0.35214947872899094</v>
      </c>
    </row>
    <row r="3" spans="1:9" x14ac:dyDescent="0.35">
      <c r="A3" t="s">
        <v>30</v>
      </c>
      <c r="B3">
        <v>17.679136484460859</v>
      </c>
      <c r="C3">
        <v>30.440342826792278</v>
      </c>
      <c r="D3">
        <f>B3*$I$2+C3*$I$3</f>
        <v>16.297447291613654</v>
      </c>
      <c r="E3">
        <v>20</v>
      </c>
      <c r="F3">
        <f>ABS(D3-E3)</f>
        <v>3.7025527083863459</v>
      </c>
      <c r="H3" t="s">
        <v>9</v>
      </c>
      <c r="I3">
        <v>0.33086843507450109</v>
      </c>
    </row>
    <row r="4" spans="1:9" x14ac:dyDescent="0.35">
      <c r="A4" t="s">
        <v>31</v>
      </c>
      <c r="B4">
        <v>58.956521702089084</v>
      </c>
      <c r="C4">
        <v>47.540584625716143</v>
      </c>
      <c r="D4">
        <f>B4*$I$2+C4*$I$3</f>
        <v>36.491187222702699</v>
      </c>
      <c r="E4">
        <v>32</v>
      </c>
      <c r="F4">
        <f>ABS(D4-E4)</f>
        <v>4.491187222702699</v>
      </c>
    </row>
    <row r="5" spans="1:9" x14ac:dyDescent="0.35">
      <c r="A5" t="s">
        <v>32</v>
      </c>
      <c r="B5">
        <v>36.670409712007633</v>
      </c>
      <c r="C5">
        <v>46.95932453248308</v>
      </c>
      <c r="D5">
        <f>B5*$I$2+C5*$I$3</f>
        <v>28.450823885080318</v>
      </c>
      <c r="E5">
        <v>36</v>
      </c>
      <c r="F5">
        <f>ABS(D5-E5)</f>
        <v>7.5491761149196819</v>
      </c>
      <c r="H5" t="s">
        <v>12</v>
      </c>
      <c r="I5" cm="1">
        <f t="array" ref="I5">(SUM(TableBOU[PP]-TableBOU[AP]))^2</f>
        <v>1.2621774483536189E-29</v>
      </c>
    </row>
    <row r="7" spans="1:9" x14ac:dyDescent="0.35">
      <c r="H7" t="s">
        <v>15</v>
      </c>
      <c r="I7">
        <f>AVERAGE(TableBOU[DIFF])/10</f>
        <v>0.56258644116530143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33</v>
      </c>
      <c r="B2">
        <v>42.758620689655167</v>
      </c>
      <c r="C2">
        <v>39.955027096642922</v>
      </c>
      <c r="D2">
        <f t="shared" ref="D2:D10" si="0">B2*$I$2+C2*$I$3</f>
        <v>46.734941864737962</v>
      </c>
      <c r="E2">
        <v>34</v>
      </c>
      <c r="F2">
        <f t="shared" ref="F2:F10" si="1">ABS(D2-E2)</f>
        <v>12.734941864737962</v>
      </c>
      <c r="H2" t="s">
        <v>7</v>
      </c>
      <c r="I2">
        <v>0.57124169399413061</v>
      </c>
    </row>
    <row r="3" spans="1:9" x14ac:dyDescent="0.35">
      <c r="A3" t="s">
        <v>34</v>
      </c>
      <c r="B3">
        <v>42.615384563797711</v>
      </c>
      <c r="C3">
        <v>25.722701610455246</v>
      </c>
      <c r="D3">
        <f t="shared" si="0"/>
        <v>38.706306145707586</v>
      </c>
      <c r="E3">
        <v>26</v>
      </c>
      <c r="F3">
        <f t="shared" si="1"/>
        <v>12.706306145707586</v>
      </c>
      <c r="H3" t="s">
        <v>9</v>
      </c>
      <c r="I3">
        <v>0.55836365459507686</v>
      </c>
    </row>
    <row r="4" spans="1:9" x14ac:dyDescent="0.35">
      <c r="A4" t="s">
        <v>35</v>
      </c>
      <c r="B4">
        <v>21.210085550266783</v>
      </c>
      <c r="C4">
        <v>39.966960922187269</v>
      </c>
      <c r="D4">
        <f t="shared" si="0"/>
        <v>34.432183563065934</v>
      </c>
      <c r="E4">
        <v>23</v>
      </c>
      <c r="F4">
        <f t="shared" si="1"/>
        <v>11.432183563065934</v>
      </c>
    </row>
    <row r="5" spans="1:9" x14ac:dyDescent="0.35">
      <c r="A5" t="s">
        <v>36</v>
      </c>
      <c r="B5">
        <v>43.031455676781704</v>
      </c>
      <c r="C5">
        <v>28.109953223197003</v>
      </c>
      <c r="D5">
        <f t="shared" si="0"/>
        <v>40.276937848039069</v>
      </c>
      <c r="E5">
        <v>26</v>
      </c>
      <c r="F5">
        <f t="shared" si="1"/>
        <v>14.276937848039069</v>
      </c>
      <c r="H5" t="s">
        <v>12</v>
      </c>
      <c r="I5" cm="1">
        <f t="array" ref="I5">(SUM(TableBRE[PP]-TableBRE[AP]))^2</f>
        <v>1.2621774483536189E-27</v>
      </c>
    </row>
    <row r="6" spans="1:9" x14ac:dyDescent="0.35">
      <c r="A6" t="s">
        <v>37</v>
      </c>
      <c r="B6">
        <v>27.127160610858585</v>
      </c>
      <c r="C6">
        <v>34.723717389388263</v>
      </c>
      <c r="D6">
        <f t="shared" si="0"/>
        <v>34.884626923263163</v>
      </c>
      <c r="E6">
        <v>48</v>
      </c>
      <c r="F6">
        <f t="shared" si="1"/>
        <v>13.115373076736837</v>
      </c>
    </row>
    <row r="7" spans="1:9" x14ac:dyDescent="0.35">
      <c r="A7" t="s">
        <v>38</v>
      </c>
      <c r="B7">
        <v>35.762602520619019</v>
      </c>
      <c r="C7">
        <v>37.32336225938473</v>
      </c>
      <c r="D7">
        <f t="shared" si="0"/>
        <v>41.269098598443193</v>
      </c>
      <c r="E7">
        <v>68</v>
      </c>
      <c r="F7">
        <f t="shared" si="1"/>
        <v>26.730901401556807</v>
      </c>
      <c r="H7" t="s">
        <v>15</v>
      </c>
      <c r="I7">
        <f>AVERAGE(TableBRE[DIFF])/10</f>
        <v>1.3597135329841279</v>
      </c>
    </row>
    <row r="8" spans="1:9" x14ac:dyDescent="0.35">
      <c r="A8" t="s">
        <v>39</v>
      </c>
      <c r="B8">
        <v>31.714980935815895</v>
      </c>
      <c r="C8">
        <v>35.675352369440908</v>
      </c>
      <c r="D8">
        <f t="shared" si="0"/>
        <v>38.036739562735193</v>
      </c>
      <c r="E8">
        <v>28</v>
      </c>
      <c r="F8">
        <f t="shared" si="1"/>
        <v>10.036739562735193</v>
      </c>
    </row>
    <row r="9" spans="1:9" x14ac:dyDescent="0.35">
      <c r="A9" t="s">
        <v>40</v>
      </c>
      <c r="B9">
        <v>30.284122373225316</v>
      </c>
      <c r="C9">
        <v>33.41354984497756</v>
      </c>
      <c r="D9">
        <f t="shared" si="0"/>
        <v>35.956465170043217</v>
      </c>
      <c r="E9">
        <v>45</v>
      </c>
      <c r="F9">
        <f t="shared" si="1"/>
        <v>9.0435348299567835</v>
      </c>
    </row>
    <row r="10" spans="1:9" x14ac:dyDescent="0.35">
      <c r="A10" t="s">
        <v>41</v>
      </c>
      <c r="B10">
        <v>37.03946417130966</v>
      </c>
      <c r="C10">
        <v>29.629819079303452</v>
      </c>
      <c r="D10">
        <f t="shared" si="0"/>
        <v>37.702700323964649</v>
      </c>
      <c r="E10">
        <v>50</v>
      </c>
      <c r="F10">
        <f t="shared" si="1"/>
        <v>12.297299676035351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42</v>
      </c>
      <c r="B2">
        <v>41.142857100713506</v>
      </c>
      <c r="C2">
        <v>50.080942369709561</v>
      </c>
      <c r="D2">
        <f>B2*$I$2+C2*$I$3</f>
        <v>40.022339585472508</v>
      </c>
      <c r="E2">
        <v>23</v>
      </c>
      <c r="F2">
        <f>ABS(D2-E2)</f>
        <v>17.022339585472508</v>
      </c>
      <c r="H2" t="s">
        <v>7</v>
      </c>
      <c r="I2">
        <v>0.42491306740208595</v>
      </c>
    </row>
    <row r="3" spans="1:9" x14ac:dyDescent="0.35">
      <c r="A3" t="s">
        <v>43</v>
      </c>
      <c r="B3">
        <v>55.018291246316693</v>
      </c>
      <c r="C3">
        <v>37.995496804738885</v>
      </c>
      <c r="D3">
        <f>B3*$I$2+C3*$I$3</f>
        <v>40.478830687718585</v>
      </c>
      <c r="E3">
        <v>50</v>
      </c>
      <c r="F3">
        <f>ABS(D3-E3)</f>
        <v>9.5211693122814154</v>
      </c>
      <c r="H3" t="s">
        <v>9</v>
      </c>
      <c r="I3">
        <v>0.45007543601566924</v>
      </c>
    </row>
    <row r="4" spans="1:9" x14ac:dyDescent="0.35">
      <c r="A4" t="s">
        <v>44</v>
      </c>
      <c r="B4">
        <v>22.417696621473816</v>
      </c>
      <c r="C4">
        <v>32.567763138061267</v>
      </c>
      <c r="D4">
        <f>B4*$I$2+C4*$I$3</f>
        <v>24.183522429937781</v>
      </c>
      <c r="E4">
        <v>31</v>
      </c>
      <c r="F4">
        <f>ABS(D4-E4)</f>
        <v>6.8164775700622187</v>
      </c>
    </row>
    <row r="5" spans="1:9" x14ac:dyDescent="0.35">
      <c r="A5" t="s">
        <v>45</v>
      </c>
      <c r="B5">
        <v>44.457225881102197</v>
      </c>
      <c r="C5">
        <v>52.046499775493288</v>
      </c>
      <c r="D5">
        <f>B5*$I$2+C5*$I$3</f>
        <v>42.315307296871111</v>
      </c>
      <c r="E5">
        <v>43</v>
      </c>
      <c r="F5">
        <f>ABS(D5-E5)</f>
        <v>0.68469270312888852</v>
      </c>
      <c r="H5" t="s">
        <v>12</v>
      </c>
      <c r="I5" cm="1">
        <f t="array" ref="I5">(SUM(TableBHA[PP]-TableBHA[AP]))^2</f>
        <v>2.0194839173657902E-28</v>
      </c>
    </row>
    <row r="7" spans="1:9" x14ac:dyDescent="0.35">
      <c r="H7" t="s">
        <v>15</v>
      </c>
      <c r="I7">
        <f>AVERAGE(TableBHA[DIFF])/10</f>
        <v>0.85111697927362573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46</v>
      </c>
      <c r="B2">
        <v>50.362935410937162</v>
      </c>
      <c r="C2">
        <v>36.731790992793727</v>
      </c>
      <c r="D2">
        <f t="shared" ref="D2:D8" si="0">B2*$I$2+C2*$I$3</f>
        <v>43.683161118468007</v>
      </c>
      <c r="E2">
        <v>37</v>
      </c>
      <c r="F2">
        <f t="shared" ref="F2:F8" si="1">ABS(D2-E2)</f>
        <v>6.6831611184680071</v>
      </c>
      <c r="H2" t="s">
        <v>7</v>
      </c>
      <c r="I2">
        <v>0.50789529017791524</v>
      </c>
    </row>
    <row r="3" spans="1:9" x14ac:dyDescent="0.35">
      <c r="A3" t="s">
        <v>47</v>
      </c>
      <c r="B3">
        <v>-0.65641841341995744</v>
      </c>
      <c r="C3">
        <v>37.143798061557774</v>
      </c>
      <c r="D3">
        <f t="shared" si="0"/>
        <v>17.973738262916847</v>
      </c>
      <c r="E3">
        <v>40</v>
      </c>
      <c r="F3">
        <f t="shared" si="1"/>
        <v>22.026261737083153</v>
      </c>
      <c r="H3" t="s">
        <v>9</v>
      </c>
      <c r="I3">
        <v>0.49287178583996211</v>
      </c>
    </row>
    <row r="4" spans="1:9" x14ac:dyDescent="0.35">
      <c r="A4" t="s">
        <v>48</v>
      </c>
      <c r="B4">
        <v>31.097804837396588</v>
      </c>
      <c r="C4">
        <v>26.273083995639233</v>
      </c>
      <c r="D4">
        <f t="shared" si="0"/>
        <v>28.743690440239753</v>
      </c>
      <c r="E4">
        <v>29</v>
      </c>
      <c r="F4">
        <f t="shared" si="1"/>
        <v>0.25630955976024694</v>
      </c>
    </row>
    <row r="5" spans="1:9" x14ac:dyDescent="0.35">
      <c r="A5" t="s">
        <v>49</v>
      </c>
      <c r="B5">
        <v>22.399996992288294</v>
      </c>
      <c r="C5">
        <v>50.487393908443337</v>
      </c>
      <c r="D5">
        <f t="shared" si="0"/>
        <v>36.260664970442782</v>
      </c>
      <c r="E5">
        <v>31</v>
      </c>
      <c r="F5">
        <f t="shared" si="1"/>
        <v>5.2606649704427824</v>
      </c>
      <c r="H5" t="s">
        <v>12</v>
      </c>
      <c r="I5" cm="1">
        <f t="array" ref="I5">(SUM(TableCHE[PP]-TableCHE[AP]))^2</f>
        <v>2.0194839173657902E-28</v>
      </c>
    </row>
    <row r="6" spans="1:9" x14ac:dyDescent="0.35">
      <c r="A6" t="s">
        <v>50</v>
      </c>
      <c r="B6">
        <v>54.730800661433285</v>
      </c>
      <c r="C6">
        <v>34.576985793097165</v>
      </c>
      <c r="D6">
        <f t="shared" si="0"/>
        <v>44.839536620415089</v>
      </c>
      <c r="E6">
        <v>62</v>
      </c>
      <c r="F6">
        <f t="shared" si="1"/>
        <v>17.160463379584911</v>
      </c>
    </row>
    <row r="7" spans="1:9" x14ac:dyDescent="0.35">
      <c r="A7" t="s">
        <v>51</v>
      </c>
      <c r="B7">
        <v>89.666666666666671</v>
      </c>
      <c r="C7">
        <v>32.899701098820884</v>
      </c>
      <c r="D7">
        <f t="shared" si="0"/>
        <v>61.756612120129887</v>
      </c>
      <c r="E7">
        <v>27</v>
      </c>
      <c r="F7">
        <f t="shared" si="1"/>
        <v>34.756612120129887</v>
      </c>
      <c r="H7" t="s">
        <v>15</v>
      </c>
      <c r="I7">
        <f>AVERAGE(TableCHE[DIFF])/10</f>
        <v>1.3342982345440191</v>
      </c>
    </row>
    <row r="8" spans="1:9" x14ac:dyDescent="0.35">
      <c r="A8" t="s">
        <v>52</v>
      </c>
      <c r="B8">
        <v>12.997627095822237</v>
      </c>
      <c r="C8">
        <v>34.7781377924045</v>
      </c>
      <c r="D8">
        <f t="shared" si="0"/>
        <v>23.742596467387649</v>
      </c>
      <c r="E8">
        <v>31</v>
      </c>
      <c r="F8">
        <f t="shared" si="1"/>
        <v>7.2574035326123507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53</v>
      </c>
      <c r="B2">
        <v>47.885057471264375</v>
      </c>
      <c r="C2">
        <v>30.345684744694591</v>
      </c>
      <c r="D2">
        <f t="shared" ref="D2:D10" si="0">B2*$I$2+C2*$I$3</f>
        <v>44.715240144447108</v>
      </c>
      <c r="E2">
        <v>59</v>
      </c>
      <c r="F2">
        <f t="shared" ref="F2:F10" si="1">ABS(D2-E2)</f>
        <v>14.284759855552892</v>
      </c>
      <c r="H2" t="s">
        <v>7</v>
      </c>
      <c r="I2">
        <v>0.57497424038230915</v>
      </c>
    </row>
    <row r="3" spans="1:9" x14ac:dyDescent="0.35">
      <c r="A3" t="s">
        <v>54</v>
      </c>
      <c r="B3">
        <v>24.634574867968293</v>
      </c>
      <c r="C3">
        <v>30.896158980162241</v>
      </c>
      <c r="D3">
        <f t="shared" si="0"/>
        <v>31.658505300901687</v>
      </c>
      <c r="E3">
        <v>35</v>
      </c>
      <c r="F3">
        <f t="shared" si="1"/>
        <v>3.3414946990983125</v>
      </c>
      <c r="H3" t="s">
        <v>9</v>
      </c>
      <c r="I3">
        <v>0.56622764468176068</v>
      </c>
    </row>
    <row r="4" spans="1:9" x14ac:dyDescent="0.35">
      <c r="A4" t="s">
        <v>55</v>
      </c>
      <c r="B4">
        <v>37.068965415960051</v>
      </c>
      <c r="C4">
        <v>30.90155964970122</v>
      </c>
      <c r="D4">
        <f t="shared" si="0"/>
        <v>38.811017569242978</v>
      </c>
      <c r="E4">
        <v>22</v>
      </c>
      <c r="F4">
        <f t="shared" si="1"/>
        <v>16.811017569242978</v>
      </c>
    </row>
    <row r="5" spans="1:9" x14ac:dyDescent="0.35">
      <c r="A5" t="s">
        <v>56</v>
      </c>
      <c r="B5">
        <v>27.47984112818834</v>
      </c>
      <c r="C5">
        <v>27.696023664897698</v>
      </c>
      <c r="D5">
        <f t="shared" si="0"/>
        <v>31.482455025331959</v>
      </c>
      <c r="E5">
        <v>28</v>
      </c>
      <c r="F5">
        <f t="shared" si="1"/>
        <v>3.4824550253319586</v>
      </c>
      <c r="H5" t="s">
        <v>12</v>
      </c>
      <c r="I5" cm="1">
        <f t="array" ref="I5">(SUM(TableCRY[PP]-TableCRY[AP]))^2</f>
        <v>1.0223637331664313E-27</v>
      </c>
    </row>
    <row r="6" spans="1:9" x14ac:dyDescent="0.35">
      <c r="A6" t="s">
        <v>57</v>
      </c>
      <c r="B6">
        <v>30.006282150911481</v>
      </c>
      <c r="C6">
        <v>32.882834645390744</v>
      </c>
      <c r="D6">
        <f t="shared" si="0"/>
        <v>35.872009298136973</v>
      </c>
      <c r="E6">
        <v>43</v>
      </c>
      <c r="F6">
        <f t="shared" si="1"/>
        <v>7.1279907018630269</v>
      </c>
    </row>
    <row r="7" spans="1:9" x14ac:dyDescent="0.35">
      <c r="A7" t="s">
        <v>58</v>
      </c>
      <c r="B7">
        <v>42.142857109105478</v>
      </c>
      <c r="C7">
        <v>43.366809855126675</v>
      </c>
      <c r="D7">
        <f t="shared" si="0"/>
        <v>48.786543855478257</v>
      </c>
      <c r="E7">
        <v>45</v>
      </c>
      <c r="F7">
        <f t="shared" si="1"/>
        <v>3.7865438554782571</v>
      </c>
      <c r="H7" t="s">
        <v>15</v>
      </c>
      <c r="I7">
        <f>AVERAGE(TableCRY[DIFF])/10</f>
        <v>0.63507431133426528</v>
      </c>
    </row>
    <row r="8" spans="1:9" x14ac:dyDescent="0.35">
      <c r="A8" t="s">
        <v>59</v>
      </c>
      <c r="B8">
        <v>30.962962962962962</v>
      </c>
      <c r="C8">
        <v>29.429620214354568</v>
      </c>
      <c r="D8">
        <f t="shared" si="0"/>
        <v>34.466770647467925</v>
      </c>
      <c r="E8">
        <v>38</v>
      </c>
      <c r="F8">
        <f t="shared" si="1"/>
        <v>3.533229352532075</v>
      </c>
    </row>
    <row r="9" spans="1:9" x14ac:dyDescent="0.35">
      <c r="A9" t="s">
        <v>60</v>
      </c>
      <c r="B9">
        <v>25.146292090728235</v>
      </c>
      <c r="C9">
        <v>28.327577286880032</v>
      </c>
      <c r="D9">
        <f t="shared" si="0"/>
        <v>30.498327559988759</v>
      </c>
      <c r="E9">
        <v>26</v>
      </c>
      <c r="F9">
        <f t="shared" si="1"/>
        <v>4.4983275599887591</v>
      </c>
    </row>
    <row r="10" spans="1:9" x14ac:dyDescent="0.35">
      <c r="A10" t="s">
        <v>61</v>
      </c>
      <c r="B10">
        <v>20.743567947978882</v>
      </c>
      <c r="C10">
        <v>27.872382289223093</v>
      </c>
      <c r="D10">
        <f t="shared" si="0"/>
        <v>27.709130599004386</v>
      </c>
      <c r="E10">
        <v>28</v>
      </c>
      <c r="F10">
        <f t="shared" si="1"/>
        <v>0.29086940099561431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62</v>
      </c>
      <c r="B2">
        <v>37.008391648339703</v>
      </c>
      <c r="C2">
        <v>30.214890573124674</v>
      </c>
      <c r="D2">
        <f t="shared" ref="D2:D7" si="0">B2*$I$2+C2*$I$3</f>
        <v>29.939737377057842</v>
      </c>
      <c r="E2">
        <v>37</v>
      </c>
      <c r="F2">
        <f t="shared" ref="F2:F7" si="1">ABS(D2-E2)</f>
        <v>7.0602626229421581</v>
      </c>
      <c r="H2" t="s">
        <v>7</v>
      </c>
      <c r="I2">
        <v>0.46861531213994084</v>
      </c>
    </row>
    <row r="3" spans="1:9" x14ac:dyDescent="0.35">
      <c r="A3" t="s">
        <v>63</v>
      </c>
      <c r="B3">
        <v>49.151299121538237</v>
      </c>
      <c r="C3">
        <v>32.76913360950433</v>
      </c>
      <c r="D3">
        <f t="shared" si="0"/>
        <v>36.694991757599325</v>
      </c>
      <c r="E3">
        <v>34</v>
      </c>
      <c r="F3">
        <f t="shared" si="1"/>
        <v>2.6949917575993254</v>
      </c>
      <c r="H3" t="s">
        <v>9</v>
      </c>
      <c r="I3">
        <v>0.41691490963659739</v>
      </c>
    </row>
    <row r="4" spans="1:9" x14ac:dyDescent="0.35">
      <c r="A4" t="s">
        <v>64</v>
      </c>
      <c r="B4">
        <v>29.384615354189876</v>
      </c>
      <c r="C4">
        <v>36.0661596603139</v>
      </c>
      <c r="D4">
        <f t="shared" si="0"/>
        <v>28.806600392034653</v>
      </c>
      <c r="E4">
        <v>29</v>
      </c>
      <c r="F4">
        <f t="shared" si="1"/>
        <v>0.19339960796534683</v>
      </c>
    </row>
    <row r="5" spans="1:9" x14ac:dyDescent="0.35">
      <c r="A5" t="s">
        <v>65</v>
      </c>
      <c r="B5">
        <v>41.137930958226121</v>
      </c>
      <c r="C5">
        <v>31.13405326729487</v>
      </c>
      <c r="D5">
        <f t="shared" si="0"/>
        <v>32.258115361335719</v>
      </c>
      <c r="E5">
        <v>21</v>
      </c>
      <c r="F5">
        <f t="shared" si="1"/>
        <v>11.258115361335719</v>
      </c>
      <c r="H5" t="s">
        <v>12</v>
      </c>
      <c r="I5" cm="1">
        <f t="array" ref="I5">(SUM(TableEVE[PP]-TableEVE[AP]))^2</f>
        <v>1.135959703518257E-28</v>
      </c>
    </row>
    <row r="6" spans="1:9" x14ac:dyDescent="0.35">
      <c r="A6" t="s">
        <v>66</v>
      </c>
      <c r="B6">
        <v>33.474294583034677</v>
      </c>
      <c r="C6">
        <v>36.079426808855629</v>
      </c>
      <c r="D6">
        <f t="shared" si="0"/>
        <v>30.728617972447402</v>
      </c>
      <c r="E6">
        <v>27</v>
      </c>
      <c r="F6">
        <f t="shared" si="1"/>
        <v>3.7286179724474025</v>
      </c>
    </row>
    <row r="7" spans="1:9" x14ac:dyDescent="0.35">
      <c r="A7" t="s">
        <v>67</v>
      </c>
      <c r="B7">
        <v>27.821620772299379</v>
      </c>
      <c r="C7">
        <v>27.665836290500504</v>
      </c>
      <c r="D7">
        <f t="shared" si="0"/>
        <v>24.571937139525048</v>
      </c>
      <c r="E7">
        <v>35</v>
      </c>
      <c r="F7">
        <f t="shared" si="1"/>
        <v>10.428062860474952</v>
      </c>
      <c r="H7" t="s">
        <v>15</v>
      </c>
      <c r="I7">
        <f>AVERAGE(TableEVE[DIFF])/10</f>
        <v>0.58939083637941514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68</v>
      </c>
      <c r="B2">
        <v>39.219061248831068</v>
      </c>
      <c r="C2">
        <v>43.371687754761219</v>
      </c>
      <c r="D2">
        <f t="shared" ref="D2:D8" si="0">B2*$I$2+C2*$I$3</f>
        <v>37.580893220876789</v>
      </c>
      <c r="E2">
        <v>29</v>
      </c>
      <c r="F2">
        <f t="shared" ref="F2:F8" si="1">ABS(D2-E2)</f>
        <v>8.5808932208767885</v>
      </c>
      <c r="H2" t="s">
        <v>7</v>
      </c>
      <c r="I2">
        <v>0.48222500887775266</v>
      </c>
    </row>
    <row r="3" spans="1:9" x14ac:dyDescent="0.35">
      <c r="A3" t="s">
        <v>69</v>
      </c>
      <c r="B3">
        <v>28.064927733438211</v>
      </c>
      <c r="C3">
        <v>30.594883575017668</v>
      </c>
      <c r="D3">
        <f t="shared" si="0"/>
        <v>26.70256964356772</v>
      </c>
      <c r="E3">
        <v>28</v>
      </c>
      <c r="F3">
        <f t="shared" si="1"/>
        <v>1.2974303564322796</v>
      </c>
      <c r="H3" t="s">
        <v>9</v>
      </c>
      <c r="I3">
        <v>0.43043012685003784</v>
      </c>
    </row>
    <row r="4" spans="1:9" x14ac:dyDescent="0.35">
      <c r="A4" t="s">
        <v>70</v>
      </c>
      <c r="B4">
        <v>55.34693882888179</v>
      </c>
      <c r="C4">
        <v>32.963579134638493</v>
      </c>
      <c r="D4">
        <f t="shared" si="0"/>
        <v>40.878195616467664</v>
      </c>
      <c r="E4">
        <v>36</v>
      </c>
      <c r="F4">
        <f t="shared" si="1"/>
        <v>4.8781956164676643</v>
      </c>
    </row>
    <row r="5" spans="1:9" x14ac:dyDescent="0.35">
      <c r="A5" t="s">
        <v>71</v>
      </c>
      <c r="B5">
        <v>39.079684008709052</v>
      </c>
      <c r="C5">
        <v>39.002872310747108</v>
      </c>
      <c r="D5">
        <f t="shared" si="0"/>
        <v>35.633212244270197</v>
      </c>
      <c r="E5">
        <v>51</v>
      </c>
      <c r="F5">
        <f t="shared" si="1"/>
        <v>15.366787755729803</v>
      </c>
      <c r="H5" t="s">
        <v>12</v>
      </c>
      <c r="I5" cm="1">
        <f t="array" ref="I5">(SUM(TableFUL[PP]-TableFUL[AP]))^2</f>
        <v>4.543838814073028E-28</v>
      </c>
    </row>
    <row r="6" spans="1:9" x14ac:dyDescent="0.35">
      <c r="A6" t="s">
        <v>72</v>
      </c>
      <c r="B6">
        <v>51.827586236905844</v>
      </c>
      <c r="C6">
        <v>30.046810296194597</v>
      </c>
      <c r="D6">
        <f t="shared" si="0"/>
        <v>37.925610600434474</v>
      </c>
      <c r="E6">
        <v>35</v>
      </c>
      <c r="F6">
        <f t="shared" si="1"/>
        <v>2.9256106004344744</v>
      </c>
    </row>
    <row r="7" spans="1:9" x14ac:dyDescent="0.35">
      <c r="A7" t="s">
        <v>73</v>
      </c>
      <c r="B7">
        <v>25.838849000569247</v>
      </c>
      <c r="C7">
        <v>32.033715870659861</v>
      </c>
      <c r="D7">
        <f t="shared" si="0"/>
        <v>26.248415574376608</v>
      </c>
      <c r="E7">
        <v>27</v>
      </c>
      <c r="F7">
        <f t="shared" si="1"/>
        <v>0.75158442562339189</v>
      </c>
      <c r="H7" t="s">
        <v>15</v>
      </c>
      <c r="I7">
        <f>AVERAGE(TableFUL[DIFF])/10</f>
        <v>0.4975943582224418</v>
      </c>
    </row>
    <row r="8" spans="1:9" x14ac:dyDescent="0.35">
      <c r="A8" t="s">
        <v>74</v>
      </c>
      <c r="B8">
        <v>27.23624632656956</v>
      </c>
      <c r="C8">
        <v>29.963292922275443</v>
      </c>
      <c r="D8">
        <f t="shared" si="0"/>
        <v>26.031103100006526</v>
      </c>
      <c r="E8">
        <v>25</v>
      </c>
      <c r="F8">
        <f t="shared" si="1"/>
        <v>1.0311031000065256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75</v>
      </c>
      <c r="B2">
        <v>48.818310783008918</v>
      </c>
      <c r="C2">
        <v>49.339603214972001</v>
      </c>
      <c r="D2">
        <f t="shared" ref="D2:D11" si="0">B2*$I$2+C2*$I$3</f>
        <v>40.705286541623011</v>
      </c>
      <c r="E2">
        <v>44</v>
      </c>
      <c r="F2">
        <f t="shared" ref="F2:F11" si="1">ABS(D2-E2)</f>
        <v>3.2947134583769895</v>
      </c>
      <c r="H2" t="s">
        <v>7</v>
      </c>
      <c r="I2">
        <v>0.42955300217232201</v>
      </c>
    </row>
    <row r="3" spans="1:9" x14ac:dyDescent="0.35">
      <c r="A3" t="s">
        <v>76</v>
      </c>
      <c r="B3">
        <v>42.104223668548912</v>
      </c>
      <c r="C3">
        <v>49.074069629771891</v>
      </c>
      <c r="D3">
        <f t="shared" si="0"/>
        <v>37.715020095801826</v>
      </c>
      <c r="E3">
        <v>44</v>
      </c>
      <c r="F3">
        <f t="shared" si="1"/>
        <v>6.284979904198174</v>
      </c>
      <c r="H3" t="s">
        <v>9</v>
      </c>
      <c r="I3">
        <v>0.39998770354544461</v>
      </c>
    </row>
    <row r="4" spans="1:9" x14ac:dyDescent="0.35">
      <c r="A4" t="s">
        <v>77</v>
      </c>
      <c r="B4">
        <v>51.400000000000006</v>
      </c>
      <c r="C4">
        <v>44.307516761206706</v>
      </c>
      <c r="D4">
        <f t="shared" si="0"/>
        <v>39.801486190773716</v>
      </c>
      <c r="E4">
        <v>46</v>
      </c>
      <c r="F4">
        <f t="shared" si="1"/>
        <v>6.1985138092262844</v>
      </c>
    </row>
    <row r="5" spans="1:9" x14ac:dyDescent="0.35">
      <c r="A5" t="s">
        <v>78</v>
      </c>
      <c r="B5">
        <v>34.39976731467241</v>
      </c>
      <c r="C5">
        <v>46.87034513928598</v>
      </c>
      <c r="D5">
        <f t="shared" si="0"/>
        <v>33.524085040692242</v>
      </c>
      <c r="E5">
        <v>34</v>
      </c>
      <c r="F5">
        <f t="shared" si="1"/>
        <v>0.47591495930775807</v>
      </c>
      <c r="H5" t="s">
        <v>12</v>
      </c>
      <c r="I5" cm="1">
        <f t="array" ref="I5">(SUM(TableLIV[PP]-TableLIV[AP]))^2</f>
        <v>1.8175355256292112E-27</v>
      </c>
    </row>
    <row r="6" spans="1:9" x14ac:dyDescent="0.35">
      <c r="A6" t="s">
        <v>79</v>
      </c>
      <c r="B6">
        <v>45.453626575843202</v>
      </c>
      <c r="C6">
        <v>62.978657287330947</v>
      </c>
      <c r="D6">
        <f t="shared" si="0"/>
        <v>44.715430256008176</v>
      </c>
      <c r="E6">
        <v>27</v>
      </c>
      <c r="F6">
        <f t="shared" si="1"/>
        <v>17.715430256008176</v>
      </c>
    </row>
    <row r="7" spans="1:9" x14ac:dyDescent="0.35">
      <c r="A7" t="s">
        <v>80</v>
      </c>
      <c r="B7">
        <v>53.636363584327846</v>
      </c>
      <c r="C7">
        <v>41.100035415228213</v>
      </c>
      <c r="D7">
        <f t="shared" si="0"/>
        <v>39.479169784627807</v>
      </c>
      <c r="E7">
        <v>34</v>
      </c>
      <c r="F7">
        <f t="shared" si="1"/>
        <v>5.4791697846278069</v>
      </c>
      <c r="H7" t="s">
        <v>15</v>
      </c>
      <c r="I7">
        <f>AVERAGE(TableLIV[DIFF])/10</f>
        <v>1.1322804622217821</v>
      </c>
    </row>
    <row r="8" spans="1:9" x14ac:dyDescent="0.35">
      <c r="A8" t="s">
        <v>81</v>
      </c>
      <c r="B8">
        <v>66.095238092096039</v>
      </c>
      <c r="C8">
        <v>48.287148993198414</v>
      </c>
      <c r="D8">
        <f t="shared" si="0"/>
        <v>47.70567378830043</v>
      </c>
      <c r="E8">
        <v>33</v>
      </c>
      <c r="F8">
        <f t="shared" si="1"/>
        <v>14.70567378830043</v>
      </c>
    </row>
    <row r="9" spans="1:9" x14ac:dyDescent="0.35">
      <c r="A9" t="s">
        <v>82</v>
      </c>
      <c r="B9">
        <v>77.515519443272893</v>
      </c>
      <c r="C9">
        <v>46.043228397033438</v>
      </c>
      <c r="D9">
        <f t="shared" si="0"/>
        <v>51.713749282152676</v>
      </c>
      <c r="E9">
        <v>33</v>
      </c>
      <c r="F9">
        <f t="shared" si="1"/>
        <v>18.713749282152676</v>
      </c>
    </row>
    <row r="10" spans="1:9" x14ac:dyDescent="0.35">
      <c r="A10" t="s">
        <v>83</v>
      </c>
      <c r="B10">
        <v>67.650279066400117</v>
      </c>
      <c r="C10">
        <v>64.377217669254733</v>
      </c>
      <c r="D10">
        <f t="shared" si="0"/>
        <v>54.809475926937978</v>
      </c>
      <c r="E10">
        <v>87</v>
      </c>
      <c r="F10">
        <f t="shared" si="1"/>
        <v>32.190524073062022</v>
      </c>
    </row>
    <row r="11" spans="1:9" x14ac:dyDescent="0.35">
      <c r="A11" t="s">
        <v>84</v>
      </c>
      <c r="B11">
        <v>45.338793254176991</v>
      </c>
      <c r="C11">
        <v>43.389354677770335</v>
      </c>
      <c r="D11">
        <f t="shared" si="0"/>
        <v>36.830623093082096</v>
      </c>
      <c r="E11">
        <v>45</v>
      </c>
      <c r="F11">
        <f t="shared" si="1"/>
        <v>8.1693769069179041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85</v>
      </c>
      <c r="B2">
        <v>33.609004839148561</v>
      </c>
      <c r="C2">
        <v>37.417270309570775</v>
      </c>
      <c r="D2">
        <f t="shared" ref="D2:D9" si="0">B2*$I$2+C2*$I$3</f>
        <v>27.751556797116265</v>
      </c>
      <c r="E2">
        <v>33</v>
      </c>
      <c r="F2">
        <f t="shared" ref="F2:F9" si="1">ABS(D2-E2)</f>
        <v>5.2484432028837347</v>
      </c>
      <c r="H2" t="s">
        <v>7</v>
      </c>
      <c r="I2">
        <v>0.45785693413954537</v>
      </c>
    </row>
    <row r="3" spans="1:9" x14ac:dyDescent="0.35">
      <c r="A3" t="s">
        <v>86</v>
      </c>
      <c r="B3">
        <v>30.48339451559584</v>
      </c>
      <c r="C3">
        <v>39.377941334380388</v>
      </c>
      <c r="D3">
        <f t="shared" si="0"/>
        <v>26.968320741819191</v>
      </c>
      <c r="E3">
        <v>47</v>
      </c>
      <c r="F3">
        <f t="shared" si="1"/>
        <v>20.031679258180809</v>
      </c>
      <c r="H3" t="s">
        <v>9</v>
      </c>
      <c r="I3">
        <v>0.33042070625927461</v>
      </c>
    </row>
    <row r="4" spans="1:9" x14ac:dyDescent="0.35">
      <c r="A4" t="s">
        <v>87</v>
      </c>
      <c r="B4">
        <v>61.999999997516483</v>
      </c>
      <c r="C4">
        <v>36.970963947156044</v>
      </c>
      <c r="D4">
        <f t="shared" si="0"/>
        <v>40.603101934020195</v>
      </c>
      <c r="E4">
        <v>37</v>
      </c>
      <c r="F4">
        <f t="shared" si="1"/>
        <v>3.6031019340201951</v>
      </c>
    </row>
    <row r="5" spans="1:9" x14ac:dyDescent="0.35">
      <c r="A5" t="s">
        <v>88</v>
      </c>
      <c r="B5">
        <v>53.284196016266513</v>
      </c>
      <c r="C5">
        <v>37.319839758420194</v>
      </c>
      <c r="D5">
        <f t="shared" si="0"/>
        <v>36.727786436558517</v>
      </c>
      <c r="E5">
        <v>41</v>
      </c>
      <c r="F5">
        <f t="shared" si="1"/>
        <v>4.2722135634414826</v>
      </c>
      <c r="H5" t="s">
        <v>12</v>
      </c>
      <c r="I5" cm="1">
        <f t="array" ref="I5">(SUM(TableMCI[PP]-TableMCI[AP]))^2</f>
        <v>6.1846694969327326E-28</v>
      </c>
    </row>
    <row r="6" spans="1:9" x14ac:dyDescent="0.35">
      <c r="A6" t="s">
        <v>89</v>
      </c>
      <c r="B6">
        <v>107.15626499393296</v>
      </c>
      <c r="C6">
        <v>48.403499349575412</v>
      </c>
      <c r="D6">
        <f t="shared" si="0"/>
        <v>65.05575740447388</v>
      </c>
      <c r="E6">
        <v>48</v>
      </c>
      <c r="F6">
        <f t="shared" si="1"/>
        <v>17.05575740447388</v>
      </c>
    </row>
    <row r="7" spans="1:9" x14ac:dyDescent="0.35">
      <c r="A7" t="s">
        <v>90</v>
      </c>
      <c r="B7">
        <v>116.48275862068967</v>
      </c>
      <c r="C7">
        <v>103.78093531563012</v>
      </c>
      <c r="D7">
        <f t="shared" si="0"/>
        <v>87.623808685424265</v>
      </c>
      <c r="E7">
        <v>66</v>
      </c>
      <c r="F7">
        <f t="shared" si="1"/>
        <v>21.623808685424265</v>
      </c>
      <c r="H7" t="s">
        <v>15</v>
      </c>
      <c r="I7">
        <f>AVERAGE(TableMCI[DIFF])/10</f>
        <v>1.0905826421180873</v>
      </c>
    </row>
    <row r="8" spans="1:9" x14ac:dyDescent="0.35">
      <c r="A8" t="s">
        <v>91</v>
      </c>
      <c r="B8">
        <v>30.840389269055322</v>
      </c>
      <c r="C8">
        <v>32.711461650655359</v>
      </c>
      <c r="D8">
        <f t="shared" si="0"/>
        <v>24.929030339782525</v>
      </c>
      <c r="E8">
        <v>39</v>
      </c>
      <c r="F8">
        <f t="shared" si="1"/>
        <v>14.070969660217475</v>
      </c>
    </row>
    <row r="9" spans="1:9" x14ac:dyDescent="0.35">
      <c r="A9" t="s">
        <v>92</v>
      </c>
      <c r="B9">
        <v>77.409836065573771</v>
      </c>
      <c r="C9">
        <v>32.982217037649193</v>
      </c>
      <c r="D9">
        <f t="shared" si="0"/>
        <v>46.340637660805136</v>
      </c>
      <c r="E9">
        <v>45</v>
      </c>
      <c r="F9">
        <f t="shared" si="1"/>
        <v>1.340637660805136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93</v>
      </c>
      <c r="B2">
        <v>45.152158125761574</v>
      </c>
      <c r="C2">
        <v>44.410330759276199</v>
      </c>
      <c r="D2">
        <f t="shared" ref="D2:D8" si="0">B2*$I$2+C2*$I$3</f>
        <v>32.977315219338188</v>
      </c>
      <c r="E2">
        <v>45</v>
      </c>
      <c r="F2">
        <f t="shared" ref="F2:F8" si="1">ABS(D2-E2)</f>
        <v>12.022684780661812</v>
      </c>
      <c r="H2" t="s">
        <v>7</v>
      </c>
      <c r="I2">
        <v>0.37534796936455977</v>
      </c>
    </row>
    <row r="3" spans="1:9" x14ac:dyDescent="0.35">
      <c r="A3" t="s">
        <v>94</v>
      </c>
      <c r="B3">
        <v>31.497713178031461</v>
      </c>
      <c r="C3">
        <v>41.54987262069028</v>
      </c>
      <c r="D3">
        <f t="shared" si="0"/>
        <v>26.819688149772951</v>
      </c>
      <c r="E3">
        <v>24</v>
      </c>
      <c r="F3">
        <f t="shared" si="1"/>
        <v>2.8196881497729507</v>
      </c>
      <c r="H3" t="s">
        <v>9</v>
      </c>
      <c r="I3">
        <v>0.36094179170367713</v>
      </c>
    </row>
    <row r="4" spans="1:9" x14ac:dyDescent="0.35">
      <c r="A4" t="s">
        <v>95</v>
      </c>
      <c r="B4">
        <v>37.02907141916409</v>
      </c>
      <c r="C4">
        <v>52.24866950536304</v>
      </c>
      <c r="D4">
        <f t="shared" si="0"/>
        <v>32.757515150037513</v>
      </c>
      <c r="E4">
        <v>27</v>
      </c>
      <c r="F4">
        <f t="shared" si="1"/>
        <v>5.7575151500375128</v>
      </c>
    </row>
    <row r="5" spans="1:9" x14ac:dyDescent="0.35">
      <c r="A5" t="s">
        <v>96</v>
      </c>
      <c r="B5">
        <v>46.52629604725422</v>
      </c>
      <c r="C5">
        <v>42.290144286307076</v>
      </c>
      <c r="D5">
        <f t="shared" si="0"/>
        <v>32.72783119349792</v>
      </c>
      <c r="E5">
        <v>23</v>
      </c>
      <c r="F5">
        <f t="shared" si="1"/>
        <v>9.72783119349792</v>
      </c>
      <c r="H5" t="s">
        <v>12</v>
      </c>
      <c r="I5" cm="1">
        <f t="array" ref="I5">(SUM(TableMUN[PP]-TableMUN[AP]))^2</f>
        <v>2.0194839173657902E-28</v>
      </c>
    </row>
    <row r="6" spans="1:9" x14ac:dyDescent="0.35">
      <c r="A6" t="s">
        <v>97</v>
      </c>
      <c r="B6">
        <v>56.15625</v>
      </c>
      <c r="C6">
        <v>30.111523747039929</v>
      </c>
      <c r="D6">
        <f t="shared" si="0"/>
        <v>31.946641736812971</v>
      </c>
      <c r="E6">
        <v>28</v>
      </c>
      <c r="F6">
        <f t="shared" si="1"/>
        <v>3.9466417368129711</v>
      </c>
    </row>
    <row r="7" spans="1:9" x14ac:dyDescent="0.35">
      <c r="A7" t="s">
        <v>98</v>
      </c>
      <c r="B7">
        <v>22.777777777543488</v>
      </c>
      <c r="C7">
        <v>22.176557821312702</v>
      </c>
      <c r="D7">
        <f t="shared" si="0"/>
        <v>16.554039149282943</v>
      </c>
      <c r="E7">
        <v>43</v>
      </c>
      <c r="F7">
        <f t="shared" si="1"/>
        <v>26.445960850717057</v>
      </c>
      <c r="H7" t="s">
        <v>15</v>
      </c>
      <c r="I7">
        <f>AVERAGE(TableMUN[DIFF])/10</f>
        <v>1.0991041608965393</v>
      </c>
    </row>
    <row r="8" spans="1:9" x14ac:dyDescent="0.35">
      <c r="A8" t="s">
        <v>99</v>
      </c>
      <c r="B8">
        <v>61.23315469689085</v>
      </c>
      <c r="C8">
        <v>56.056764810998921</v>
      </c>
      <c r="D8">
        <f t="shared" si="0"/>
        <v>43.216969401257529</v>
      </c>
      <c r="E8">
        <v>27</v>
      </c>
      <c r="F8">
        <f t="shared" si="1"/>
        <v>16.216969401257529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100</v>
      </c>
      <c r="B2">
        <v>92.666666666666671</v>
      </c>
      <c r="C2">
        <v>48.935000651306908</v>
      </c>
      <c r="D2">
        <f t="shared" ref="D2:D11" si="0">B2*$I$2+C2*$I$3</f>
        <v>75.154250510258962</v>
      </c>
      <c r="E2">
        <v>34</v>
      </c>
      <c r="F2">
        <f t="shared" ref="F2:F11" si="1">ABS(D2-E2)</f>
        <v>41.154250510258962</v>
      </c>
      <c r="H2" t="s">
        <v>7</v>
      </c>
      <c r="I2">
        <v>0.5436215658815069</v>
      </c>
    </row>
    <row r="3" spans="1:9" x14ac:dyDescent="0.35">
      <c r="A3" t="s">
        <v>101</v>
      </c>
      <c r="B3">
        <v>34.999916371042488</v>
      </c>
      <c r="C3">
        <v>37.433867560583764</v>
      </c>
      <c r="D3">
        <f t="shared" si="0"/>
        <v>37.9816652571932</v>
      </c>
      <c r="E3">
        <v>35</v>
      </c>
      <c r="F3">
        <f t="shared" si="1"/>
        <v>2.9816652571931996</v>
      </c>
      <c r="H3" t="s">
        <v>9</v>
      </c>
      <c r="I3">
        <v>0.50635847025873537</v>
      </c>
    </row>
    <row r="4" spans="1:9" x14ac:dyDescent="0.35">
      <c r="A4" t="s">
        <v>102</v>
      </c>
      <c r="B4">
        <v>27.533047529327582</v>
      </c>
      <c r="C4">
        <v>32.364674663917413</v>
      </c>
      <c r="D4">
        <f t="shared" si="0"/>
        <v>31.355685564625887</v>
      </c>
      <c r="E4">
        <v>44</v>
      </c>
      <c r="F4">
        <f t="shared" si="1"/>
        <v>12.644314435374113</v>
      </c>
    </row>
    <row r="5" spans="1:9" x14ac:dyDescent="0.35">
      <c r="A5" t="s">
        <v>103</v>
      </c>
      <c r="B5">
        <v>24.550299910029871</v>
      </c>
      <c r="C5">
        <v>24.785807264761743</v>
      </c>
      <c r="D5">
        <f t="shared" si="0"/>
        <v>25.896575930663662</v>
      </c>
      <c r="E5">
        <v>48</v>
      </c>
      <c r="F5">
        <f t="shared" si="1"/>
        <v>22.103424069336338</v>
      </c>
      <c r="H5" t="s">
        <v>12</v>
      </c>
      <c r="I5" cm="1">
        <f t="array" ref="I5">(SUM(TableNEW[PP]-TableNEW[AP]))^2</f>
        <v>5.0487097934144756E-29</v>
      </c>
    </row>
    <row r="6" spans="1:9" x14ac:dyDescent="0.35">
      <c r="A6" t="s">
        <v>104</v>
      </c>
      <c r="B6">
        <v>50.26666664640603</v>
      </c>
      <c r="C6">
        <v>60.589824694329941</v>
      </c>
      <c r="D6">
        <f t="shared" si="0"/>
        <v>58.006214979428819</v>
      </c>
      <c r="E6">
        <v>53</v>
      </c>
      <c r="F6">
        <f t="shared" si="1"/>
        <v>5.0062149794288189</v>
      </c>
    </row>
    <row r="7" spans="1:9" x14ac:dyDescent="0.35">
      <c r="A7" t="s">
        <v>105</v>
      </c>
      <c r="B7">
        <v>22.760490831466381</v>
      </c>
      <c r="C7">
        <v>28.243065650344267</v>
      </c>
      <c r="D7">
        <f t="shared" si="0"/>
        <v>26.674209184158794</v>
      </c>
      <c r="E7">
        <v>32</v>
      </c>
      <c r="F7">
        <f t="shared" si="1"/>
        <v>5.3257908158412057</v>
      </c>
      <c r="H7" t="s">
        <v>15</v>
      </c>
      <c r="I7">
        <f>AVERAGE(TableNEW[DIFF])/10</f>
        <v>1.6559738346787214</v>
      </c>
    </row>
    <row r="8" spans="1:9" x14ac:dyDescent="0.35">
      <c r="A8" t="s">
        <v>106</v>
      </c>
      <c r="B8">
        <v>93.439560471849092</v>
      </c>
      <c r="C8">
        <v>39.026081257207778</v>
      </c>
      <c r="D8">
        <f t="shared" si="0"/>
        <v>70.556946984579184</v>
      </c>
      <c r="E8">
        <v>37</v>
      </c>
      <c r="F8">
        <f t="shared" si="1"/>
        <v>33.556946984579184</v>
      </c>
    </row>
    <row r="9" spans="1:9" x14ac:dyDescent="0.35">
      <c r="A9" t="s">
        <v>107</v>
      </c>
      <c r="B9">
        <v>26.125625761292341</v>
      </c>
      <c r="C9">
        <v>36.860610052548317</v>
      </c>
      <c r="D9">
        <f t="shared" si="0"/>
        <v>32.867135705000109</v>
      </c>
      <c r="E9">
        <v>39</v>
      </c>
      <c r="F9">
        <f t="shared" si="1"/>
        <v>6.1328642949998908</v>
      </c>
    </row>
    <row r="10" spans="1:9" x14ac:dyDescent="0.35">
      <c r="A10" t="s">
        <v>108</v>
      </c>
      <c r="B10">
        <v>15.985551064798324</v>
      </c>
      <c r="C10">
        <v>44.864681672418612</v>
      </c>
      <c r="D10">
        <f t="shared" si="0"/>
        <v>31.407701881615466</v>
      </c>
      <c r="E10">
        <v>68</v>
      </c>
      <c r="F10">
        <f t="shared" si="1"/>
        <v>36.592298118384534</v>
      </c>
    </row>
    <row r="11" spans="1:9" x14ac:dyDescent="0.35">
      <c r="A11" t="s">
        <v>109</v>
      </c>
      <c r="B11">
        <v>47.023851957913166</v>
      </c>
      <c r="C11">
        <v>52.406418626266081</v>
      </c>
      <c r="D11">
        <f t="shared" si="0"/>
        <v>52.09961400247591</v>
      </c>
      <c r="E11">
        <v>52</v>
      </c>
      <c r="F11">
        <f t="shared" si="1"/>
        <v>9.9614002475910013E-2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110</v>
      </c>
      <c r="B2">
        <v>21.507350866496513</v>
      </c>
      <c r="C2">
        <v>24.680023835525983</v>
      </c>
      <c r="D2">
        <f>B2*$I$2+C2*$I$3</f>
        <v>20.370010663869216</v>
      </c>
      <c r="E2">
        <v>24</v>
      </c>
      <c r="F2">
        <f>ABS(D2-E2)</f>
        <v>3.6299893361307838</v>
      </c>
      <c r="H2" t="s">
        <v>7</v>
      </c>
      <c r="I2">
        <v>0.46861519345615132</v>
      </c>
    </row>
    <row r="3" spans="1:9" x14ac:dyDescent="0.35">
      <c r="A3" t="s">
        <v>111</v>
      </c>
      <c r="B3">
        <v>28.247317465443032</v>
      </c>
      <c r="C3">
        <v>38.098038125085857</v>
      </c>
      <c r="D3">
        <f>B3*$I$2+C3*$I$3</f>
        <v>29.123647967835673</v>
      </c>
      <c r="E3">
        <v>54</v>
      </c>
      <c r="F3">
        <f>ABS(D3-E3)</f>
        <v>24.876352032164327</v>
      </c>
      <c r="H3" t="s">
        <v>9</v>
      </c>
      <c r="I3">
        <v>0.41699065387540779</v>
      </c>
    </row>
    <row r="4" spans="1:9" x14ac:dyDescent="0.35">
      <c r="A4" t="s">
        <v>112</v>
      </c>
      <c r="B4">
        <v>58.944444444444436</v>
      </c>
      <c r="C4">
        <v>32.090655818217698</v>
      </c>
      <c r="D4">
        <f>B4*$I$2+C4*$I$3</f>
        <v>41.003765789427945</v>
      </c>
      <c r="E4">
        <v>27</v>
      </c>
      <c r="F4">
        <f>ABS(D4-E4)</f>
        <v>14.003765789427945</v>
      </c>
    </row>
    <row r="5" spans="1:9" x14ac:dyDescent="0.35">
      <c r="A5" t="s">
        <v>113</v>
      </c>
      <c r="B5">
        <v>33.218035547482764</v>
      </c>
      <c r="C5">
        <v>43.608858307974458</v>
      </c>
      <c r="D5">
        <f>B5*$I$2+C5*$I$3</f>
        <v>33.750962494919229</v>
      </c>
      <c r="E5">
        <v>24</v>
      </c>
      <c r="F5">
        <f>ABS(D5-E5)</f>
        <v>9.7509624949192286</v>
      </c>
      <c r="H5" t="s">
        <v>12</v>
      </c>
      <c r="I5" cm="1">
        <f t="array" ref="I5">(SUM(TableNFO[PP]-TableNFO[AP]))^2</f>
        <v>0</v>
      </c>
    </row>
    <row r="6" spans="1:9" x14ac:dyDescent="0.35">
      <c r="A6" t="s">
        <v>114</v>
      </c>
      <c r="B6">
        <v>47.443308764628128</v>
      </c>
      <c r="C6">
        <v>30.022154340064262</v>
      </c>
      <c r="D6">
        <f>B6*$I$2+C6*$I$3</f>
        <v>34.751613083947937</v>
      </c>
      <c r="E6">
        <v>30</v>
      </c>
      <c r="F6">
        <f>ABS(D6-E6)</f>
        <v>4.7516130839479374</v>
      </c>
    </row>
    <row r="7" spans="1:9" x14ac:dyDescent="0.35">
      <c r="H7" t="s">
        <v>15</v>
      </c>
      <c r="I7">
        <f>AVERAGE(TableNFO[DIFF])/10</f>
        <v>1.1402536547318045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115</v>
      </c>
      <c r="B2">
        <v>13.739172305633449</v>
      </c>
      <c r="C2">
        <v>33.263816131377375</v>
      </c>
      <c r="D2">
        <f>B2*$I$2+C2*$I$3</f>
        <v>28</v>
      </c>
      <c r="E2">
        <v>28</v>
      </c>
      <c r="F2">
        <f>ABS(D2-E2)</f>
        <v>0</v>
      </c>
      <c r="H2" t="s">
        <v>7</v>
      </c>
      <c r="I2">
        <v>0.29700678485475651</v>
      </c>
    </row>
    <row r="3" spans="1:9" x14ac:dyDescent="0.35">
      <c r="H3" t="s">
        <v>9</v>
      </c>
      <c r="I3">
        <v>0.71908083283250912</v>
      </c>
    </row>
    <row r="5" spans="1:9" x14ac:dyDescent="0.35">
      <c r="H5" t="s">
        <v>12</v>
      </c>
      <c r="I5">
        <f>(SUM(TableSHU[PP]-TableSHU[AP]))^2</f>
        <v>0</v>
      </c>
    </row>
    <row r="7" spans="1:9" x14ac:dyDescent="0.35">
      <c r="H7" t="s">
        <v>15</v>
      </c>
      <c r="I7">
        <f>AVERAGE(TableSHU[DIFF])/10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116</v>
      </c>
      <c r="B2">
        <v>36.210789508195489</v>
      </c>
      <c r="C2">
        <v>34.057166294764755</v>
      </c>
      <c r="D2">
        <f t="shared" ref="D2:D7" si="0">B2*$I$2+C2*$I$3</f>
        <v>37.32942918457384</v>
      </c>
      <c r="E2">
        <v>37</v>
      </c>
      <c r="F2">
        <f t="shared" ref="F2:F7" si="1">ABS(D2-E2)</f>
        <v>0.32942918457383996</v>
      </c>
      <c r="H2" t="s">
        <v>7</v>
      </c>
      <c r="I2">
        <v>0.56801643021326431</v>
      </c>
    </row>
    <row r="3" spans="1:9" x14ac:dyDescent="0.35">
      <c r="A3" t="s">
        <v>117</v>
      </c>
      <c r="B3">
        <v>81.599390857721104</v>
      </c>
      <c r="C3">
        <v>49.867632832400865</v>
      </c>
      <c r="D3">
        <f t="shared" si="0"/>
        <v>70.891961902059194</v>
      </c>
      <c r="E3">
        <v>57</v>
      </c>
      <c r="F3">
        <f t="shared" si="1"/>
        <v>13.891961902059194</v>
      </c>
      <c r="H3" t="s">
        <v>9</v>
      </c>
      <c r="I3">
        <v>0.49214622402396463</v>
      </c>
    </row>
    <row r="4" spans="1:9" x14ac:dyDescent="0.35">
      <c r="A4" t="s">
        <v>118</v>
      </c>
      <c r="B4">
        <v>40.094010691731278</v>
      </c>
      <c r="C4">
        <v>46.010438394336532</v>
      </c>
      <c r="D4">
        <f t="shared" si="0"/>
        <v>45.417920347509622</v>
      </c>
      <c r="E4">
        <v>49</v>
      </c>
      <c r="F4">
        <f t="shared" si="1"/>
        <v>3.5820796524903784</v>
      </c>
    </row>
    <row r="5" spans="1:9" x14ac:dyDescent="0.35">
      <c r="A5" t="s">
        <v>119</v>
      </c>
      <c r="B5">
        <v>33.130187431258953</v>
      </c>
      <c r="C5">
        <v>30.016991360772003</v>
      </c>
      <c r="D5">
        <f t="shared" si="0"/>
        <v>33.591239751763979</v>
      </c>
      <c r="E5">
        <v>31</v>
      </c>
      <c r="F5">
        <f t="shared" si="1"/>
        <v>2.5912397517639789</v>
      </c>
      <c r="H5" t="s">
        <v>12</v>
      </c>
      <c r="I5" cm="1">
        <f t="array" ref="I5">(SUM(TableTOT[PP]-TableTOT[AP]))^2</f>
        <v>8.0779356694631609E-28</v>
      </c>
    </row>
    <row r="6" spans="1:9" x14ac:dyDescent="0.35">
      <c r="A6" t="s">
        <v>120</v>
      </c>
      <c r="B6">
        <v>41.444444444444443</v>
      </c>
      <c r="C6">
        <v>30.532951615449544</v>
      </c>
      <c r="D6">
        <f t="shared" si="0"/>
        <v>38.567802231355188</v>
      </c>
      <c r="E6">
        <v>41</v>
      </c>
      <c r="F6">
        <f t="shared" si="1"/>
        <v>2.4321977686448122</v>
      </c>
    </row>
    <row r="7" spans="1:9" x14ac:dyDescent="0.35">
      <c r="A7" t="s">
        <v>121</v>
      </c>
      <c r="B7">
        <v>44.0625</v>
      </c>
      <c r="C7">
        <v>49.118374674940291</v>
      </c>
      <c r="D7">
        <f t="shared" si="0"/>
        <v>49.20164658273815</v>
      </c>
      <c r="E7">
        <v>60</v>
      </c>
      <c r="F7">
        <f t="shared" si="1"/>
        <v>10.79835341726185</v>
      </c>
      <c r="H7" t="s">
        <v>15</v>
      </c>
      <c r="I7">
        <f>AVERAGE(TableTOT[DIFF])/10</f>
        <v>0.56042102794656756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122</v>
      </c>
      <c r="B2">
        <v>19.959523576803381</v>
      </c>
      <c r="C2">
        <v>37.170082268980273</v>
      </c>
      <c r="D2">
        <f t="shared" ref="D2:D7" si="0">B2*$I$2+C2*$I$3</f>
        <v>26.820996133262128</v>
      </c>
      <c r="E2">
        <v>27</v>
      </c>
      <c r="F2">
        <f t="shared" ref="F2:F7" si="1">ABS(D2-E2)</f>
        <v>0.17900386673787239</v>
      </c>
      <c r="H2" t="s">
        <v>7</v>
      </c>
      <c r="I2">
        <v>0.40475931896670952</v>
      </c>
    </row>
    <row r="3" spans="1:9" x14ac:dyDescent="0.35">
      <c r="A3" t="s">
        <v>123</v>
      </c>
      <c r="B3">
        <v>34.91821669244824</v>
      </c>
      <c r="C3">
        <v>27.685384615555897</v>
      </c>
      <c r="D3">
        <f t="shared" si="0"/>
        <v>28.093217279671361</v>
      </c>
      <c r="E3">
        <v>32</v>
      </c>
      <c r="F3">
        <f t="shared" si="1"/>
        <v>3.9067827203286392</v>
      </c>
      <c r="H3" t="s">
        <v>9</v>
      </c>
      <c r="I3">
        <v>0.50422791178636206</v>
      </c>
    </row>
    <row r="4" spans="1:9" x14ac:dyDescent="0.35">
      <c r="A4" t="s">
        <v>124</v>
      </c>
      <c r="B4">
        <v>44.891849303055629</v>
      </c>
      <c r="C4">
        <v>42.928871561277383</v>
      </c>
      <c r="D4">
        <f t="shared" si="0"/>
        <v>39.816329613748792</v>
      </c>
      <c r="E4">
        <v>54</v>
      </c>
      <c r="F4">
        <f t="shared" si="1"/>
        <v>14.183670386251208</v>
      </c>
    </row>
    <row r="5" spans="1:9" x14ac:dyDescent="0.35">
      <c r="A5" t="s">
        <v>125</v>
      </c>
      <c r="B5">
        <v>18.997770181220712</v>
      </c>
      <c r="C5">
        <v>33.508890878913896</v>
      </c>
      <c r="D5">
        <f t="shared" si="0"/>
        <v>24.585642594588787</v>
      </c>
      <c r="E5">
        <v>21</v>
      </c>
      <c r="F5">
        <f t="shared" si="1"/>
        <v>3.5856425945887871</v>
      </c>
      <c r="H5" t="s">
        <v>12</v>
      </c>
      <c r="I5" cm="1">
        <f t="array" ref="I5">(SUM(TableWHU[PP]-TableWHU[AP]))^2</f>
        <v>5.0487097934144756E-29</v>
      </c>
    </row>
    <row r="6" spans="1:9" x14ac:dyDescent="0.35">
      <c r="A6" t="s">
        <v>126</v>
      </c>
      <c r="B6">
        <v>32.771617801872679</v>
      </c>
      <c r="C6">
        <v>46.432762312320577</v>
      </c>
      <c r="D6">
        <f t="shared" si="0"/>
        <v>36.677312482137175</v>
      </c>
      <c r="E6">
        <v>23</v>
      </c>
      <c r="F6">
        <f t="shared" si="1"/>
        <v>13.677312482137175</v>
      </c>
    </row>
    <row r="7" spans="1:9" x14ac:dyDescent="0.35">
      <c r="A7" t="s">
        <v>127</v>
      </c>
      <c r="B7">
        <v>37.249853649063219</v>
      </c>
      <c r="C7">
        <v>47.457262762807929</v>
      </c>
      <c r="D7">
        <f t="shared" si="0"/>
        <v>39.00650189659175</v>
      </c>
      <c r="E7">
        <v>38</v>
      </c>
      <c r="F7">
        <f t="shared" si="1"/>
        <v>1.0065018965917503</v>
      </c>
      <c r="H7" t="s">
        <v>15</v>
      </c>
      <c r="I7">
        <f>AVERAGE(TableWHU[DIFF])/10</f>
        <v>0.60898189911059053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tabSelected="1"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128</v>
      </c>
      <c r="B2">
        <v>9.3430440294735178</v>
      </c>
      <c r="C2">
        <v>28.231042899884134</v>
      </c>
      <c r="D2">
        <f>B2*$I$2+C2*$I$3</f>
        <v>26.869663897364173</v>
      </c>
      <c r="E2">
        <v>44</v>
      </c>
      <c r="F2">
        <f>ABS(D2-E2)</f>
        <v>17.130336102635827</v>
      </c>
      <c r="H2" t="s">
        <v>7</v>
      </c>
      <c r="I2">
        <v>0.64772280272603755</v>
      </c>
    </row>
    <row r="3" spans="1:9" x14ac:dyDescent="0.35">
      <c r="A3" t="s">
        <v>129</v>
      </c>
      <c r="B3">
        <v>18.955404758428802</v>
      </c>
      <c r="C3">
        <v>22.288932066695949</v>
      </c>
      <c r="D3">
        <f>B3*$I$2+C3*$I$3</f>
        <v>28.714014471655531</v>
      </c>
      <c r="E3">
        <v>22</v>
      </c>
      <c r="F3">
        <f>ABS(D3-E3)</f>
        <v>6.7140144716555312</v>
      </c>
      <c r="H3" t="s">
        <v>9</v>
      </c>
      <c r="I3">
        <v>0.73741382160154834</v>
      </c>
    </row>
    <row r="4" spans="1:9" x14ac:dyDescent="0.35">
      <c r="A4" t="s">
        <v>31</v>
      </c>
      <c r="B4">
        <v>28.484559048531274</v>
      </c>
      <c r="C4">
        <v>23.795024718501736</v>
      </c>
      <c r="D4">
        <f>B4*$I$2+C4*$I$3</f>
        <v>35.996878534103658</v>
      </c>
      <c r="E4">
        <v>43</v>
      </c>
      <c r="F4">
        <f>ABS(D4-E4)</f>
        <v>7.0031214658963421</v>
      </c>
    </row>
    <row r="5" spans="1:9" x14ac:dyDescent="0.35">
      <c r="A5" t="s">
        <v>130</v>
      </c>
      <c r="B5">
        <v>42.729693615906847</v>
      </c>
      <c r="C5">
        <v>38.977362976371204</v>
      </c>
      <c r="D5">
        <f>B5*$I$2+C5*$I$3</f>
        <v>56.419443096876648</v>
      </c>
      <c r="E5">
        <v>39</v>
      </c>
      <c r="F5">
        <f>ABS(D5-E5)</f>
        <v>17.419443096876648</v>
      </c>
      <c r="H5" t="s">
        <v>12</v>
      </c>
      <c r="I5" cm="1">
        <f t="array" ref="I5">(SUM(TableWOL[PP]-TableWOL[AP]))^2</f>
        <v>1.135959703518257E-28</v>
      </c>
    </row>
    <row r="7" spans="1:9" x14ac:dyDescent="0.35">
      <c r="H7" t="s">
        <v>15</v>
      </c>
      <c r="I7">
        <f>AVERAGE(TableWOL[DIFF])/10</f>
        <v>1.2066728784266085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2023-11-03T22:27:33Z</dcterms:created>
  <dcterms:modified xsi:type="dcterms:W3CDTF">2023-11-03T23:27:47Z</dcterms:modified>
  <cp:category/>
</cp:coreProperties>
</file>