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Calibrations/2023-24/"/>
    </mc:Choice>
  </mc:AlternateContent>
  <xr:revisionPtr revIDLastSave="0" documentId="13_ncr:1_{F5695F72-8555-164E-8C0B-5DB4517F95C9}" xr6:coauthVersionLast="47" xr6:coauthVersionMax="47" xr10:uidLastSave="{00000000-0000-0000-0000-000000000000}"/>
  <bookViews>
    <workbookView xWindow="240" yWindow="760" windowWidth="16100" windowHeight="9660" firstSheet="12" activeTab="19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0" l="1"/>
  <c r="F10" i="20" s="1"/>
  <c r="D9" i="20"/>
  <c r="F9" i="20" s="1"/>
  <c r="D8" i="20"/>
  <c r="F8" i="20" s="1"/>
  <c r="D7" i="20"/>
  <c r="F7" i="20" s="1"/>
  <c r="D6" i="20"/>
  <c r="F6" i="20" s="1"/>
  <c r="D5" i="20"/>
  <c r="I5" i="20" s="1"/>
  <c r="F4" i="20"/>
  <c r="D4" i="20"/>
  <c r="F3" i="20"/>
  <c r="D3" i="20"/>
  <c r="F2" i="20"/>
  <c r="D2" i="20"/>
  <c r="F8" i="19"/>
  <c r="D8" i="19"/>
  <c r="D7" i="19"/>
  <c r="F7" i="19" s="1"/>
  <c r="D6" i="19"/>
  <c r="F6" i="19" s="1"/>
  <c r="F5" i="19"/>
  <c r="D5" i="19"/>
  <c r="I5" i="19" s="1"/>
  <c r="F4" i="19"/>
  <c r="D4" i="19"/>
  <c r="F3" i="19"/>
  <c r="D3" i="19"/>
  <c r="F2" i="19"/>
  <c r="D2" i="19"/>
  <c r="F9" i="18"/>
  <c r="D9" i="18"/>
  <c r="F8" i="18"/>
  <c r="D8" i="18"/>
  <c r="D7" i="18"/>
  <c r="F7" i="18" s="1"/>
  <c r="D6" i="18"/>
  <c r="F6" i="18" s="1"/>
  <c r="I5" i="18"/>
  <c r="F5" i="18"/>
  <c r="D5" i="18"/>
  <c r="F4" i="18"/>
  <c r="D4" i="18"/>
  <c r="D3" i="18"/>
  <c r="F3" i="18" s="1"/>
  <c r="F2" i="18"/>
  <c r="I7" i="18" s="1"/>
  <c r="D2" i="18"/>
  <c r="I5" i="17"/>
  <c r="F3" i="17"/>
  <c r="D3" i="17"/>
  <c r="F2" i="17"/>
  <c r="I7" i="17" s="1"/>
  <c r="D2" i="17"/>
  <c r="F5" i="16"/>
  <c r="D5" i="16"/>
  <c r="I5" i="16" s="1"/>
  <c r="D4" i="16"/>
  <c r="F4" i="16" s="1"/>
  <c r="I7" i="16" s="1"/>
  <c r="F3" i="16"/>
  <c r="D3" i="16"/>
  <c r="F2" i="16"/>
  <c r="D2" i="16"/>
  <c r="F12" i="15"/>
  <c r="D12" i="15"/>
  <c r="F11" i="15"/>
  <c r="D11" i="15"/>
  <c r="D10" i="15"/>
  <c r="F10" i="15" s="1"/>
  <c r="F9" i="15"/>
  <c r="D9" i="15"/>
  <c r="F8" i="15"/>
  <c r="D8" i="15"/>
  <c r="D7" i="15"/>
  <c r="F7" i="15" s="1"/>
  <c r="F6" i="15"/>
  <c r="D6" i="15"/>
  <c r="I5" i="15"/>
  <c r="F5" i="15"/>
  <c r="D5" i="15"/>
  <c r="F4" i="15"/>
  <c r="D4" i="15"/>
  <c r="F3" i="15"/>
  <c r="D3" i="15"/>
  <c r="F2" i="15"/>
  <c r="D2" i="15"/>
  <c r="D8" i="14"/>
  <c r="F8" i="14" s="1"/>
  <c r="D7" i="14"/>
  <c r="F7" i="14" s="1"/>
  <c r="D6" i="14"/>
  <c r="F6" i="14" s="1"/>
  <c r="I5" i="14"/>
  <c r="F5" i="14"/>
  <c r="D5" i="14"/>
  <c r="D4" i="14"/>
  <c r="F4" i="14" s="1"/>
  <c r="F3" i="14"/>
  <c r="D3" i="14"/>
  <c r="F2" i="14"/>
  <c r="D2" i="14"/>
  <c r="F10" i="13"/>
  <c r="D10" i="13"/>
  <c r="F9" i="13"/>
  <c r="D9" i="13"/>
  <c r="D8" i="13"/>
  <c r="F8" i="13" s="1"/>
  <c r="D7" i="13"/>
  <c r="F7" i="13" s="1"/>
  <c r="D6" i="13"/>
  <c r="F6" i="13" s="1"/>
  <c r="I5" i="13"/>
  <c r="F5" i="13"/>
  <c r="D5" i="13"/>
  <c r="D4" i="13"/>
  <c r="F4" i="13" s="1"/>
  <c r="F3" i="13"/>
  <c r="D3" i="13"/>
  <c r="F2" i="13"/>
  <c r="D2" i="13"/>
  <c r="I7" i="12"/>
  <c r="I5" i="12"/>
  <c r="F2" i="12"/>
  <c r="D2" i="12"/>
  <c r="F13" i="11"/>
  <c r="D13" i="11"/>
  <c r="F12" i="11"/>
  <c r="D12" i="11"/>
  <c r="F11" i="11"/>
  <c r="D11" i="11"/>
  <c r="F10" i="11"/>
  <c r="D10" i="11"/>
  <c r="F9" i="11"/>
  <c r="D9" i="11"/>
  <c r="F8" i="11"/>
  <c r="D8" i="11"/>
  <c r="D7" i="11"/>
  <c r="F7" i="11" s="1"/>
  <c r="D6" i="11"/>
  <c r="F6" i="11" s="1"/>
  <c r="I5" i="11"/>
  <c r="F5" i="11"/>
  <c r="D5" i="11"/>
  <c r="F4" i="11"/>
  <c r="D4" i="11"/>
  <c r="F3" i="11"/>
  <c r="D3" i="11"/>
  <c r="F2" i="11"/>
  <c r="D2" i="11"/>
  <c r="F12" i="10"/>
  <c r="D12" i="10"/>
  <c r="F11" i="10"/>
  <c r="D11" i="10"/>
  <c r="F10" i="10"/>
  <c r="D10" i="10"/>
  <c r="F9" i="10"/>
  <c r="D9" i="10"/>
  <c r="F8" i="10"/>
  <c r="D8" i="10"/>
  <c r="F7" i="10"/>
  <c r="D7" i="10"/>
  <c r="D6" i="10"/>
  <c r="F6" i="10" s="1"/>
  <c r="I5" i="10"/>
  <c r="F5" i="10"/>
  <c r="D5" i="10"/>
  <c r="F4" i="10"/>
  <c r="D4" i="10"/>
  <c r="F3" i="10"/>
  <c r="D3" i="10"/>
  <c r="F2" i="10"/>
  <c r="D2" i="10"/>
  <c r="F11" i="9"/>
  <c r="D11" i="9"/>
  <c r="F10" i="9"/>
  <c r="D10" i="9"/>
  <c r="F9" i="9"/>
  <c r="D9" i="9"/>
  <c r="F8" i="9"/>
  <c r="D8" i="9"/>
  <c r="D7" i="9"/>
  <c r="F7" i="9" s="1"/>
  <c r="D6" i="9"/>
  <c r="F6" i="9" s="1"/>
  <c r="I5" i="9"/>
  <c r="F5" i="9"/>
  <c r="D5" i="9"/>
  <c r="F4" i="9"/>
  <c r="D4" i="9"/>
  <c r="F3" i="9"/>
  <c r="D3" i="9"/>
  <c r="F2" i="9"/>
  <c r="D2" i="9"/>
  <c r="F9" i="8"/>
  <c r="D9" i="8"/>
  <c r="F8" i="8"/>
  <c r="D8" i="8"/>
  <c r="D7" i="8"/>
  <c r="F7" i="8" s="1"/>
  <c r="D6" i="8"/>
  <c r="F6" i="8" s="1"/>
  <c r="I5" i="8"/>
  <c r="F5" i="8"/>
  <c r="D5" i="8"/>
  <c r="F4" i="8"/>
  <c r="D4" i="8"/>
  <c r="F3" i="8"/>
  <c r="D3" i="8"/>
  <c r="F2" i="8"/>
  <c r="D2" i="8"/>
  <c r="F8" i="7"/>
  <c r="D8" i="7"/>
  <c r="D7" i="7"/>
  <c r="F7" i="7" s="1"/>
  <c r="D6" i="7"/>
  <c r="F6" i="7" s="1"/>
  <c r="I5" i="7"/>
  <c r="F5" i="7"/>
  <c r="D5" i="7"/>
  <c r="F4" i="7"/>
  <c r="D4" i="7"/>
  <c r="F3" i="7"/>
  <c r="I7" i="7" s="1"/>
  <c r="D3" i="7"/>
  <c r="F2" i="7"/>
  <c r="D2" i="7"/>
  <c r="I7" i="6"/>
  <c r="I5" i="6"/>
  <c r="F4" i="6"/>
  <c r="D4" i="6"/>
  <c r="F3" i="6"/>
  <c r="D3" i="6"/>
  <c r="F2" i="6"/>
  <c r="D2" i="6"/>
  <c r="D7" i="5"/>
  <c r="F7" i="5" s="1"/>
  <c r="D6" i="5"/>
  <c r="F6" i="5" s="1"/>
  <c r="F5" i="5"/>
  <c r="D5" i="5"/>
  <c r="I5" i="5" s="1"/>
  <c r="D4" i="5"/>
  <c r="F4" i="5" s="1"/>
  <c r="F3" i="5"/>
  <c r="D3" i="5"/>
  <c r="F2" i="5"/>
  <c r="D2" i="5"/>
  <c r="D7" i="4"/>
  <c r="F7" i="4" s="1"/>
  <c r="D6" i="4"/>
  <c r="F6" i="4" s="1"/>
  <c r="I5" i="4"/>
  <c r="F5" i="4"/>
  <c r="D5" i="4"/>
  <c r="F4" i="4"/>
  <c r="D4" i="4"/>
  <c r="F3" i="4"/>
  <c r="D3" i="4"/>
  <c r="F2" i="4"/>
  <c r="I7" i="4" s="1"/>
  <c r="D2" i="4"/>
  <c r="D9" i="3"/>
  <c r="F9" i="3" s="1"/>
  <c r="F8" i="3"/>
  <c r="D8" i="3"/>
  <c r="D7" i="3"/>
  <c r="F7" i="3" s="1"/>
  <c r="D6" i="3"/>
  <c r="F6" i="3" s="1"/>
  <c r="D5" i="3"/>
  <c r="F5" i="3" s="1"/>
  <c r="I7" i="3" s="1"/>
  <c r="F4" i="3"/>
  <c r="D4" i="3"/>
  <c r="F3" i="3"/>
  <c r="D3" i="3"/>
  <c r="F2" i="3"/>
  <c r="D2" i="3"/>
  <c r="F10" i="2"/>
  <c r="D10" i="2"/>
  <c r="D9" i="2"/>
  <c r="F9" i="2" s="1"/>
  <c r="F8" i="2"/>
  <c r="D8" i="2"/>
  <c r="D7" i="2"/>
  <c r="F7" i="2" s="1"/>
  <c r="D6" i="2"/>
  <c r="F6" i="2" s="1"/>
  <c r="D5" i="2"/>
  <c r="F5" i="2" s="1"/>
  <c r="F4" i="2"/>
  <c r="D4" i="2"/>
  <c r="F3" i="2"/>
  <c r="D3" i="2"/>
  <c r="F2" i="2"/>
  <c r="D2" i="2"/>
  <c r="F13" i="1"/>
  <c r="D13" i="1"/>
  <c r="D12" i="1"/>
  <c r="F12" i="1" s="1"/>
  <c r="F11" i="1"/>
  <c r="D11" i="1"/>
  <c r="F10" i="1"/>
  <c r="D10" i="1"/>
  <c r="F9" i="1"/>
  <c r="D9" i="1"/>
  <c r="F8" i="1"/>
  <c r="D8" i="1"/>
  <c r="F7" i="1"/>
  <c r="D7" i="1"/>
  <c r="D6" i="1"/>
  <c r="F6" i="1" s="1"/>
  <c r="I5" i="1"/>
  <c r="F5" i="1"/>
  <c r="D5" i="1"/>
  <c r="F4" i="1"/>
  <c r="D4" i="1"/>
  <c r="D3" i="1"/>
  <c r="F3" i="1" s="1"/>
  <c r="F2" i="1"/>
  <c r="D2" i="1"/>
  <c r="I7" i="5" l="1"/>
  <c r="I7" i="14"/>
  <c r="I7" i="1"/>
  <c r="I7" i="15"/>
  <c r="I7" i="9"/>
  <c r="I7" i="13"/>
  <c r="I7" i="10"/>
  <c r="I7" i="19"/>
  <c r="I7" i="2"/>
  <c r="I7" i="8"/>
  <c r="I7" i="11"/>
  <c r="I5" i="2"/>
  <c r="I5" i="3"/>
  <c r="F5" i="20"/>
  <c r="I7" i="20" s="1"/>
</calcChain>
</file>

<file path=xl/sharedStrings.xml><?xml version="1.0" encoding="utf-8"?>
<sst xmlns="http://schemas.openxmlformats.org/spreadsheetml/2006/main" count="350" uniqueCount="158">
  <si>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</si>
  <si>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</si>
  <si>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</si>
  <si>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</si>
  <si>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</si>
  <si>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</si>
  <si>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</si>
  <si>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</si>
  <si>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</si>
  <si>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</si>
  <si>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</si>
  <si>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</si>
  <si>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</si>
  <si>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</si>
  <si>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</si>
  <si>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</si>
  <si>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</si>
  <si>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</si>
  <si>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</si>
  <si>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</si>
  <si>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</si>
  <si>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</si>
  <si>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Digne</t>
  </si>
  <si>
    <t>Tielemans</t>
  </si>
  <si>
    <t>Douglas Luiz</t>
  </si>
  <si>
    <t>McGinn</t>
  </si>
  <si>
    <t>Konsa</t>
  </si>
  <si>
    <t>Watkins</t>
  </si>
  <si>
    <t>Bailey</t>
  </si>
  <si>
    <t>Martinez</t>
  </si>
  <si>
    <t>Diaby</t>
  </si>
  <si>
    <t>Billing</t>
  </si>
  <si>
    <t>Solanke</t>
  </si>
  <si>
    <t>Christie</t>
  </si>
  <si>
    <t>Tavernier</t>
  </si>
  <si>
    <t>Senesi</t>
  </si>
  <si>
    <t>Neto</t>
  </si>
  <si>
    <t>Semenyo</t>
  </si>
  <si>
    <t>Zabarnyi</t>
  </si>
  <si>
    <t>Maupay</t>
  </si>
  <si>
    <t>Janelt</t>
  </si>
  <si>
    <t>Mbeumo</t>
  </si>
  <si>
    <t>Wissa</t>
  </si>
  <si>
    <t>Jensen</t>
  </si>
  <si>
    <t>Collins</t>
  </si>
  <si>
    <t>Gross</t>
  </si>
  <si>
    <t>Welbeck</t>
  </si>
  <si>
    <t>João Pedro</t>
  </si>
  <si>
    <t>Steele</t>
  </si>
  <si>
    <t>Ferguson</t>
  </si>
  <si>
    <t>Mitoma</t>
  </si>
  <si>
    <t>Berge</t>
  </si>
  <si>
    <t>Brownhill</t>
  </si>
  <si>
    <t>Trafford</t>
  </si>
  <si>
    <t>Sterling</t>
  </si>
  <si>
    <t>Gallagher</t>
  </si>
  <si>
    <t>Sanchez</t>
  </si>
  <si>
    <t>T.Silva</t>
  </si>
  <si>
    <t>Colwill</t>
  </si>
  <si>
    <t>Mudryk</t>
  </si>
  <si>
    <t>Enzo</t>
  </si>
  <si>
    <t>Schlupp</t>
  </si>
  <si>
    <t>Ward</t>
  </si>
  <si>
    <t>J.Ayew</t>
  </si>
  <si>
    <t>Eze</t>
  </si>
  <si>
    <t>Johnstone</t>
  </si>
  <si>
    <t>Mateta</t>
  </si>
  <si>
    <t>Edouard</t>
  </si>
  <si>
    <t>Lerma</t>
  </si>
  <si>
    <t>A.Doucoure</t>
  </si>
  <si>
    <t>Tarkowski</t>
  </si>
  <si>
    <t>Pickford</t>
  </si>
  <si>
    <t>Calvert-Lewin</t>
  </si>
  <si>
    <t>McNeil</t>
  </si>
  <si>
    <t>Garner</t>
  </si>
  <si>
    <t>Branthwaite</t>
  </si>
  <si>
    <t>Harrison</t>
  </si>
  <si>
    <t>Mykolenko</t>
  </si>
  <si>
    <t>Onana</t>
  </si>
  <si>
    <t>Raúl</t>
  </si>
  <si>
    <t>Cairney</t>
  </si>
  <si>
    <t>Iwobi</t>
  </si>
  <si>
    <t>Leno</t>
  </si>
  <si>
    <t>Wilson</t>
  </si>
  <si>
    <t>Castagne</t>
  </si>
  <si>
    <t>Robinson</t>
  </si>
  <si>
    <t>J.Palhinha</t>
  </si>
  <si>
    <t>Andreas</t>
  </si>
  <si>
    <t>De Cordova-Reid</t>
  </si>
  <si>
    <t>Willian</t>
  </si>
  <si>
    <t>A.Becker</t>
  </si>
  <si>
    <t>Salah</t>
  </si>
  <si>
    <t>Alexander-Arnold</t>
  </si>
  <si>
    <t>Virgil</t>
  </si>
  <si>
    <t>Jones</t>
  </si>
  <si>
    <t>Mac Allister</t>
  </si>
  <si>
    <t>Konaté</t>
  </si>
  <si>
    <t>Luis Díaz</t>
  </si>
  <si>
    <t>Darwin</t>
  </si>
  <si>
    <t>Diogo J.</t>
  </si>
  <si>
    <t>Gakpo</t>
  </si>
  <si>
    <t>Szoboszlai</t>
  </si>
  <si>
    <t>Barkley</t>
  </si>
  <si>
    <t>Ederson M.</t>
  </si>
  <si>
    <t>Walker</t>
  </si>
  <si>
    <t>Aké</t>
  </si>
  <si>
    <t>Foden</t>
  </si>
  <si>
    <t>Rodrigo</t>
  </si>
  <si>
    <t>Haaland</t>
  </si>
  <si>
    <t>Bernardo</t>
  </si>
  <si>
    <t>J.Alvarez</t>
  </si>
  <si>
    <t>Akanji</t>
  </si>
  <si>
    <t>Rashford</t>
  </si>
  <si>
    <t>McTominay</t>
  </si>
  <si>
    <t>Martial</t>
  </si>
  <si>
    <t>B.Fernandes</t>
  </si>
  <si>
    <t>Dalot</t>
  </si>
  <si>
    <t>Garnacho</t>
  </si>
  <si>
    <t>Trippier</t>
  </si>
  <si>
    <t>Schär</t>
  </si>
  <si>
    <t>Longstaff</t>
  </si>
  <si>
    <t>Burn</t>
  </si>
  <si>
    <t>Joelinton</t>
  </si>
  <si>
    <t>Pope</t>
  </si>
  <si>
    <t>Gordon</t>
  </si>
  <si>
    <t>Bruno G.</t>
  </si>
  <si>
    <t>Almirón</t>
  </si>
  <si>
    <t>Isak</t>
  </si>
  <si>
    <t>Wood</t>
  </si>
  <si>
    <t>Gibbs-White</t>
  </si>
  <si>
    <t>Elanga</t>
  </si>
  <si>
    <t>Toffolo</t>
  </si>
  <si>
    <t>Archer</t>
  </si>
  <si>
    <t>Foderingham</t>
  </si>
  <si>
    <t>Richarlison</t>
  </si>
  <si>
    <t>Romero</t>
  </si>
  <si>
    <t>Kulusevski</t>
  </si>
  <si>
    <t>Johnson</t>
  </si>
  <si>
    <t>Son</t>
  </si>
  <si>
    <t>Sarr</t>
  </si>
  <si>
    <t>Pedro Porro</t>
  </si>
  <si>
    <t>Vicario</t>
  </si>
  <si>
    <t>Ward-Prowse</t>
  </si>
  <si>
    <t>Zouma</t>
  </si>
  <si>
    <t>Emerson</t>
  </si>
  <si>
    <t>Bowen</t>
  </si>
  <si>
    <t>Areola</t>
  </si>
  <si>
    <t>L.Paquetá</t>
  </si>
  <si>
    <t>Souček</t>
  </si>
  <si>
    <t>Mario Jr.</t>
  </si>
  <si>
    <t>Kilman</t>
  </si>
  <si>
    <t>Dawson</t>
  </si>
  <si>
    <t>N.Semedo</t>
  </si>
  <si>
    <t>José Sá</t>
  </si>
  <si>
    <t>Toti</t>
  </si>
  <si>
    <t>Hee Chan</t>
  </si>
  <si>
    <t>Cunha</t>
  </si>
  <si>
    <t>Sarabia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</si>
</sst>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F13" totalsRowShown="0">
  <autoFilter ref="A1:F13" xr:uid="{00000000-0009-0000-0100-000001000000}"/>
  <tableColumns count="6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PP">
      <calculatedColumnFormula>TableARS[[#This Row],[ARIMAPP]]*$I$2+TableARS[[#This Row],[LSTMPP]]*$I$3</calculatedColumnFormula>
    </tableColumn>
    <tableColumn id="5" xr3:uid="{00000000-0010-0000-0000-000005000000}" name="AP"/>
    <tableColumn id="6" xr3:uid="{00000000-0010-0000-0000-000006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FUL" displayName="TableFUL" ref="A1:F12" totalsRowShown="0">
  <autoFilter ref="A1:F12" xr:uid="{00000000-0009-0000-0100-00000A000000}"/>
  <tableColumns count="6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PP">
      <calculatedColumnFormula>TableFUL[[#This Row],[ARIMAPP]]*$I$2+TableFUL[[#This Row],[LSTMPP]]*$I$3</calculatedColumnFormula>
    </tableColumn>
    <tableColumn id="5" xr3:uid="{00000000-0010-0000-0900-000005000000}" name="AP"/>
    <tableColumn id="6" xr3:uid="{00000000-0010-0000-0900-000006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LIV" displayName="TableLIV" ref="A1:F13" totalsRowShown="0">
  <autoFilter ref="A1:F13" xr:uid="{00000000-0009-0000-0100-00000B000000}"/>
  <tableColumns count="6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PP">
      <calculatedColumnFormula>TableLIV[[#This Row],[ARIMAPP]]*$I$2+TableLIV[[#This Row],[LSTMPP]]*$I$3</calculatedColumnFormula>
    </tableColumn>
    <tableColumn id="5" xr3:uid="{00000000-0010-0000-0A00-000005000000}" name="AP"/>
    <tableColumn id="6" xr3:uid="{00000000-0010-0000-0A00-000006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LUT" displayName="TableLUT" ref="A1:F2" totalsRowShown="0">
  <autoFilter ref="A1:F2" xr:uid="{00000000-0009-0000-0100-00000C000000}"/>
  <tableColumns count="6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PP">
      <calculatedColumnFormula>TableLUT[[#This Row],[ARIMAPP]]*$I$2+TableLUT[[#This Row],[LSTMPP]]*$I$3</calculatedColumnFormula>
    </tableColumn>
    <tableColumn id="5" xr3:uid="{00000000-0010-0000-0B00-000005000000}" name="AP"/>
    <tableColumn id="6" xr3:uid="{00000000-0010-0000-0B00-000006000000}" name="DIFF">
      <calculatedColumnFormula>ABS(TableLUT[[#This Row],[PP]]-TableLUT[[#This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MCI" displayName="TableMCI" ref="A1:F10" totalsRowShown="0">
  <autoFilter ref="A1:F10" xr:uid="{00000000-0009-0000-0100-00000D000000}"/>
  <tableColumns count="6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PP">
      <calculatedColumnFormula>TableMCI[[#This Row],[ARIMAPP]]*$I$2+TableMCI[[#This Row],[LSTMPP]]*$I$3</calculatedColumnFormula>
    </tableColumn>
    <tableColumn id="5" xr3:uid="{00000000-0010-0000-0C00-000005000000}" name="AP"/>
    <tableColumn id="6" xr3:uid="{00000000-0010-0000-0C00-000006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MUN" displayName="TableMUN" ref="A1:F8" totalsRowShown="0">
  <autoFilter ref="A1:F8" xr:uid="{00000000-0009-0000-0100-00000E000000}"/>
  <tableColumns count="6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PP">
      <calculatedColumnFormula>TableMUN[[#This Row],[ARIMAPP]]*$I$2+TableMUN[[#This Row],[LSTMPP]]*$I$3</calculatedColumnFormula>
    </tableColumn>
    <tableColumn id="5" xr3:uid="{00000000-0010-0000-0D00-000005000000}" name="AP"/>
    <tableColumn id="6" xr3:uid="{00000000-0010-0000-0D00-000006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NEW" displayName="TableNEW" ref="A1:F12" totalsRowShown="0">
  <autoFilter ref="A1:F12" xr:uid="{00000000-0009-0000-0100-00000F000000}"/>
  <tableColumns count="6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PP">
      <calculatedColumnFormula>TableNEW[[#This Row],[ARIMAPP]]*$I$2+TableNEW[[#This Row],[LSTMPP]]*$I$3</calculatedColumnFormula>
    </tableColumn>
    <tableColumn id="5" xr3:uid="{00000000-0010-0000-0E00-000005000000}" name="AP"/>
    <tableColumn id="6" xr3:uid="{00000000-0010-0000-0E00-000006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NFO" displayName="TableNFO" ref="A1:F5" totalsRowShown="0">
  <autoFilter ref="A1:F5" xr:uid="{00000000-0009-0000-0100-000010000000}"/>
  <tableColumns count="6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PP">
      <calculatedColumnFormula>TableNFO[[#This Row],[ARIMAPP]]*$I$2+TableNFO[[#This Row],[LSTMPP]]*$I$3</calculatedColumnFormula>
    </tableColumn>
    <tableColumn id="5" xr3:uid="{00000000-0010-0000-0F00-000005000000}" name="AP"/>
    <tableColumn id="6" xr3:uid="{00000000-0010-0000-0F00-000006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SHU" displayName="TableSHU" ref="A1:F3" totalsRowShown="0">
  <autoFilter ref="A1:F3" xr:uid="{00000000-0009-0000-0100-000011000000}"/>
  <tableColumns count="6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PP">
      <calculatedColumnFormula>TableSHU[[#This Row],[ARIMAPP]]*$I$2+TableSHU[[#This Row],[LSTMPP]]*$I$3</calculatedColumnFormula>
    </tableColumn>
    <tableColumn id="5" xr3:uid="{00000000-0010-0000-1000-000005000000}" name="AP"/>
    <tableColumn id="6" xr3:uid="{00000000-0010-0000-1000-000006000000}" name="DIFF">
      <calculatedColumnFormula>ABS(TableSHU[[#This Row],[PP]]-TableSHU[[#This Row],[AP]])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TOT" displayName="TableTOT" ref="A1:F9" totalsRowShown="0">
  <autoFilter ref="A1:F9" xr:uid="{00000000-0009-0000-0100-000012000000}"/>
  <tableColumns count="6">
    <tableColumn id="1" xr3:uid="{00000000-0010-0000-1100-000001000000}" name="Name"/>
    <tableColumn id="2" xr3:uid="{00000000-0010-0000-1100-000002000000}" name="ARIMAPP"/>
    <tableColumn id="3" xr3:uid="{00000000-0010-0000-1100-000003000000}" name="LSTMPP"/>
    <tableColumn id="4" xr3:uid="{00000000-0010-0000-1100-000004000000}" name="PP">
      <calculatedColumnFormula>TableTOT[[#This Row],[ARIMAPP]]*$I$2+TableTOT[[#This Row],[LSTMPP]]*$I$3</calculatedColumnFormula>
    </tableColumn>
    <tableColumn id="5" xr3:uid="{00000000-0010-0000-1100-000005000000}" name="AP"/>
    <tableColumn id="6" xr3:uid="{00000000-0010-0000-1100-000006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WHU" displayName="TableWHU" ref="A1:F8" totalsRowShown="0">
  <autoFilter ref="A1:F8" xr:uid="{00000000-0009-0000-0100-000013000000}"/>
  <tableColumns count="6">
    <tableColumn id="1" xr3:uid="{00000000-0010-0000-1200-000001000000}" name="Name"/>
    <tableColumn id="2" xr3:uid="{00000000-0010-0000-1200-000002000000}" name="ARIMAPP"/>
    <tableColumn id="3" xr3:uid="{00000000-0010-0000-1200-000003000000}" name="LSTMPP"/>
    <tableColumn id="4" xr3:uid="{00000000-0010-0000-1200-000004000000}" name="PP">
      <calculatedColumnFormula>TableWHU[[#This Row],[ARIMAPP]]*$I$2+TableWHU[[#This Row],[LSTMPP]]*$I$3</calculatedColumnFormula>
    </tableColumn>
    <tableColumn id="5" xr3:uid="{00000000-0010-0000-1200-000005000000}" name="AP"/>
    <tableColumn id="6" xr3:uid="{00000000-0010-0000-1200-000006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F10" totalsRowShown="0">
  <autoFilter ref="A1:F10" xr:uid="{00000000-0009-0000-0100-000002000000}"/>
  <tableColumns count="6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PP">
      <calculatedColumnFormula>TableAVL[[#This Row],[ARIMAPP]]*$I$2+TableAVL[[#This Row],[LSTMPP]]*$I$3</calculatedColumnFormula>
    </tableColumn>
    <tableColumn id="5" xr3:uid="{00000000-0010-0000-0100-000005000000}" name="AP"/>
    <tableColumn id="6" xr3:uid="{00000000-0010-0000-0100-000006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WOL" displayName="TableWOL" ref="A1:F10" totalsRowShown="0">
  <autoFilter ref="A1:F10" xr:uid="{00000000-0009-0000-0100-000014000000}"/>
  <tableColumns count="6">
    <tableColumn id="1" xr3:uid="{00000000-0010-0000-1300-000001000000}" name="Name"/>
    <tableColumn id="2" xr3:uid="{00000000-0010-0000-1300-000002000000}" name="ARIMAPP"/>
    <tableColumn id="3" xr3:uid="{00000000-0010-0000-1300-000003000000}" name="LSTMPP"/>
    <tableColumn id="4" xr3:uid="{00000000-0010-0000-1300-000004000000}" name="PP">
      <calculatedColumnFormula>TableWOL[[#This Row],[ARIMAPP]]*$I$2+TableWOL[[#This Row],[LSTMPP]]*$I$3</calculatedColumnFormula>
    </tableColumn>
    <tableColumn id="5" xr3:uid="{00000000-0010-0000-1300-000005000000}" name="AP"/>
    <tableColumn id="6" xr3:uid="{00000000-0010-0000-1300-000006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F9" totalsRowShown="0">
  <autoFilter ref="A1:F9" xr:uid="{00000000-0009-0000-0100-000003000000}"/>
  <tableColumns count="6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PP">
      <calculatedColumnFormula>TableBOU[[#This Row],[ARIMAPP]]*$I$2+TableBOU[[#This Row],[LSTMPP]]*$I$3</calculatedColumnFormula>
    </tableColumn>
    <tableColumn id="5" xr3:uid="{00000000-0010-0000-0200-000005000000}" name="AP"/>
    <tableColumn id="6" xr3:uid="{00000000-0010-0000-0200-000006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F7" totalsRowShown="0">
  <autoFilter ref="A1:F7" xr:uid="{00000000-0009-0000-0100-000004000000}"/>
  <tableColumns count="6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PP">
      <calculatedColumnFormula>TableBRE[[#This Row],[ARIMAPP]]*$I$2+TableBRE[[#This Row],[LSTMPP]]*$I$3</calculatedColumnFormula>
    </tableColumn>
    <tableColumn id="5" xr3:uid="{00000000-0010-0000-0300-000005000000}" name="AP"/>
    <tableColumn id="6" xr3:uid="{00000000-0010-0000-0300-000006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F7" totalsRowShown="0">
  <autoFilter ref="A1:F7" xr:uid="{00000000-0009-0000-0100-000005000000}"/>
  <tableColumns count="6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PP">
      <calculatedColumnFormula>TableBHA[[#This Row],[ARIMAPP]]*$I$2+TableBHA[[#This Row],[LSTMPP]]*$I$3</calculatedColumnFormula>
    </tableColumn>
    <tableColumn id="5" xr3:uid="{00000000-0010-0000-0400-000005000000}" name="AP"/>
    <tableColumn id="6" xr3:uid="{00000000-0010-0000-0400-000006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UR" displayName="TableBUR" ref="A1:F4" totalsRowShown="0">
  <autoFilter ref="A1:F4" xr:uid="{00000000-0009-0000-0100-000006000000}"/>
  <tableColumns count="6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PP">
      <calculatedColumnFormula>TableBUR[[#This Row],[ARIMAPP]]*$I$2+TableBUR[[#This Row],[LSTMPP]]*$I$3</calculatedColumnFormula>
    </tableColumn>
    <tableColumn id="5" xr3:uid="{00000000-0010-0000-0500-000005000000}" name="AP"/>
    <tableColumn id="6" xr3:uid="{00000000-0010-0000-0500-000006000000}" name="DIFF">
      <calculatedColumnFormula>ABS(TableBUR[[#This Row],[PP]]-TableBUR[[#This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HE" displayName="TableCHE" ref="A1:F8" totalsRowShown="0">
  <autoFilter ref="A1:F8" xr:uid="{00000000-0009-0000-0100-000007000000}"/>
  <tableColumns count="6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PP">
      <calculatedColumnFormula>TableCHE[[#This Row],[ARIMAPP]]*$I$2+TableCHE[[#This Row],[LSTMPP]]*$I$3</calculatedColumnFormula>
    </tableColumn>
    <tableColumn id="5" xr3:uid="{00000000-0010-0000-0600-000005000000}" name="AP"/>
    <tableColumn id="6" xr3:uid="{00000000-0010-0000-0600-000006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CRY" displayName="TableCRY" ref="A1:F9" totalsRowShown="0">
  <autoFilter ref="A1:F9" xr:uid="{00000000-0009-0000-0100-000008000000}"/>
  <tableColumns count="6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PP">
      <calculatedColumnFormula>TableCRY[[#This Row],[ARIMAPP]]*$I$2+TableCRY[[#This Row],[LSTMPP]]*$I$3</calculatedColumnFormula>
    </tableColumn>
    <tableColumn id="5" xr3:uid="{00000000-0010-0000-0700-000005000000}" name="AP"/>
    <tableColumn id="6" xr3:uid="{00000000-0010-0000-0700-000006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EVE" displayName="TableEVE" ref="A1:F11" totalsRowShown="0">
  <autoFilter ref="A1:F11" xr:uid="{00000000-0009-0000-0100-000009000000}"/>
  <tableColumns count="6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PP">
      <calculatedColumnFormula>TableEVE[[#This Row],[ARIMAPP]]*$I$2+TableEVE[[#This Row],[LSTMPP]]*$I$3</calculatedColumnFormula>
    </tableColumn>
    <tableColumn id="5" xr3:uid="{00000000-0010-0000-0800-000005000000}" name="AP"/>
    <tableColumn id="6" xr3:uid="{00000000-0010-0000-0800-000006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</v>
      </c>
      <c r="B2">
        <v>28.625517175520709</v>
      </c>
      <c r="C2">
        <v>28.108108108108109</v>
      </c>
      <c r="D2">
        <f>TableARS[[#This Row],[ARIMAPP]]*$I$2+TableARS[[#This Row],[LSTMPP]]*$I$3</f>
        <v>27.627249770892284</v>
      </c>
      <c r="E2">
        <v>31</v>
      </c>
      <c r="F2">
        <f>ABS(TableARS[[#This Row],[PP]]-TableARS[[#This Row],[AP]])</f>
        <v>3.3727502291077158</v>
      </c>
      <c r="H2" t="s">
        <v>0</v>
      </c>
      <c r="I2">
        <v>0.20374509682</v>
      </c>
    </row>
    <row r="3" spans="1:9" x14ac:dyDescent="0.2">
      <c r="A3" t="s">
        <v>11</v>
      </c>
      <c r="B3">
        <v>40.408163265306143</v>
      </c>
      <c r="C3">
        <v>40.981269845828727</v>
      </c>
      <c r="D3">
        <f>TableARS[[#This Row],[ARIMAPP]]*$I$2+TableARS[[#This Row],[LSTMPP]]*$I$3</f>
        <v>40.009716352497215</v>
      </c>
      <c r="E3">
        <v>45</v>
      </c>
      <c r="F3">
        <f>ABS(TableARS[[#This Row],[PP]]-TableARS[[#This Row],[AP]])</f>
        <v>4.9902836475027854</v>
      </c>
      <c r="H3" t="s">
        <v>1</v>
      </c>
      <c r="I3">
        <v>0.77539693950999999</v>
      </c>
    </row>
    <row r="4" spans="1:9" x14ac:dyDescent="0.2">
      <c r="A4" t="s">
        <v>12</v>
      </c>
      <c r="B4">
        <v>32.755102040816311</v>
      </c>
      <c r="C4">
        <v>31.076247466394069</v>
      </c>
      <c r="D4">
        <f>TableARS[[#This Row],[ARIMAPP]]*$I$2+TableARS[[#This Row],[LSTMPP]]*$I$3</f>
        <v>30.770118613552452</v>
      </c>
      <c r="E4">
        <v>50</v>
      </c>
      <c r="F4">
        <f>ABS(TableARS[[#This Row],[PP]]-TableARS[[#This Row],[AP]])</f>
        <v>19.229881386447548</v>
      </c>
    </row>
    <row r="5" spans="1:9" x14ac:dyDescent="0.2">
      <c r="A5" t="s">
        <v>13</v>
      </c>
      <c r="B5">
        <v>55.396495195197467</v>
      </c>
      <c r="C5">
        <v>34.772727272727273</v>
      </c>
      <c r="D5">
        <f>TableARS[[#This Row],[ARIMAPP]]*$I$2+TableARS[[#This Row],[LSTMPP]]*$I$3</f>
        <v>38.249430582722809</v>
      </c>
      <c r="E5">
        <v>49</v>
      </c>
      <c r="F5">
        <f>ABS(TableARS[[#This Row],[PP]]-TableARS[[#This Row],[AP]])</f>
        <v>10.750569417277191</v>
      </c>
      <c r="H5" t="s">
        <v>2</v>
      </c>
      <c r="I5">
        <f>SUM(ABS(TableARS[[#This Row],[PP]]-TableARS[[#This Row],[AP]]))</f>
        <v>10.750569417277191</v>
      </c>
    </row>
    <row r="6" spans="1:9" x14ac:dyDescent="0.2">
      <c r="A6" t="s">
        <v>14</v>
      </c>
      <c r="B6">
        <v>41.025862572944007</v>
      </c>
      <c r="C6">
        <v>34.866071428571431</v>
      </c>
      <c r="D6">
        <f>TableARS[[#This Row],[ARIMAPP]]*$I$2+TableARS[[#This Row],[LSTMPP]]*$I$3</f>
        <v>35.393863420499827</v>
      </c>
      <c r="E6">
        <v>21</v>
      </c>
      <c r="F6">
        <f>ABS(TableARS[[#This Row],[PP]]-TableARS[[#This Row],[AP]])</f>
        <v>14.393863420499827</v>
      </c>
    </row>
    <row r="7" spans="1:9" x14ac:dyDescent="0.2">
      <c r="A7" t="s">
        <v>15</v>
      </c>
      <c r="B7">
        <v>31.649484536082461</v>
      </c>
      <c r="C7">
        <v>30.389610389610379</v>
      </c>
      <c r="D7">
        <f>TableARS[[#This Row],[ARIMAPP]]*$I$2+TableARS[[#This Row],[LSTMPP]]*$I$3</f>
        <v>30.012438180112397</v>
      </c>
      <c r="E7">
        <v>32</v>
      </c>
      <c r="F7">
        <f>ABS(TableARS[[#This Row],[PP]]-TableARS[[#This Row],[AP]])</f>
        <v>1.9875618198876026</v>
      </c>
      <c r="H7" t="s">
        <v>3</v>
      </c>
      <c r="I7">
        <f>AVERAGE(TableARS[DIFF])/10</f>
        <v>0.8658369488411447</v>
      </c>
    </row>
    <row r="8" spans="1:9" x14ac:dyDescent="0.2">
      <c r="A8" t="s">
        <v>16</v>
      </c>
      <c r="B8">
        <v>54.33164430836861</v>
      </c>
      <c r="C8">
        <v>46.161655550407019</v>
      </c>
      <c r="D8">
        <f>TableARS[[#This Row],[ARIMAPP]]*$I$2+TableARS[[#This Row],[LSTMPP]]*$I$3</f>
        <v>46.863412566498766</v>
      </c>
      <c r="E8">
        <v>40</v>
      </c>
      <c r="F8">
        <f>ABS(TableARS[[#This Row],[PP]]-TableARS[[#This Row],[AP]])</f>
        <v>6.8634125664987664</v>
      </c>
    </row>
    <row r="9" spans="1:9" x14ac:dyDescent="0.2">
      <c r="A9" t="s">
        <v>17</v>
      </c>
      <c r="B9">
        <v>42.388059701492523</v>
      </c>
      <c r="C9">
        <v>34.339622641509429</v>
      </c>
      <c r="D9">
        <f>TableARS[[#This Row],[ARIMAPP]]*$I$2+TableARS[[#This Row],[LSTMPP]]*$I$3</f>
        <v>35.263197628047251</v>
      </c>
      <c r="E9">
        <v>33</v>
      </c>
      <c r="F9">
        <f>ABS(TableARS[[#This Row],[PP]]-TableARS[[#This Row],[AP]])</f>
        <v>2.2631976280472514</v>
      </c>
    </row>
    <row r="10" spans="1:9" x14ac:dyDescent="0.2">
      <c r="A10" t="s">
        <v>18</v>
      </c>
      <c r="B10">
        <v>42.116130299898813</v>
      </c>
      <c r="C10">
        <v>34.655172413793103</v>
      </c>
      <c r="D10">
        <f>TableARS[[#This Row],[ARIMAPP]]*$I$2+TableARS[[#This Row],[LSTMPP]]*$I$3</f>
        <v>35.452469673483172</v>
      </c>
      <c r="E10">
        <v>28</v>
      </c>
      <c r="F10">
        <f>ABS(TableARS[[#This Row],[PP]]-TableARS[[#This Row],[AP]])</f>
        <v>7.4524696734831721</v>
      </c>
    </row>
    <row r="11" spans="1:9" x14ac:dyDescent="0.2">
      <c r="A11" t="s">
        <v>19</v>
      </c>
      <c r="B11">
        <v>42.553191489361673</v>
      </c>
      <c r="C11">
        <v>33.648648648648638</v>
      </c>
      <c r="D11">
        <f>TableARS[[#This Row],[ARIMAPP]]*$I$2+TableARS[[#This Row],[LSTMPP]]*$I$3</f>
        <v>34.761063300809447</v>
      </c>
      <c r="E11">
        <v>24</v>
      </c>
      <c r="F11">
        <f>ABS(TableARS[[#This Row],[PP]]-TableARS[[#This Row],[AP]])</f>
        <v>10.761063300809447</v>
      </c>
    </row>
    <row r="12" spans="1:9" x14ac:dyDescent="0.2">
      <c r="A12" t="s">
        <v>20</v>
      </c>
      <c r="B12">
        <v>49.090909090909093</v>
      </c>
      <c r="C12">
        <v>50.68075833563654</v>
      </c>
      <c r="D12">
        <f>TableARS[[#This Row],[ARIMAPP]]*$I$2+TableARS[[#This Row],[LSTMPP]]*$I$3</f>
        <v>49.299736931207583</v>
      </c>
      <c r="E12">
        <v>43</v>
      </c>
      <c r="F12">
        <f>ABS(TableARS[[#This Row],[PP]]-TableARS[[#This Row],[AP]])</f>
        <v>6.2997369312075833</v>
      </c>
    </row>
    <row r="13" spans="1:9" x14ac:dyDescent="0.2">
      <c r="A13" t="s">
        <v>21</v>
      </c>
      <c r="B13">
        <v>35.652173913043477</v>
      </c>
      <c r="C13">
        <v>32.5</v>
      </c>
      <c r="D13">
        <f>TableARS[[#This Row],[ARIMAPP]]*$I$2+TableARS[[#This Row],[LSTMPP]]*$I$3</f>
        <v>32.464356159831524</v>
      </c>
      <c r="E13">
        <v>48</v>
      </c>
      <c r="F13">
        <f>ABS(TableARS[[#This Row],[PP]]-TableARS[[#This Row],[AP]])</f>
        <v>15.535643840168476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79</v>
      </c>
      <c r="B2">
        <v>14.183270176153069</v>
      </c>
      <c r="C2">
        <v>40.54388167115885</v>
      </c>
      <c r="D2">
        <f>TableFUL[[#This Row],[ARIMAPP]]*$I$2+TableFUL[[#This Row],[LSTMPP]]*$I$3</f>
        <v>45.679581053435847</v>
      </c>
      <c r="E2">
        <v>42</v>
      </c>
      <c r="F2">
        <f>ABS(TableFUL[[#This Row],[PP]]-TableFUL[[#This Row],[AP]])</f>
        <v>3.6795810534358466</v>
      </c>
      <c r="H2" t="s">
        <v>0</v>
      </c>
      <c r="I2">
        <v>-8.7468239532000003E-2</v>
      </c>
    </row>
    <row r="3" spans="1:9" x14ac:dyDescent="0.2">
      <c r="A3" t="s">
        <v>80</v>
      </c>
      <c r="B3">
        <v>19.876543209876559</v>
      </c>
      <c r="C3">
        <v>23.984375</v>
      </c>
      <c r="D3">
        <f>TableFUL[[#This Row],[ARIMAPP]]*$I$2+TableFUL[[#This Row],[LSTMPP]]*$I$3</f>
        <v>26.017801116637873</v>
      </c>
      <c r="E3">
        <v>40</v>
      </c>
      <c r="F3">
        <f>ABS(TableFUL[[#This Row],[PP]]-TableFUL[[#This Row],[AP]])</f>
        <v>13.982198883362127</v>
      </c>
      <c r="H3" t="s">
        <v>1</v>
      </c>
      <c r="I3">
        <v>1.1572687368000001</v>
      </c>
    </row>
    <row r="4" spans="1:9" x14ac:dyDescent="0.2">
      <c r="A4" t="s">
        <v>81</v>
      </c>
      <c r="B4">
        <v>26.455696202531659</v>
      </c>
      <c r="C4">
        <v>27.93650793650794</v>
      </c>
      <c r="D4">
        <f>TableFUL[[#This Row],[ARIMAPP]]*$I$2+TableFUL[[#This Row],[LSTMPP]]*$I$3</f>
        <v>30.016014077856862</v>
      </c>
      <c r="E4">
        <v>42</v>
      </c>
      <c r="F4">
        <f>ABS(TableFUL[[#This Row],[PP]]-TableFUL[[#This Row],[AP]])</f>
        <v>11.983985922143138</v>
      </c>
    </row>
    <row r="5" spans="1:9" x14ac:dyDescent="0.2">
      <c r="A5" t="s">
        <v>82</v>
      </c>
      <c r="B5">
        <v>36.984805424946337</v>
      </c>
      <c r="C5">
        <v>32.826086956521728</v>
      </c>
      <c r="D5">
        <f>TableFUL[[#This Row],[ARIMAPP]]*$I$2+TableFUL[[#This Row],[LSTMPP]]*$I$3</f>
        <v>34.75360836630724</v>
      </c>
      <c r="E5">
        <v>33</v>
      </c>
      <c r="F5">
        <f>ABS(TableFUL[[#This Row],[PP]]-TableFUL[[#This Row],[AP]])</f>
        <v>1.7536083663072404</v>
      </c>
      <c r="H5" t="s">
        <v>2</v>
      </c>
      <c r="I5">
        <f>SUM(ABS(TableFUL[[#This Row],[PP]]-TableFUL[[#This Row],[AP]]))</f>
        <v>1.7536083663072404</v>
      </c>
    </row>
    <row r="6" spans="1:9" x14ac:dyDescent="0.2">
      <c r="A6" t="s">
        <v>83</v>
      </c>
      <c r="B6">
        <v>25.217391304347821</v>
      </c>
      <c r="C6">
        <v>26.72727272727272</v>
      </c>
      <c r="D6">
        <f>TableFUL[[#This Row],[ARIMAPP]]*$I$2+TableFUL[[#This Row],[LSTMPP]]*$I$3</f>
        <v>28.724916324219123</v>
      </c>
      <c r="E6">
        <v>32</v>
      </c>
      <c r="F6">
        <f>ABS(TableFUL[[#This Row],[PP]]-TableFUL[[#This Row],[AP]])</f>
        <v>3.275083675780877</v>
      </c>
    </row>
    <row r="7" spans="1:9" x14ac:dyDescent="0.2">
      <c r="A7" t="s">
        <v>84</v>
      </c>
      <c r="B7">
        <v>30.669896488400429</v>
      </c>
      <c r="C7">
        <v>30.733333333333341</v>
      </c>
      <c r="D7">
        <f>TableFUL[[#This Row],[ARIMAPP]]*$I$2+TableFUL[[#This Row],[LSTMPP]]*$I$3</f>
        <v>32.884083991850957</v>
      </c>
      <c r="E7">
        <v>26</v>
      </c>
      <c r="F7">
        <f>ABS(TableFUL[[#This Row],[PP]]-TableFUL[[#This Row],[AP]])</f>
        <v>6.8840839918509573</v>
      </c>
      <c r="H7" t="s">
        <v>3</v>
      </c>
      <c r="I7">
        <f>AVERAGE(TableFUL[DIFF])/10</f>
        <v>0.55092049735471549</v>
      </c>
    </row>
    <row r="8" spans="1:9" x14ac:dyDescent="0.2">
      <c r="A8" t="s">
        <v>85</v>
      </c>
      <c r="B8">
        <v>22.816901408450711</v>
      </c>
      <c r="C8">
        <v>26.428571428571431</v>
      </c>
      <c r="D8">
        <f>TableFUL[[#This Row],[ARIMAPP]]*$I$2+TableFUL[[#This Row],[LSTMPP]]*$I$3</f>
        <v>28.589205274799038</v>
      </c>
      <c r="E8">
        <v>33</v>
      </c>
      <c r="F8">
        <f>ABS(TableFUL[[#This Row],[PP]]-TableFUL[[#This Row],[AP]])</f>
        <v>4.4107947252009616</v>
      </c>
    </row>
    <row r="9" spans="1:9" x14ac:dyDescent="0.2">
      <c r="A9" t="s">
        <v>86</v>
      </c>
      <c r="B9">
        <v>26.190476190476168</v>
      </c>
      <c r="C9">
        <v>25.606060606060609</v>
      </c>
      <c r="D9">
        <f>TableFUL[[#This Row],[ARIMAPP]]*$I$2+TableFUL[[#This Row],[LSTMPP]]*$I$3</f>
        <v>27.342258567114293</v>
      </c>
      <c r="E9">
        <v>21</v>
      </c>
      <c r="F9">
        <f>ABS(TableFUL[[#This Row],[PP]]-TableFUL[[#This Row],[AP]])</f>
        <v>6.3422585671142926</v>
      </c>
    </row>
    <row r="10" spans="1:9" x14ac:dyDescent="0.2">
      <c r="A10" t="s">
        <v>87</v>
      </c>
      <c r="B10">
        <v>35.962670100626887</v>
      </c>
      <c r="C10">
        <v>37.759776411072991</v>
      </c>
      <c r="D10">
        <f>TableFUL[[#This Row],[ARIMAPP]]*$I$2+TableFUL[[#This Row],[LSTMPP]]*$I$3</f>
        <v>40.552617306520958</v>
      </c>
      <c r="E10">
        <v>36</v>
      </c>
      <c r="F10">
        <f>ABS(TableFUL[[#This Row],[PP]]-TableFUL[[#This Row],[AP]])</f>
        <v>4.5526173065209576</v>
      </c>
    </row>
    <row r="11" spans="1:9" x14ac:dyDescent="0.2">
      <c r="A11" t="s">
        <v>88</v>
      </c>
      <c r="B11">
        <v>26.36363636363636</v>
      </c>
      <c r="C11">
        <v>26.285714285714288</v>
      </c>
      <c r="D11">
        <f>TableFUL[[#This Row],[ARIMAPP]]*$I$2+TableFUL[[#This Row],[LSTMPP]]*$I$3</f>
        <v>28.113654506925201</v>
      </c>
      <c r="E11">
        <v>26</v>
      </c>
      <c r="F11">
        <f>ABS(TableFUL[[#This Row],[PP]]-TableFUL[[#This Row],[AP]])</f>
        <v>2.1136545069252008</v>
      </c>
    </row>
    <row r="12" spans="1:9" x14ac:dyDescent="0.2">
      <c r="A12" t="s">
        <v>89</v>
      </c>
      <c r="B12">
        <v>39.705882352941167</v>
      </c>
      <c r="C12">
        <v>40.696157980627113</v>
      </c>
      <c r="D12">
        <f>TableFUL[[#This Row],[ARIMAPP]]*$I$2+TableFUL[[#This Row],[LSTMPP]]*$I$3</f>
        <v>43.623387710377109</v>
      </c>
      <c r="E12">
        <v>42</v>
      </c>
      <c r="F12">
        <f>ABS(TableFUL[[#This Row],[PP]]-TableFUL[[#This Row],[AP]])</f>
        <v>1.6233877103771093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3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90</v>
      </c>
      <c r="B2">
        <v>44.801674216078283</v>
      </c>
      <c r="C2">
        <v>39.833784318558877</v>
      </c>
      <c r="D2">
        <f>TableLIV[[#This Row],[ARIMAPP]]*$I$2+TableLIV[[#This Row],[LSTMPP]]*$I$3</f>
        <v>45.05864621953593</v>
      </c>
      <c r="E2">
        <v>42</v>
      </c>
      <c r="F2">
        <f>ABS(TableLIV[[#This Row],[PP]]-TableLIV[[#This Row],[AP]])</f>
        <v>3.0586462195359303</v>
      </c>
      <c r="H2" t="s">
        <v>0</v>
      </c>
      <c r="I2">
        <v>0.69161716740000001</v>
      </c>
    </row>
    <row r="3" spans="1:9" x14ac:dyDescent="0.2">
      <c r="A3" t="s">
        <v>91</v>
      </c>
      <c r="B3">
        <v>69.175824175824104</v>
      </c>
      <c r="C3">
        <v>68.69999058473509</v>
      </c>
      <c r="D3">
        <f>TableLIV[[#This Row],[ARIMAPP]]*$I$2+TableLIV[[#This Row],[LSTMPP]]*$I$3</f>
        <v>72.114485847979779</v>
      </c>
      <c r="E3">
        <v>73</v>
      </c>
      <c r="F3">
        <f>ABS(TableLIV[[#This Row],[PP]]-TableLIV[[#This Row],[AP]])</f>
        <v>0.88551415202022099</v>
      </c>
      <c r="H3" t="s">
        <v>1</v>
      </c>
      <c r="I3">
        <v>0.35329405538999997</v>
      </c>
    </row>
    <row r="4" spans="1:9" x14ac:dyDescent="0.2">
      <c r="A4" t="s">
        <v>92</v>
      </c>
      <c r="B4">
        <v>51.863114391898982</v>
      </c>
      <c r="C4">
        <v>48.374815274525723</v>
      </c>
      <c r="D4">
        <f>TableLIV[[#This Row],[ARIMAPP]]*$I$2+TableLIV[[#This Row],[LSTMPP]]*$I$3</f>
        <v>52.959954935346659</v>
      </c>
      <c r="E4">
        <v>67</v>
      </c>
      <c r="F4">
        <f>ABS(TableLIV[[#This Row],[PP]]-TableLIV[[#This Row],[AP]])</f>
        <v>14.040045064653341</v>
      </c>
    </row>
    <row r="5" spans="1:9" x14ac:dyDescent="0.2">
      <c r="A5" t="s">
        <v>93</v>
      </c>
      <c r="B5">
        <v>48.240463625297579</v>
      </c>
      <c r="C5">
        <v>42.940307144964372</v>
      </c>
      <c r="D5">
        <f>TableLIV[[#This Row],[ARIMAPP]]*$I$2+TableLIV[[#This Row],[LSTMPP]]*$I$3</f>
        <v>48.534488057527696</v>
      </c>
      <c r="E5">
        <v>43</v>
      </c>
      <c r="F5">
        <f>ABS(TableLIV[[#This Row],[PP]]-TableLIV[[#This Row],[AP]])</f>
        <v>5.534488057527696</v>
      </c>
      <c r="H5" t="s">
        <v>2</v>
      </c>
      <c r="I5">
        <f>SUM(ABS(TableLIV[[#This Row],[PP]]-TableLIV[[#This Row],[AP]]))</f>
        <v>5.534488057527696</v>
      </c>
    </row>
    <row r="6" spans="1:9" x14ac:dyDescent="0.2">
      <c r="A6" t="s">
        <v>94</v>
      </c>
      <c r="B6">
        <v>22.65625</v>
      </c>
      <c r="C6">
        <v>24.901960784313729</v>
      </c>
      <c r="D6">
        <f>TableLIV[[#This Row],[ARIMAPP]]*$I$2+TableLIV[[#This Row],[LSTMPP]]*$I$3</f>
        <v>24.467166161559192</v>
      </c>
      <c r="E6">
        <v>22</v>
      </c>
      <c r="F6">
        <f>ABS(TableLIV[[#This Row],[PP]]-TableLIV[[#This Row],[AP]])</f>
        <v>2.4671661615591916</v>
      </c>
    </row>
    <row r="7" spans="1:9" x14ac:dyDescent="0.2">
      <c r="A7" t="s">
        <v>95</v>
      </c>
      <c r="B7">
        <v>28.541666666666671</v>
      </c>
      <c r="C7">
        <v>28.684210526315791</v>
      </c>
      <c r="D7">
        <f>TableLIV[[#This Row],[ARIMAPP]]*$I$2+TableLIV[[#This Row],[LSTMPP]]*$I$3</f>
        <v>29.873867715377635</v>
      </c>
      <c r="E7">
        <v>26</v>
      </c>
      <c r="F7">
        <f>ABS(TableLIV[[#This Row],[PP]]-TableLIV[[#This Row],[AP]])</f>
        <v>3.8738677153776351</v>
      </c>
      <c r="H7" t="s">
        <v>3</v>
      </c>
      <c r="I7">
        <f>AVERAGE(TableLIV[DIFF])/10</f>
        <v>0.66554073551466142</v>
      </c>
    </row>
    <row r="8" spans="1:9" x14ac:dyDescent="0.2">
      <c r="A8" t="s">
        <v>96</v>
      </c>
      <c r="B8">
        <v>28.484848484848481</v>
      </c>
      <c r="C8">
        <v>30.192307692307701</v>
      </c>
      <c r="D8">
        <f>TableLIV[[#This Row],[ARIMAPP]]*$I$2+TableLIV[[#This Row],[LSTMPP]]*$I$3</f>
        <v>30.367373049107165</v>
      </c>
      <c r="E8">
        <v>31</v>
      </c>
      <c r="F8">
        <f>ABS(TableLIV[[#This Row],[PP]]-TableLIV[[#This Row],[AP]])</f>
        <v>0.63262695089283483</v>
      </c>
    </row>
    <row r="9" spans="1:9" x14ac:dyDescent="0.2">
      <c r="A9" t="s">
        <v>97</v>
      </c>
      <c r="B9">
        <v>34.594594594594597</v>
      </c>
      <c r="C9">
        <v>31.896551724137929</v>
      </c>
      <c r="D9">
        <f>TableLIV[[#This Row],[ARIMAPP]]*$I$2+TableLIV[[#This Row],[LSTMPP]]*$I$3</f>
        <v>35.195077632442448</v>
      </c>
      <c r="E9">
        <v>32</v>
      </c>
      <c r="F9">
        <f>ABS(TableLIV[[#This Row],[PP]]-TableLIV[[#This Row],[AP]])</f>
        <v>3.1950776324424481</v>
      </c>
    </row>
    <row r="10" spans="1:9" x14ac:dyDescent="0.2">
      <c r="A10" t="s">
        <v>98</v>
      </c>
      <c r="B10">
        <v>40.000000000000007</v>
      </c>
      <c r="C10">
        <v>36.656650460795177</v>
      </c>
      <c r="D10">
        <f>TableLIV[[#This Row],[ARIMAPP]]*$I$2+TableLIV[[#This Row],[LSTMPP]]*$I$3</f>
        <v>40.615263394308045</v>
      </c>
      <c r="E10">
        <v>36</v>
      </c>
      <c r="F10">
        <f>ABS(TableLIV[[#This Row],[PP]]-TableLIV[[#This Row],[AP]])</f>
        <v>4.6152633943080446</v>
      </c>
    </row>
    <row r="11" spans="1:9" x14ac:dyDescent="0.2">
      <c r="A11" t="s">
        <v>99</v>
      </c>
      <c r="B11">
        <v>37.600000000000009</v>
      </c>
      <c r="C11">
        <v>31.75</v>
      </c>
      <c r="D11">
        <f>TableLIV[[#This Row],[ARIMAPP]]*$I$2+TableLIV[[#This Row],[LSTMPP]]*$I$3</f>
        <v>37.221891752872509</v>
      </c>
      <c r="E11">
        <v>59</v>
      </c>
      <c r="F11">
        <f>ABS(TableLIV[[#This Row],[PP]]-TableLIV[[#This Row],[AP]])</f>
        <v>21.778108247127491</v>
      </c>
    </row>
    <row r="12" spans="1:9" x14ac:dyDescent="0.2">
      <c r="A12" t="s">
        <v>100</v>
      </c>
      <c r="B12">
        <v>36.762862773897467</v>
      </c>
      <c r="C12">
        <v>33.306258354180557</v>
      </c>
      <c r="D12">
        <f>TableLIV[[#This Row],[ARIMAPP]]*$I$2+TableLIV[[#This Row],[LSTMPP]]*$I$3</f>
        <v>37.192730101013389</v>
      </c>
      <c r="E12">
        <v>23</v>
      </c>
      <c r="F12">
        <f>ABS(TableLIV[[#This Row],[PP]]-TableLIV[[#This Row],[AP]])</f>
        <v>14.192730101013389</v>
      </c>
    </row>
    <row r="13" spans="1:9" x14ac:dyDescent="0.2">
      <c r="A13" t="s">
        <v>101</v>
      </c>
      <c r="B13">
        <v>42.727272727272727</v>
      </c>
      <c r="C13">
        <v>31.25</v>
      </c>
      <c r="D13">
        <f>TableLIV[[#This Row],[ARIMAPP]]*$I$2+TableLIV[[#This Row],[LSTMPP]]*$I$3</f>
        <v>40.591354565301138</v>
      </c>
      <c r="E13">
        <v>35</v>
      </c>
      <c r="F13">
        <f>ABS(TableLIV[[#This Row],[PP]]-TableLIV[[#This Row],[AP]])</f>
        <v>5.5913545653011383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102</v>
      </c>
      <c r="B2">
        <v>28.2902517248789</v>
      </c>
      <c r="C2">
        <v>29.732382735010351</v>
      </c>
      <c r="D2">
        <f>TableLUT[[#This Row],[ARIMAPP]]*$I$2+TableLUT[[#This Row],[LSTMPP]]*$I$3</f>
        <v>39.000000000197375</v>
      </c>
      <c r="E2">
        <v>39</v>
      </c>
      <c r="F2">
        <f>ABS(TableLUT[[#This Row],[PP]]-TableLUT[[#This Row],[AP]])</f>
        <v>1.9737456113944063E-10</v>
      </c>
      <c r="H2" t="s">
        <v>0</v>
      </c>
      <c r="I2">
        <v>0.65504075806999995</v>
      </c>
    </row>
    <row r="3" spans="1:9" x14ac:dyDescent="0.2">
      <c r="H3" t="s">
        <v>1</v>
      </c>
      <c r="I3">
        <v>0.68843228094999998</v>
      </c>
    </row>
    <row r="5" spans="1:9" x14ac:dyDescent="0.2">
      <c r="H5" t="s">
        <v>2</v>
      </c>
      <c r="I5">
        <f>SUM(ABS(TableLUT[PP]-TableLUT[AP]))</f>
        <v>1.9737456113944063E-10</v>
      </c>
    </row>
    <row r="7" spans="1:9" x14ac:dyDescent="0.2">
      <c r="H7" t="s">
        <v>3</v>
      </c>
      <c r="I7">
        <f>AVERAGE(TableLUT[DIFF])/10</f>
        <v>1.9737456113944064E-11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103</v>
      </c>
      <c r="B2">
        <v>39.507338238208177</v>
      </c>
      <c r="C2">
        <v>34.583333333333329</v>
      </c>
      <c r="D2">
        <f>TableMCI[[#This Row],[ARIMAPP]]*$I$2+TableMCI[[#This Row],[LSTMPP]]*$I$3</f>
        <v>36.182884735363047</v>
      </c>
      <c r="E2">
        <v>20</v>
      </c>
      <c r="F2">
        <f>ABS(TableMCI[[#This Row],[PP]]-TableMCI[[#This Row],[AP]])</f>
        <v>16.182884735363047</v>
      </c>
      <c r="H2" t="s">
        <v>0</v>
      </c>
      <c r="I2">
        <v>0.50637379176999997</v>
      </c>
    </row>
    <row r="3" spans="1:9" x14ac:dyDescent="0.2">
      <c r="A3" t="s">
        <v>104</v>
      </c>
      <c r="B3">
        <v>38.872180451127882</v>
      </c>
      <c r="C3">
        <v>36.14447595094326</v>
      </c>
      <c r="D3">
        <f>TableMCI[[#This Row],[ARIMAPP]]*$I$2+TableMCI[[#This Row],[LSTMPP]]*$I$3</f>
        <v>36.591529331869495</v>
      </c>
      <c r="E3">
        <v>24</v>
      </c>
      <c r="F3">
        <f>ABS(TableMCI[[#This Row],[PP]]-TableMCI[[#This Row],[AP]])</f>
        <v>12.591529331869495</v>
      </c>
      <c r="H3" t="s">
        <v>1</v>
      </c>
      <c r="I3">
        <v>0.46778035862</v>
      </c>
    </row>
    <row r="4" spans="1:9" x14ac:dyDescent="0.2">
      <c r="A4" t="s">
        <v>105</v>
      </c>
      <c r="B4">
        <v>32.295081967213108</v>
      </c>
      <c r="C4">
        <v>30.051546391752581</v>
      </c>
      <c r="D4">
        <f>TableMCI[[#This Row],[ARIMAPP]]*$I$2+TableMCI[[#This Row],[LSTMPP]]*$I$3</f>
        <v>30.410906259480242</v>
      </c>
      <c r="E4">
        <v>35</v>
      </c>
      <c r="F4">
        <f>ABS(TableMCI[[#This Row],[PP]]-TableMCI[[#This Row],[AP]])</f>
        <v>4.5890937405197576</v>
      </c>
    </row>
    <row r="5" spans="1:9" x14ac:dyDescent="0.2">
      <c r="A5" t="s">
        <v>106</v>
      </c>
      <c r="B5">
        <v>47.310936882243048</v>
      </c>
      <c r="C5">
        <v>34.75247524752475</v>
      </c>
      <c r="D5">
        <f>TableMCI[[#This Row],[ARIMAPP]]*$I$2+TableMCI[[#This Row],[LSTMPP]]*$I$3</f>
        <v>40.21354383547235</v>
      </c>
      <c r="E5">
        <v>51</v>
      </c>
      <c r="F5">
        <f>ABS(TableMCI[[#This Row],[PP]]-TableMCI[[#This Row],[AP]])</f>
        <v>10.78645616452765</v>
      </c>
      <c r="H5" t="s">
        <v>2</v>
      </c>
      <c r="I5">
        <f>SUM(ABS(TableMCI[[#This Row],[PP]]-TableMCI[[#This Row],[AP]]))</f>
        <v>10.78645616452765</v>
      </c>
    </row>
    <row r="6" spans="1:9" x14ac:dyDescent="0.2">
      <c r="A6" t="s">
        <v>107</v>
      </c>
      <c r="B6">
        <v>30.747582918162809</v>
      </c>
      <c r="C6">
        <v>29.13636363636364</v>
      </c>
      <c r="D6">
        <f>TableMCI[[#This Row],[ARIMAPP]]*$I$2+TableMCI[[#This Row],[LSTMPP]]*$I$3</f>
        <v>29.199188780733493</v>
      </c>
      <c r="E6">
        <v>44</v>
      </c>
      <c r="F6">
        <f>ABS(TableMCI[[#This Row],[PP]]-TableMCI[[#This Row],[AP]])</f>
        <v>14.800811219266507</v>
      </c>
    </row>
    <row r="7" spans="1:9" x14ac:dyDescent="0.2">
      <c r="A7" t="s">
        <v>108</v>
      </c>
      <c r="B7">
        <v>86.628741644343535</v>
      </c>
      <c r="C7">
        <v>75.951662581424301</v>
      </c>
      <c r="D7">
        <f>TableMCI[[#This Row],[ARIMAPP]]*$I$2+TableMCI[[#This Row],[LSTMPP]]*$I$3</f>
        <v>79.395220342833838</v>
      </c>
      <c r="E7">
        <v>62</v>
      </c>
      <c r="F7">
        <f>ABS(TableMCI[[#This Row],[PP]]-TableMCI[[#This Row],[AP]])</f>
        <v>17.395220342833838</v>
      </c>
      <c r="H7" t="s">
        <v>3</v>
      </c>
      <c r="I7">
        <f>AVERAGE(TableMCI[DIFF])/10</f>
        <v>1.3954807392112862</v>
      </c>
    </row>
    <row r="8" spans="1:9" x14ac:dyDescent="0.2">
      <c r="A8" t="s">
        <v>109</v>
      </c>
      <c r="B8">
        <v>33.947368421052637</v>
      </c>
      <c r="C8">
        <v>30.333333333333329</v>
      </c>
      <c r="D8">
        <f>TableMCI[[#This Row],[ARIMAPP]]*$I$2+TableMCI[[#This Row],[LSTMPP]]*$I$3</f>
        <v>31.379395212788246</v>
      </c>
      <c r="E8">
        <v>61</v>
      </c>
      <c r="F8">
        <f>ABS(TableMCI[[#This Row],[PP]]-TableMCI[[#This Row],[AP]])</f>
        <v>29.620604787211754</v>
      </c>
    </row>
    <row r="9" spans="1:9" x14ac:dyDescent="0.2">
      <c r="A9" t="s">
        <v>110</v>
      </c>
      <c r="B9">
        <v>36.000000000000007</v>
      </c>
      <c r="C9">
        <v>34.048460457727849</v>
      </c>
      <c r="D9">
        <f>TableMCI[[#This Row],[ARIMAPP]]*$I$2+TableMCI[[#This Row],[LSTMPP]]*$I$3</f>
        <v>34.156657547094824</v>
      </c>
      <c r="E9">
        <v>51</v>
      </c>
      <c r="F9">
        <f>ABS(TableMCI[[#This Row],[PP]]-TableMCI[[#This Row],[AP]])</f>
        <v>16.843342452905176</v>
      </c>
    </row>
    <row r="10" spans="1:9" x14ac:dyDescent="0.2">
      <c r="A10" t="s">
        <v>111</v>
      </c>
      <c r="B10">
        <v>32.258064516129032</v>
      </c>
      <c r="C10">
        <v>28.75</v>
      </c>
      <c r="D10">
        <f>TableMCI[[#This Row],[ARIMAPP]]*$I$2+TableMCI[[#This Row],[LSTMPP]]*$I$3</f>
        <v>29.783323754518548</v>
      </c>
      <c r="E10">
        <v>27</v>
      </c>
      <c r="F10">
        <f>ABS(TableMCI[[#This Row],[PP]]-TableMCI[[#This Row],[AP]])</f>
        <v>2.7833237545185483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112</v>
      </c>
      <c r="B2">
        <v>45.267528911898943</v>
      </c>
      <c r="C2">
        <v>36.796875</v>
      </c>
      <c r="D2">
        <f>TableMUN[[#This Row],[ARIMAPP]]*$I$2+TableMUN[[#This Row],[LSTMPP]]*$I$3</f>
        <v>32.012970524168324</v>
      </c>
      <c r="E2">
        <v>39</v>
      </c>
      <c r="F2">
        <f>ABS(TableMUN[[#This Row],[PP]]-TableMUN[[#This Row],[AP]])</f>
        <v>6.987029475831676</v>
      </c>
      <c r="H2" t="s">
        <v>0</v>
      </c>
      <c r="I2">
        <v>-1.0503502962</v>
      </c>
    </row>
    <row r="3" spans="1:9" x14ac:dyDescent="0.2">
      <c r="A3" t="s">
        <v>113</v>
      </c>
      <c r="B3">
        <v>25.230769230769209</v>
      </c>
      <c r="C3">
        <v>26.92307692307693</v>
      </c>
      <c r="D3">
        <f>TableMUN[[#This Row],[ARIMAPP]]*$I$2+TableMUN[[#This Row],[LSTMPP]]*$I$3</f>
        <v>31.710123623184657</v>
      </c>
      <c r="E3">
        <v>35</v>
      </c>
      <c r="F3">
        <f>ABS(TableMUN[[#This Row],[PP]]-TableMUN[[#This Row],[AP]])</f>
        <v>3.289876376815343</v>
      </c>
      <c r="H3" t="s">
        <v>1</v>
      </c>
      <c r="I3">
        <v>2.1621328693000001</v>
      </c>
    </row>
    <row r="4" spans="1:9" x14ac:dyDescent="0.2">
      <c r="A4" t="s">
        <v>114</v>
      </c>
      <c r="B4">
        <v>43.4579439252336</v>
      </c>
      <c r="C4">
        <v>38.409179340625933</v>
      </c>
      <c r="D4">
        <f>TableMUN[[#This Row],[ARIMAPP]]*$I$2+TableMUN[[#This Row],[LSTMPP]]*$I$3</f>
        <v>37.399684861093739</v>
      </c>
      <c r="E4">
        <v>21</v>
      </c>
      <c r="F4">
        <f>ABS(TableMUN[[#This Row],[PP]]-TableMUN[[#This Row],[AP]])</f>
        <v>16.399684861093739</v>
      </c>
    </row>
    <row r="5" spans="1:9" x14ac:dyDescent="0.2">
      <c r="A5" t="s">
        <v>115</v>
      </c>
      <c r="B5">
        <v>43.12874380149357</v>
      </c>
      <c r="C5">
        <v>35</v>
      </c>
      <c r="D5">
        <f>TableMUN[[#This Row],[ARIMAPP]]*$I$2+TableMUN[[#This Row],[LSTMPP]]*$I$3</f>
        <v>30.374361598867317</v>
      </c>
      <c r="E5">
        <v>23</v>
      </c>
      <c r="F5">
        <f>ABS(TableMUN[[#This Row],[PP]]-TableMUN[[#This Row],[AP]])</f>
        <v>7.374361598867317</v>
      </c>
      <c r="H5" t="s">
        <v>2</v>
      </c>
      <c r="I5">
        <f>SUM(ABS(TableMUN[[#This Row],[PP]]-TableMUN[[#This Row],[AP]]))</f>
        <v>7.374361598867317</v>
      </c>
    </row>
    <row r="6" spans="1:9" x14ac:dyDescent="0.2">
      <c r="A6" t="s">
        <v>116</v>
      </c>
      <c r="B6">
        <v>36.470588235294109</v>
      </c>
      <c r="C6">
        <v>32.222222222222221</v>
      </c>
      <c r="D6">
        <f>TableMUN[[#This Row],[ARIMAPP]]*$I$2+TableMUN[[#This Row],[LSTMPP]]*$I$3</f>
        <v>31.361832633026161</v>
      </c>
      <c r="E6">
        <v>28</v>
      </c>
      <c r="F6">
        <f>ABS(TableMUN[[#This Row],[PP]]-TableMUN[[#This Row],[AP]])</f>
        <v>3.361832633026161</v>
      </c>
    </row>
    <row r="7" spans="1:9" x14ac:dyDescent="0.2">
      <c r="A7" t="s">
        <v>117</v>
      </c>
      <c r="B7">
        <v>18.392374047264092</v>
      </c>
      <c r="C7">
        <v>22.5</v>
      </c>
      <c r="D7">
        <f>TableMUN[[#This Row],[ARIMAPP]]*$I$2+TableMUN[[#This Row],[LSTMPP]]*$I$3</f>
        <v>29.329554030884967</v>
      </c>
      <c r="E7">
        <v>42</v>
      </c>
      <c r="F7">
        <f>ABS(TableMUN[[#This Row],[PP]]-TableMUN[[#This Row],[AP]])</f>
        <v>12.670445969115033</v>
      </c>
      <c r="H7" t="s">
        <v>3</v>
      </c>
      <c r="I7">
        <f>AVERAGE(TableMUN[DIFF])/10</f>
        <v>0.89283893142228143</v>
      </c>
    </row>
    <row r="8" spans="1:9" x14ac:dyDescent="0.2">
      <c r="A8" t="s">
        <v>78</v>
      </c>
      <c r="B8">
        <v>41.96532870594676</v>
      </c>
      <c r="C8">
        <v>29.444444444444439</v>
      </c>
      <c r="D8">
        <f>TableMUN[[#This Row],[ARIMAPP]]*$I$2+TableMUN[[#This Row],[LSTMPP]]*$I$3</f>
        <v>19.584505715189565</v>
      </c>
      <c r="E8">
        <v>32</v>
      </c>
      <c r="F8">
        <f>ABS(TableMUN[[#This Row],[PP]]-TableMUN[[#This Row],[AP]])</f>
        <v>12.415494284810435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83</v>
      </c>
      <c r="B2">
        <v>45.602836879432608</v>
      </c>
      <c r="C2">
        <v>37.589285714285722</v>
      </c>
      <c r="D2">
        <f>TableNEW[[#This Row],[ARIMAPP]]*$I$2+TableNEW[[#This Row],[LSTMPP]]*$I$3</f>
        <v>40.830534074195874</v>
      </c>
      <c r="E2">
        <v>42</v>
      </c>
      <c r="F2">
        <f>ABS(TableNEW[[#This Row],[PP]]-TableNEW[[#This Row],[AP]])</f>
        <v>1.1694659258041256</v>
      </c>
      <c r="H2" t="s">
        <v>0</v>
      </c>
      <c r="I2">
        <v>0.84420073593</v>
      </c>
    </row>
    <row r="3" spans="1:9" x14ac:dyDescent="0.2">
      <c r="A3" t="s">
        <v>118</v>
      </c>
      <c r="B3">
        <v>46.590921138604827</v>
      </c>
      <c r="C3">
        <v>38.387096774193552</v>
      </c>
      <c r="D3">
        <f>TableNEW[[#This Row],[ARIMAPP]]*$I$2+TableNEW[[#This Row],[LSTMPP]]*$I$3</f>
        <v>41.71418332674066</v>
      </c>
      <c r="E3">
        <v>34</v>
      </c>
      <c r="F3">
        <f>ABS(TableNEW[[#This Row],[PP]]-TableNEW[[#This Row],[AP]])</f>
        <v>7.7141833267406597</v>
      </c>
      <c r="H3" t="s">
        <v>1</v>
      </c>
      <c r="I3">
        <v>6.2054534310999998E-2</v>
      </c>
    </row>
    <row r="4" spans="1:9" x14ac:dyDescent="0.2">
      <c r="A4" t="s">
        <v>119</v>
      </c>
      <c r="B4">
        <v>33.969830442046259</v>
      </c>
      <c r="C4">
        <v>30.952380952380949</v>
      </c>
      <c r="D4">
        <f>TableNEW[[#This Row],[ARIMAPP]]*$I$2+TableNEW[[#This Row],[LSTMPP]]*$I$3</f>
        <v>30.598091444409434</v>
      </c>
      <c r="E4">
        <v>30</v>
      </c>
      <c r="F4">
        <f>ABS(TableNEW[[#This Row],[PP]]-TableNEW[[#This Row],[AP]])</f>
        <v>0.59809144440943385</v>
      </c>
    </row>
    <row r="5" spans="1:9" x14ac:dyDescent="0.2">
      <c r="A5" t="s">
        <v>120</v>
      </c>
      <c r="B5">
        <v>33.464256020207728</v>
      </c>
      <c r="C5">
        <v>25.691489361702121</v>
      </c>
      <c r="D5">
        <f>TableNEW[[#This Row],[ARIMAPP]]*$I$2+TableNEW[[#This Row],[LSTMPP]]*$I$3</f>
        <v>29.844822967705731</v>
      </c>
      <c r="E5">
        <v>21</v>
      </c>
      <c r="F5">
        <f>ABS(TableNEW[[#This Row],[PP]]-TableNEW[[#This Row],[AP]])</f>
        <v>8.8448229677057313</v>
      </c>
      <c r="H5" t="s">
        <v>2</v>
      </c>
      <c r="I5">
        <f>SUM(ABS(TableNEW[[#This Row],[PP]]-TableNEW[[#This Row],[AP]]))</f>
        <v>8.8448229677057313</v>
      </c>
    </row>
    <row r="6" spans="1:9" x14ac:dyDescent="0.2">
      <c r="A6" t="s">
        <v>121</v>
      </c>
      <c r="B6">
        <v>29.844961240310081</v>
      </c>
      <c r="C6">
        <v>29.5631067961165</v>
      </c>
      <c r="D6">
        <f>TableNEW[[#This Row],[ARIMAPP]]*$I$2+TableNEW[[#This Row],[LSTMPP]]*$I$3</f>
        <v>27.029663067891466</v>
      </c>
      <c r="E6">
        <v>31</v>
      </c>
      <c r="F6">
        <f>ABS(TableNEW[[#This Row],[PP]]-TableNEW[[#This Row],[AP]])</f>
        <v>3.970336932108534</v>
      </c>
    </row>
    <row r="7" spans="1:9" x14ac:dyDescent="0.2">
      <c r="A7" t="s">
        <v>122</v>
      </c>
      <c r="B7">
        <v>25.467625899280559</v>
      </c>
      <c r="C7">
        <v>26.261261261261261</v>
      </c>
      <c r="D7">
        <f>TableNEW[[#This Row],[ARIMAPP]]*$I$2+TableNEW[[#This Row],[LSTMPP]]*$I$3</f>
        <v>23.129418864549649</v>
      </c>
      <c r="E7">
        <v>32</v>
      </c>
      <c r="F7">
        <f>ABS(TableNEW[[#This Row],[PP]]-TableNEW[[#This Row],[AP]])</f>
        <v>8.870581135450351</v>
      </c>
      <c r="H7" t="s">
        <v>3</v>
      </c>
      <c r="I7">
        <f>AVERAGE(TableNEW[DIFF])/10</f>
        <v>0.7220319213702231</v>
      </c>
    </row>
    <row r="8" spans="1:9" x14ac:dyDescent="0.2">
      <c r="A8" t="s">
        <v>123</v>
      </c>
      <c r="B8">
        <v>40.746675280074868</v>
      </c>
      <c r="C8">
        <v>35.648148148148159</v>
      </c>
      <c r="D8">
        <f>TableNEW[[#This Row],[ARIMAPP]]*$I$2+TableNEW[[#This Row],[LSTMPP]]*$I$3</f>
        <v>36.610502490522812</v>
      </c>
      <c r="E8">
        <v>47</v>
      </c>
      <c r="F8">
        <f>ABS(TableNEW[[#This Row],[PP]]-TableNEW[[#This Row],[AP]])</f>
        <v>10.389497509477188</v>
      </c>
    </row>
    <row r="9" spans="1:9" x14ac:dyDescent="0.2">
      <c r="A9" t="s">
        <v>124</v>
      </c>
      <c r="B9">
        <v>33.106923960970171</v>
      </c>
      <c r="C9">
        <v>26.17647058823529</v>
      </c>
      <c r="D9">
        <f>TableNEW[[#This Row],[ARIMAPP]]*$I$2+TableNEW[[#This Row],[LSTMPP]]*$I$3</f>
        <v>29.573258264488096</v>
      </c>
      <c r="E9">
        <v>49</v>
      </c>
      <c r="F9">
        <f>ABS(TableNEW[[#This Row],[PP]]-TableNEW[[#This Row],[AP]])</f>
        <v>19.426741735511904</v>
      </c>
    </row>
    <row r="10" spans="1:9" x14ac:dyDescent="0.2">
      <c r="A10" t="s">
        <v>125</v>
      </c>
      <c r="B10">
        <v>33.303649604401997</v>
      </c>
      <c r="C10">
        <v>33.106174360985577</v>
      </c>
      <c r="D10">
        <f>TableNEW[[#This Row],[ARIMAPP]]*$I$2+TableNEW[[#This Row],[LSTMPP]]*$I$3</f>
        <v>30.169353737980746</v>
      </c>
      <c r="E10">
        <v>26</v>
      </c>
      <c r="F10">
        <f>ABS(TableNEW[[#This Row],[PP]]-TableNEW[[#This Row],[AP]])</f>
        <v>4.1693537379807459</v>
      </c>
    </row>
    <row r="11" spans="1:9" x14ac:dyDescent="0.2">
      <c r="A11" t="s">
        <v>126</v>
      </c>
      <c r="B11">
        <v>37.313024991160752</v>
      </c>
      <c r="C11">
        <v>45.047766119452447</v>
      </c>
      <c r="D11">
        <f>TableNEW[[#This Row],[ARIMAPP]]*$I$2+TableNEW[[#This Row],[LSTMPP]]*$I$3</f>
        <v>34.295101305605854</v>
      </c>
      <c r="E11">
        <v>29</v>
      </c>
      <c r="F11">
        <f>ABS(TableNEW[[#This Row],[PP]]-TableNEW[[#This Row],[AP]])</f>
        <v>5.2951013056058542</v>
      </c>
    </row>
    <row r="12" spans="1:9" x14ac:dyDescent="0.2">
      <c r="A12" t="s">
        <v>127</v>
      </c>
      <c r="B12">
        <v>50.370370370370381</v>
      </c>
      <c r="C12">
        <v>39.523809523809518</v>
      </c>
      <c r="D12">
        <f>TableNEW[[#This Row],[ARIMAPP]]*$I$2+TableNEW[[#This Row],[LSTMPP]]*$I$3</f>
        <v>44.975335329930012</v>
      </c>
      <c r="E12">
        <v>36</v>
      </c>
      <c r="F12">
        <f>ABS(TableNEW[[#This Row],[PP]]-TableNEW[[#This Row],[AP]])</f>
        <v>8.9753353299300116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4" sqref="I4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128</v>
      </c>
      <c r="B2">
        <v>33.510623285976699</v>
      </c>
      <c r="C2">
        <v>36.731352774580238</v>
      </c>
      <c r="D2">
        <f>TableNFO[[#This Row],[ARIMAPP]]*$I$2+TableNFO[[#This Row],[LSTMPP]]*$I$3</f>
        <v>48.635319552231152</v>
      </c>
      <c r="E2">
        <v>46</v>
      </c>
      <c r="F2">
        <f>ABS(TableNFO[[#This Row],[PP]]-TableNFO[[#This Row],[AP]])</f>
        <v>2.6353195522311523</v>
      </c>
      <c r="H2" t="s">
        <v>0</v>
      </c>
      <c r="I2">
        <v>1.0140175159</v>
      </c>
    </row>
    <row r="3" spans="1:9" x14ac:dyDescent="0.2">
      <c r="A3" t="s">
        <v>129</v>
      </c>
      <c r="B3">
        <v>31.195320862561491</v>
      </c>
      <c r="C3">
        <v>25.82191780821918</v>
      </c>
      <c r="D3">
        <f>TableNFO[[#This Row],[ARIMAPP]]*$I$2+TableNFO[[#This Row],[LSTMPP]]*$I$3</f>
        <v>41.934950001967643</v>
      </c>
      <c r="E3">
        <v>40</v>
      </c>
      <c r="F3">
        <f>ABS(TableNFO[[#This Row],[PP]]-TableNFO[[#This Row],[AP]])</f>
        <v>1.9349500019676427</v>
      </c>
      <c r="H3" t="s">
        <v>1</v>
      </c>
      <c r="I3">
        <v>0.39897688118000002</v>
      </c>
    </row>
    <row r="4" spans="1:9" x14ac:dyDescent="0.2">
      <c r="A4" t="s">
        <v>130</v>
      </c>
      <c r="B4">
        <v>30.725814954646371</v>
      </c>
      <c r="C4">
        <v>24.861111111111111</v>
      </c>
      <c r="D4">
        <f>TableNFO[[#This Row],[ARIMAPP]]*$I$2+TableNFO[[#This Row],[LSTMPP]]*$I$3</f>
        <v>41.07552312809414</v>
      </c>
      <c r="E4">
        <v>44</v>
      </c>
      <c r="F4">
        <f>ABS(TableNFO[[#This Row],[PP]]-TableNFO[[#This Row],[AP]])</f>
        <v>2.9244768719058598</v>
      </c>
    </row>
    <row r="5" spans="1:9" x14ac:dyDescent="0.2">
      <c r="A5" t="s">
        <v>131</v>
      </c>
      <c r="B5">
        <v>16.81818181818182</v>
      </c>
      <c r="C5">
        <v>21.17647058823529</v>
      </c>
      <c r="D5">
        <f>TableNFO[[#This Row],[ARIMAPP]]*$I$2+TableNFO[[#This Row],[LSTMPP]]*$I$3</f>
        <v>25.502853138921392</v>
      </c>
      <c r="E5">
        <v>29</v>
      </c>
      <c r="F5">
        <f>ABS(TableNFO[[#This Row],[PP]]-TableNFO[[#This Row],[AP]])</f>
        <v>3.4971468610786083</v>
      </c>
      <c r="H5" t="s">
        <v>2</v>
      </c>
      <c r="I5">
        <f>SUM(ABS(TableNFO[[#This Row],[PP]]-TableNFO[[#This Row],[AP]]))</f>
        <v>3.4971468610786083</v>
      </c>
    </row>
    <row r="7" spans="1:9" x14ac:dyDescent="0.2">
      <c r="H7" t="s">
        <v>3</v>
      </c>
      <c r="I7">
        <f>AVERAGE(TableNFO[DIFF])/10</f>
        <v>0.27479733217958158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132</v>
      </c>
      <c r="B2">
        <v>22.10526315789474</v>
      </c>
      <c r="C2">
        <v>22.333333333333339</v>
      </c>
      <c r="D2">
        <f>TableSHU[[#This Row],[ARIMAPP]]*$I$2+TableSHU[[#This Row],[LSTMPP]]*$I$3</f>
        <v>25.00000000007369</v>
      </c>
      <c r="E2">
        <v>25</v>
      </c>
      <c r="F2">
        <f>ABS(TableSHU[[#This Row],[PP]]-TableSHU[[#This Row],[AP]])</f>
        <v>7.369038712567999E-11</v>
      </c>
      <c r="H2" t="s">
        <v>0</v>
      </c>
      <c r="I2">
        <v>0.71858534824999998</v>
      </c>
    </row>
    <row r="3" spans="1:9" x14ac:dyDescent="0.2">
      <c r="A3" t="s">
        <v>133</v>
      </c>
      <c r="B3">
        <v>21.666666666666671</v>
      </c>
      <c r="C3">
        <v>25.555555555555561</v>
      </c>
      <c r="D3">
        <f>TableSHU[[#This Row],[ARIMAPP]]*$I$2+TableSHU[[#This Row],[LSTMPP]]*$I$3</f>
        <v>26.00000000008334</v>
      </c>
      <c r="E3">
        <v>26</v>
      </c>
      <c r="F3">
        <f>ABS(TableSHU[[#This Row],[PP]]-TableSHU[[#This Row],[AP]])</f>
        <v>8.3339557477302151E-11</v>
      </c>
      <c r="H3" t="s">
        <v>1</v>
      </c>
      <c r="I3">
        <v>0.40815590039999999</v>
      </c>
    </row>
    <row r="5" spans="1:9" x14ac:dyDescent="0.2">
      <c r="H5" t="s">
        <v>2</v>
      </c>
      <c r="I5" t="e">
        <f>SUM(ABS(TableSHU[[#This Row],[PP]]-TableSHU[[#This Row],[AP]]))</f>
        <v>#VALUE!</v>
      </c>
    </row>
    <row r="7" spans="1:9" x14ac:dyDescent="0.2">
      <c r="H7" t="s">
        <v>3</v>
      </c>
      <c r="I7">
        <f>AVERAGE(TableSHU[DIFF])/10</f>
        <v>7.8514972301491071E-12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134</v>
      </c>
      <c r="B2">
        <v>26.27655971300581</v>
      </c>
      <c r="C2">
        <v>35.426356589147289</v>
      </c>
      <c r="D2">
        <f>TableTOT[[#This Row],[ARIMAPP]]*$I$2+TableTOT[[#This Row],[LSTMPP]]*$I$3</f>
        <v>46.248269437010755</v>
      </c>
      <c r="E2">
        <v>61</v>
      </c>
      <c r="F2">
        <f>ABS(TableTOT[[#This Row],[PP]]-TableTOT[[#This Row],[AP]])</f>
        <v>14.751730562989245</v>
      </c>
      <c r="H2" t="s">
        <v>0</v>
      </c>
      <c r="I2">
        <v>-5.9640712855999999E-2</v>
      </c>
    </row>
    <row r="3" spans="1:9" x14ac:dyDescent="0.2">
      <c r="A3" t="s">
        <v>135</v>
      </c>
      <c r="B3">
        <v>29.433962264150949</v>
      </c>
      <c r="C3">
        <v>27.38095238095238</v>
      </c>
      <c r="D3">
        <f>TableTOT[[#This Row],[ARIMAPP]]*$I$2+TableTOT[[#This Row],[LSTMPP]]*$I$3</f>
        <v>35.200971195175143</v>
      </c>
      <c r="E3">
        <v>36</v>
      </c>
      <c r="F3">
        <f>ABS(TableTOT[[#This Row],[PP]]-TableTOT[[#This Row],[AP]])</f>
        <v>0.79902880482485727</v>
      </c>
      <c r="H3" t="s">
        <v>1</v>
      </c>
      <c r="I3">
        <v>1.3497132302999999</v>
      </c>
    </row>
    <row r="4" spans="1:9" x14ac:dyDescent="0.2">
      <c r="A4" t="s">
        <v>136</v>
      </c>
      <c r="B4">
        <v>38.20653660610153</v>
      </c>
      <c r="C4">
        <v>33.023255813953483</v>
      </c>
      <c r="D4">
        <f>TableTOT[[#This Row],[ARIMAPP]]*$I$2+TableTOT[[#This Row],[LSTMPP]]*$I$3</f>
        <v>42.293260200727659</v>
      </c>
      <c r="E4">
        <v>43</v>
      </c>
      <c r="F4">
        <f>ABS(TableTOT[[#This Row],[PP]]-TableTOT[[#This Row],[AP]])</f>
        <v>0.70673979927234143</v>
      </c>
    </row>
    <row r="5" spans="1:9" x14ac:dyDescent="0.2">
      <c r="A5" t="s">
        <v>137</v>
      </c>
      <c r="B5">
        <v>30</v>
      </c>
      <c r="C5">
        <v>30.691857919098229</v>
      </c>
      <c r="D5">
        <f>TableTOT[[#This Row],[ARIMAPP]]*$I$2+TableTOT[[#This Row],[LSTMPP]]*$I$3</f>
        <v>39.6359853102147</v>
      </c>
      <c r="E5">
        <v>39</v>
      </c>
      <c r="F5">
        <f>ABS(TableTOT[[#This Row],[PP]]-TableTOT[[#This Row],[AP]])</f>
        <v>0.63598531021469995</v>
      </c>
      <c r="H5" t="s">
        <v>2</v>
      </c>
      <c r="I5">
        <f>SUM(ABS(TableTOT[[#This Row],[PP]]-TableTOT[[#This Row],[AP]]))</f>
        <v>0.63598531021469995</v>
      </c>
    </row>
    <row r="6" spans="1:9" x14ac:dyDescent="0.2">
      <c r="A6" t="s">
        <v>138</v>
      </c>
      <c r="B6">
        <v>50.666666666666679</v>
      </c>
      <c r="C6">
        <v>35</v>
      </c>
      <c r="D6">
        <f>TableTOT[[#This Row],[ARIMAPP]]*$I$2+TableTOT[[#This Row],[LSTMPP]]*$I$3</f>
        <v>44.218166942462659</v>
      </c>
      <c r="E6">
        <v>58</v>
      </c>
      <c r="F6">
        <f>ABS(TableTOT[[#This Row],[PP]]-TableTOT[[#This Row],[AP]])</f>
        <v>13.781833057537341</v>
      </c>
    </row>
    <row r="7" spans="1:9" x14ac:dyDescent="0.2">
      <c r="A7" t="s">
        <v>139</v>
      </c>
      <c r="B7">
        <v>20</v>
      </c>
      <c r="C7">
        <v>23.333333333333329</v>
      </c>
      <c r="D7">
        <f>TableTOT[[#This Row],[ARIMAPP]]*$I$2+TableTOT[[#This Row],[LSTMPP]]*$I$3</f>
        <v>30.300494449879992</v>
      </c>
      <c r="E7">
        <v>29</v>
      </c>
      <c r="F7">
        <f>ABS(TableTOT[[#This Row],[PP]]-TableTOT[[#This Row],[AP]])</f>
        <v>1.3004944498799915</v>
      </c>
      <c r="H7" t="s">
        <v>3</v>
      </c>
      <c r="I7">
        <f>AVERAGE(TableTOT[DIFF])/10</f>
        <v>0.7460534569503271</v>
      </c>
    </row>
    <row r="8" spans="1:9" x14ac:dyDescent="0.2">
      <c r="A8" t="s">
        <v>140</v>
      </c>
      <c r="B8">
        <v>39.999999999999993</v>
      </c>
      <c r="C8">
        <v>36.074608654031387</v>
      </c>
      <c r="D8">
        <f>TableTOT[[#This Row],[ARIMAPP]]*$I$2+TableTOT[[#This Row],[LSTMPP]]*$I$3</f>
        <v>46.304748064001039</v>
      </c>
      <c r="E8">
        <v>39</v>
      </c>
      <c r="F8">
        <f>ABS(TableTOT[[#This Row],[PP]]-TableTOT[[#This Row],[AP]])</f>
        <v>7.3047480640010392</v>
      </c>
    </row>
    <row r="9" spans="1:9" x14ac:dyDescent="0.2">
      <c r="A9" t="s">
        <v>141</v>
      </c>
      <c r="B9">
        <v>39.166666666666693</v>
      </c>
      <c r="C9">
        <v>36.111111111111107</v>
      </c>
      <c r="D9">
        <f>TableTOT[[#This Row],[ARIMAPP]]*$I$2+TableTOT[[#This Row],[LSTMPP]]*$I$3</f>
        <v>46.403716507306655</v>
      </c>
      <c r="E9">
        <v>26</v>
      </c>
      <c r="F9">
        <f>ABS(TableTOT[[#This Row],[PP]]-TableTOT[[#This Row],[AP]])</f>
        <v>20.403716507306655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8"/>
  <sheetViews>
    <sheetView workbookViewId="0">
      <selection activeCell="I4" sqref="I4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142</v>
      </c>
      <c r="B2">
        <v>39.957250043522713</v>
      </c>
      <c r="C2">
        <v>33.472222222222221</v>
      </c>
      <c r="D2">
        <f>TableWHU[[#This Row],[ARIMAPP]]*$I$2+TableWHU[[#This Row],[LSTMPP]]*$I$3</f>
        <v>40.524444567984702</v>
      </c>
      <c r="E2">
        <v>47</v>
      </c>
      <c r="F2">
        <f>ABS(TableWHU[[#This Row],[PP]]-TableWHU[[#This Row],[AP]])</f>
        <v>6.4755554320152982</v>
      </c>
      <c r="H2" t="s">
        <v>0</v>
      </c>
      <c r="I2">
        <v>0.19166419213999999</v>
      </c>
    </row>
    <row r="3" spans="1:9" x14ac:dyDescent="0.2">
      <c r="A3" t="s">
        <v>143</v>
      </c>
      <c r="B3">
        <v>32.748934889709062</v>
      </c>
      <c r="C3">
        <v>31.22727272727272</v>
      </c>
      <c r="D3">
        <f>TableWHU[[#This Row],[ARIMAPP]]*$I$2+TableWHU[[#This Row],[LSTMPP]]*$I$3</f>
        <v>36.938573179542907</v>
      </c>
      <c r="E3">
        <v>21</v>
      </c>
      <c r="F3">
        <f>ABS(TableWHU[[#This Row],[PP]]-TableWHU[[#This Row],[AP]])</f>
        <v>15.938573179542907</v>
      </c>
      <c r="H3" t="s">
        <v>1</v>
      </c>
      <c r="I3">
        <v>0.98189090344999996</v>
      </c>
    </row>
    <row r="4" spans="1:9" x14ac:dyDescent="0.2">
      <c r="A4" t="s">
        <v>144</v>
      </c>
      <c r="B4">
        <v>17.457627118644069</v>
      </c>
      <c r="C4">
        <v>23.40425531914893</v>
      </c>
      <c r="D4">
        <f>TableWHU[[#This Row],[ARIMAPP]]*$I$2+TableWHU[[#This Row],[LSTMPP]]*$I$3</f>
        <v>26.326427398269882</v>
      </c>
      <c r="E4">
        <v>36</v>
      </c>
      <c r="F4">
        <f>ABS(TableWHU[[#This Row],[PP]]-TableWHU[[#This Row],[AP]])</f>
        <v>9.6735726017301182</v>
      </c>
    </row>
    <row r="5" spans="1:9" x14ac:dyDescent="0.2">
      <c r="A5" t="s">
        <v>145</v>
      </c>
      <c r="B5">
        <v>44.696969696969688</v>
      </c>
      <c r="C5">
        <v>36.428571428571431</v>
      </c>
      <c r="D5">
        <f>TableWHU[[#This Row],[ARIMAPP]]*$I$2+TableWHU[[#This Row],[LSTMPP]]*$I$3</f>
        <v>44.335691499468609</v>
      </c>
      <c r="E5">
        <v>47</v>
      </c>
      <c r="F5">
        <f>ABS(TableWHU[[#This Row],[PP]]-TableWHU[[#This Row],[AP]])</f>
        <v>2.6643085005313907</v>
      </c>
      <c r="H5" t="s">
        <v>2</v>
      </c>
      <c r="I5">
        <f>SUM(ABS(TableWHU[[#This Row],[PP]]-TableWHU[[#This Row],[AP]]))</f>
        <v>2.6643085005313907</v>
      </c>
    </row>
    <row r="6" spans="1:9" x14ac:dyDescent="0.2">
      <c r="A6" t="s">
        <v>146</v>
      </c>
      <c r="B6">
        <v>31.666666666666679</v>
      </c>
      <c r="C6">
        <v>30.65789473684211</v>
      </c>
      <c r="D6">
        <f>TableWHU[[#This Row],[ARIMAPP]]*$I$2+TableWHU[[#This Row],[LSTMPP]]*$I$3</f>
        <v>36.172074045466232</v>
      </c>
      <c r="E6">
        <v>46</v>
      </c>
      <c r="F6">
        <f>ABS(TableWHU[[#This Row],[PP]]-TableWHU[[#This Row],[AP]])</f>
        <v>9.827925954533768</v>
      </c>
    </row>
    <row r="7" spans="1:9" x14ac:dyDescent="0.2">
      <c r="A7" t="s">
        <v>147</v>
      </c>
      <c r="B7">
        <v>34.010898203455042</v>
      </c>
      <c r="C7">
        <v>37.012312600386693</v>
      </c>
      <c r="D7">
        <f>TableWHU[[#This Row],[ARIMAPP]]*$I$2+TableWHU[[#This Row],[LSTMPP]]*$I$3</f>
        <v>42.860724386088492</v>
      </c>
      <c r="E7">
        <v>40</v>
      </c>
      <c r="F7">
        <f>ABS(TableWHU[[#This Row],[PP]]-TableWHU[[#This Row],[AP]])</f>
        <v>2.8607243860884921</v>
      </c>
      <c r="H7" t="s">
        <v>3</v>
      </c>
      <c r="I7">
        <f>AVERAGE(TableWHU[DIFF])/10</f>
        <v>0.77148303273447949</v>
      </c>
    </row>
    <row r="8" spans="1:9" x14ac:dyDescent="0.2">
      <c r="A8" t="s">
        <v>148</v>
      </c>
      <c r="B8">
        <v>36.363636363636353</v>
      </c>
      <c r="C8">
        <v>36.25</v>
      </c>
      <c r="D8">
        <f>TableWHU[[#This Row],[ARIMAPP]]*$I$2+TableWHU[[#This Row],[LSTMPP]]*$I$3</f>
        <v>42.56315223697159</v>
      </c>
      <c r="E8">
        <v>36</v>
      </c>
      <c r="F8">
        <f>ABS(TableWHU[[#This Row],[PP]]-TableWHU[[#This Row],[AP]])</f>
        <v>6.5631522369715896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22</v>
      </c>
      <c r="B2">
        <v>26.639619783527198</v>
      </c>
      <c r="C2">
        <v>33.522726191931291</v>
      </c>
      <c r="D2">
        <f>TableAVL[[#This Row],[ARIMAPP]]*$I$2+TableAVL[[#This Row],[LSTMPP]]*$I$3</f>
        <v>29.45875967857857</v>
      </c>
      <c r="E2">
        <v>28</v>
      </c>
      <c r="F2">
        <f>ABS(TableAVL[[#This Row],[PP]]-TableAVL[[#This Row],[AP]])</f>
        <v>1.4587596785785699</v>
      </c>
      <c r="H2" t="s">
        <v>0</v>
      </c>
      <c r="I2">
        <v>0.37753271573000002</v>
      </c>
    </row>
    <row r="3" spans="1:9" x14ac:dyDescent="0.2">
      <c r="A3" t="s">
        <v>23</v>
      </c>
      <c r="B3">
        <v>32.597402597402557</v>
      </c>
      <c r="C3">
        <v>35.249721106729972</v>
      </c>
      <c r="D3">
        <f>TableAVL[[#This Row],[ARIMAPP]]*$I$2+TableAVL[[#This Row],[LSTMPP]]*$I$3</f>
        <v>32.707523839051206</v>
      </c>
      <c r="E3">
        <v>23</v>
      </c>
      <c r="F3">
        <f>ABS(TableAVL[[#This Row],[PP]]-TableAVL[[#This Row],[AP]])</f>
        <v>9.7075238390512055</v>
      </c>
      <c r="H3" t="s">
        <v>1</v>
      </c>
      <c r="I3">
        <v>0.57875459068000001</v>
      </c>
    </row>
    <row r="4" spans="1:9" x14ac:dyDescent="0.2">
      <c r="A4" t="s">
        <v>24</v>
      </c>
      <c r="B4">
        <v>50.989034630932302</v>
      </c>
      <c r="C4">
        <v>27.260869565217401</v>
      </c>
      <c r="D4">
        <f>TableAVL[[#This Row],[ARIMAPP]]*$I$2+TableAVL[[#This Row],[LSTMPP]]*$I$3</f>
        <v>35.027382123465159</v>
      </c>
      <c r="E4">
        <v>40</v>
      </c>
      <c r="F4">
        <f>ABS(TableAVL[[#This Row],[PP]]-TableAVL[[#This Row],[AP]])</f>
        <v>4.9726178765348408</v>
      </c>
    </row>
    <row r="5" spans="1:9" x14ac:dyDescent="0.2">
      <c r="A5" t="s">
        <v>25</v>
      </c>
      <c r="B5">
        <v>30.431654676258979</v>
      </c>
      <c r="C5">
        <v>29.729729729729719</v>
      </c>
      <c r="D5">
        <f>TableAVL[[#This Row],[ARIMAPP]]*$I$2+TableAVL[[#This Row],[LSTMPP]]*$I$3</f>
        <v>28.695162794842361</v>
      </c>
      <c r="E5">
        <v>31</v>
      </c>
      <c r="F5">
        <f>ABS(TableAVL[[#This Row],[PP]]-TableAVL[[#This Row],[AP]])</f>
        <v>2.3048372051576393</v>
      </c>
      <c r="H5" t="s">
        <v>2</v>
      </c>
      <c r="I5">
        <f>SUM(ABS(TableAVL[[#This Row],[PP]]-TableAVL[[#This Row],[AP]]))</f>
        <v>2.3048372051576393</v>
      </c>
    </row>
    <row r="6" spans="1:9" x14ac:dyDescent="0.2">
      <c r="A6" t="s">
        <v>26</v>
      </c>
      <c r="B6">
        <v>28.358208955223891</v>
      </c>
      <c r="C6">
        <v>28.644859813084121</v>
      </c>
      <c r="D6">
        <f>TableAVL[[#This Row],[ARIMAPP]]*$I$2+TableAVL[[#This Row],[LSTMPP]]*$I$3</f>
        <v>27.284495756311962</v>
      </c>
      <c r="E6">
        <v>27</v>
      </c>
      <c r="F6">
        <f>ABS(TableAVL[[#This Row],[PP]]-TableAVL[[#This Row],[AP]])</f>
        <v>0.28449575631196211</v>
      </c>
    </row>
    <row r="7" spans="1:9" x14ac:dyDescent="0.2">
      <c r="A7" t="s">
        <v>27</v>
      </c>
      <c r="B7">
        <v>45.304347826086932</v>
      </c>
      <c r="C7">
        <v>41.878426462333437</v>
      </c>
      <c r="D7">
        <f>TableAVL[[#This Row],[ARIMAPP]]*$I$2+TableAVL[[#This Row],[LSTMPP]]*$I$3</f>
        <v>41.341205034689395</v>
      </c>
      <c r="E7">
        <v>48</v>
      </c>
      <c r="F7">
        <f>ABS(TableAVL[[#This Row],[PP]]-TableAVL[[#This Row],[AP]])</f>
        <v>6.6587949653106051</v>
      </c>
      <c r="H7" t="s">
        <v>3</v>
      </c>
      <c r="I7">
        <f>AVERAGE(TableAVL[DIFF])/10</f>
        <v>0.8175845940665305</v>
      </c>
    </row>
    <row r="8" spans="1:9" x14ac:dyDescent="0.2">
      <c r="A8" t="s">
        <v>28</v>
      </c>
      <c r="B8">
        <v>29</v>
      </c>
      <c r="C8">
        <v>28.229166666666671</v>
      </c>
      <c r="D8">
        <f>TableAVL[[#This Row],[ARIMAPP]]*$I$2+TableAVL[[#This Row],[LSTMPP]]*$I$3</f>
        <v>27.28620855557417</v>
      </c>
      <c r="E8">
        <v>43</v>
      </c>
      <c r="F8">
        <f>ABS(TableAVL[[#This Row],[PP]]-TableAVL[[#This Row],[AP]])</f>
        <v>15.71379144442583</v>
      </c>
    </row>
    <row r="9" spans="1:9" x14ac:dyDescent="0.2">
      <c r="A9" t="s">
        <v>29</v>
      </c>
      <c r="B9">
        <v>31.488526049202399</v>
      </c>
      <c r="C9">
        <v>31.388888888888889</v>
      </c>
      <c r="D9">
        <f>TableAVL[[#This Row],[ARIMAPP]]*$I$2+TableAVL[[#This Row],[LSTMPP]]*$I$3</f>
        <v>30.054412294479121</v>
      </c>
      <c r="E9">
        <v>42</v>
      </c>
      <c r="F9">
        <f>ABS(TableAVL[[#This Row],[PP]]-TableAVL[[#This Row],[AP]])</f>
        <v>11.945587705520879</v>
      </c>
    </row>
    <row r="10" spans="1:9" x14ac:dyDescent="0.2">
      <c r="A10" t="s">
        <v>30</v>
      </c>
      <c r="B10">
        <v>53.264057503259153</v>
      </c>
      <c r="C10">
        <v>43.934477798640778</v>
      </c>
      <c r="D10">
        <f>TableAVL[[#This Row],[ARIMAPP]]*$I$2+TableAVL[[#This Row],[LSTMPP]]*$I$3</f>
        <v>45.536204995096206</v>
      </c>
      <c r="E10">
        <v>25</v>
      </c>
      <c r="F10">
        <f>ABS(TableAVL[[#This Row],[PP]]-TableAVL[[#This Row],[AP]])</f>
        <v>20.536204995096206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149</v>
      </c>
      <c r="B2">
        <v>19.864864864864881</v>
      </c>
      <c r="C2">
        <v>25.084745762711869</v>
      </c>
      <c r="D2">
        <f>TableWOL[[#This Row],[ARIMAPP]]*$I$2+TableWOL[[#This Row],[LSTMPP]]*$I$3</f>
        <v>34.3511354041487</v>
      </c>
      <c r="E2">
        <v>42</v>
      </c>
      <c r="F2">
        <f>ABS(TableWOL[[#This Row],[PP]]-TableWOL[[#This Row],[AP]])</f>
        <v>7.6488645958513004</v>
      </c>
      <c r="H2" t="s">
        <v>0</v>
      </c>
      <c r="I2">
        <v>0.14552453324</v>
      </c>
    </row>
    <row r="3" spans="1:9" x14ac:dyDescent="0.2">
      <c r="A3" t="s">
        <v>150</v>
      </c>
      <c r="B3">
        <v>30</v>
      </c>
      <c r="C3">
        <v>30</v>
      </c>
      <c r="D3">
        <f>TableWOL[[#This Row],[ARIMAPP]]*$I$2+TableWOL[[#This Row],[LSTMPP]]*$I$3</f>
        <v>41.990566459199997</v>
      </c>
      <c r="E3">
        <v>37</v>
      </c>
      <c r="F3">
        <f>ABS(TableWOL[[#This Row],[PP]]-TableWOL[[#This Row],[AP]])</f>
        <v>4.9905664591999965</v>
      </c>
      <c r="H3" t="s">
        <v>1</v>
      </c>
      <c r="I3">
        <v>1.2541610154</v>
      </c>
    </row>
    <row r="4" spans="1:9" x14ac:dyDescent="0.2">
      <c r="A4" t="s">
        <v>151</v>
      </c>
      <c r="B4">
        <v>24.970366044333979</v>
      </c>
      <c r="C4">
        <v>27.795698924731191</v>
      </c>
      <c r="D4">
        <f>TableWOL[[#This Row],[ARIMAPP]]*$I$2+TableWOL[[#This Row],[LSTMPP]]*$I$3</f>
        <v>38.494082850627208</v>
      </c>
      <c r="E4">
        <v>41</v>
      </c>
      <c r="F4">
        <f>ABS(TableWOL[[#This Row],[PP]]-TableWOL[[#This Row],[AP]])</f>
        <v>2.5059171493727916</v>
      </c>
    </row>
    <row r="5" spans="1:9" x14ac:dyDescent="0.2">
      <c r="A5" t="s">
        <v>152</v>
      </c>
      <c r="B5">
        <v>27.96116504854368</v>
      </c>
      <c r="C5">
        <v>29.33144647540065</v>
      </c>
      <c r="D5">
        <f>TableWOL[[#This Row],[ARIMAPP]]*$I$2+TableWOL[[#This Row],[LSTMPP]]*$I$3</f>
        <v>40.855392187275157</v>
      </c>
      <c r="E5">
        <v>30</v>
      </c>
      <c r="F5">
        <f>ABS(TableWOL[[#This Row],[PP]]-TableWOL[[#This Row],[AP]])</f>
        <v>10.855392187275157</v>
      </c>
      <c r="H5" t="s">
        <v>2</v>
      </c>
      <c r="I5">
        <f>SUM(ABS(TableWOL[[#This Row],[PP]]-TableWOL[[#This Row],[AP]]))</f>
        <v>10.855392187275157</v>
      </c>
    </row>
    <row r="6" spans="1:9" x14ac:dyDescent="0.2">
      <c r="A6" t="s">
        <v>153</v>
      </c>
      <c r="B6">
        <v>41.696891528209882</v>
      </c>
      <c r="C6">
        <v>34.682539682539677</v>
      </c>
      <c r="D6">
        <f>TableWOL[[#This Row],[ARIMAPP]]*$I$2+TableWOL[[#This Row],[LSTMPP]]*$I$3</f>
        <v>49.565409862106414</v>
      </c>
      <c r="E6">
        <v>28</v>
      </c>
      <c r="F6">
        <f>ABS(TableWOL[[#This Row],[PP]]-TableWOL[[#This Row],[AP]])</f>
        <v>21.565409862106414</v>
      </c>
    </row>
    <row r="7" spans="1:9" x14ac:dyDescent="0.2">
      <c r="A7" t="s">
        <v>154</v>
      </c>
      <c r="B7">
        <v>21.999999999999989</v>
      </c>
      <c r="C7">
        <v>25</v>
      </c>
      <c r="D7">
        <f>TableWOL[[#This Row],[ARIMAPP]]*$I$2+TableWOL[[#This Row],[LSTMPP]]*$I$3</f>
        <v>34.55556511628</v>
      </c>
      <c r="E7">
        <v>32</v>
      </c>
      <c r="F7">
        <f>ABS(TableWOL[[#This Row],[PP]]-TableWOL[[#This Row],[AP]])</f>
        <v>2.5555651162800004</v>
      </c>
      <c r="H7" t="s">
        <v>3</v>
      </c>
      <c r="I7">
        <f>AVERAGE(TableWOL[DIFF])/10</f>
        <v>1.0200787097193833</v>
      </c>
    </row>
    <row r="8" spans="1:9" x14ac:dyDescent="0.2">
      <c r="A8" t="s">
        <v>155</v>
      </c>
      <c r="B8">
        <v>54.139593582216882</v>
      </c>
      <c r="C8">
        <v>26.37931034482758</v>
      </c>
      <c r="D8">
        <f>TableWOL[[#This Row],[ARIMAPP]]*$I$2+TableWOL[[#This Row],[LSTMPP]]*$I$3</f>
        <v>40.962541733476094</v>
      </c>
      <c r="E8">
        <v>51</v>
      </c>
      <c r="F8">
        <f>ABS(TableWOL[[#This Row],[PP]]-TableWOL[[#This Row],[AP]])</f>
        <v>10.037458266523906</v>
      </c>
    </row>
    <row r="9" spans="1:9" x14ac:dyDescent="0.2">
      <c r="A9" t="s">
        <v>156</v>
      </c>
      <c r="B9">
        <v>26.896551724137922</v>
      </c>
      <c r="C9">
        <v>26.08695652173914</v>
      </c>
      <c r="D9">
        <f>TableWOL[[#This Row],[ARIMAPP]]*$I$2+TableWOL[[#This Row],[LSTMPP]]*$I$3</f>
        <v>36.631352015420703</v>
      </c>
      <c r="E9">
        <v>51</v>
      </c>
      <c r="F9">
        <f>ABS(TableWOL[[#This Row],[PP]]-TableWOL[[#This Row],[AP]])</f>
        <v>14.368647984579297</v>
      </c>
    </row>
    <row r="10" spans="1:9" x14ac:dyDescent="0.2">
      <c r="A10" t="s">
        <v>157</v>
      </c>
      <c r="B10">
        <v>15.294117647058821</v>
      </c>
      <c r="C10">
        <v>21.92307692307693</v>
      </c>
      <c r="D10">
        <f>TableWOL[[#This Row],[ARIMAPP]]*$I$2+TableWOL[[#This Row],[LSTMPP]]*$I$3</f>
        <v>29.720737746444353</v>
      </c>
      <c r="E10">
        <v>47</v>
      </c>
      <c r="F10">
        <f>ABS(TableWOL[[#This Row],[PP]]-TableWOL[[#This Row],[AP]])</f>
        <v>17.279262253555647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31</v>
      </c>
      <c r="B2">
        <v>27.321317253299249</v>
      </c>
      <c r="C2">
        <v>26.904761904761902</v>
      </c>
      <c r="D2">
        <f>TableBOU[[#This Row],[ARIMAPP]]*$I$2+TableBOU[[#This Row],[LSTMPP]]*$I$3</f>
        <v>38.397830157633592</v>
      </c>
      <c r="E2">
        <v>28</v>
      </c>
      <c r="F2">
        <f>ABS(TableBOU[[#This Row],[PP]]-TableBOU[[#This Row],[AP]])</f>
        <v>10.397830157633592</v>
      </c>
      <c r="H2" t="s">
        <v>0</v>
      </c>
      <c r="I2">
        <v>1.6086431711</v>
      </c>
    </row>
    <row r="3" spans="1:9" x14ac:dyDescent="0.2">
      <c r="A3" t="s">
        <v>32</v>
      </c>
      <c r="B3">
        <v>36.825295869263087</v>
      </c>
      <c r="C3">
        <v>27.941176470588228</v>
      </c>
      <c r="D3">
        <f>TableBOU[[#This Row],[ARIMAPP]]*$I$2+TableBOU[[#This Row],[LSTMPP]]*$I$3</f>
        <v>53.47245232541534</v>
      </c>
      <c r="E3">
        <v>65</v>
      </c>
      <c r="F3">
        <f>ABS(TableBOU[[#This Row],[PP]]-TableBOU[[#This Row],[AP]])</f>
        <v>11.52754767458466</v>
      </c>
      <c r="H3" t="s">
        <v>1</v>
      </c>
      <c r="I3">
        <v>-0.20637314268000001</v>
      </c>
    </row>
    <row r="4" spans="1:9" x14ac:dyDescent="0.2">
      <c r="A4" t="s">
        <v>33</v>
      </c>
      <c r="B4">
        <v>19.761904761904749</v>
      </c>
      <c r="C4">
        <v>24.54545454545454</v>
      </c>
      <c r="D4">
        <f>TableBOU[[#This Row],[ARIMAPP]]*$I$2+TableBOU[[#This Row],[LSTMPP]]*$I$3</f>
        <v>26.7243305501121</v>
      </c>
      <c r="E4">
        <v>27</v>
      </c>
      <c r="F4">
        <f>ABS(TableBOU[[#This Row],[PP]]-TableBOU[[#This Row],[AP]])</f>
        <v>0.27566944988789999</v>
      </c>
    </row>
    <row r="5" spans="1:9" x14ac:dyDescent="0.2">
      <c r="A5" t="s">
        <v>34</v>
      </c>
      <c r="B5">
        <v>34.467916788128008</v>
      </c>
      <c r="C5">
        <v>33.958333333333329</v>
      </c>
      <c r="D5">
        <f>TableBOU[[#This Row],[ARIMAPP]]*$I$2+TableBOU[[#This Row],[LSTMPP]]*$I$3</f>
        <v>48.43849099309017</v>
      </c>
      <c r="E5">
        <v>46</v>
      </c>
      <c r="F5">
        <f>ABS(TableBOU[[#This Row],[PP]]-TableBOU[[#This Row],[AP]])</f>
        <v>2.4384909930901699</v>
      </c>
      <c r="H5" t="s">
        <v>2</v>
      </c>
      <c r="I5">
        <f>SUM(ABS(TableBOU[[#This Row],[PP]]-TableBOU[[#This Row],[AP]]))</f>
        <v>2.4384909930901699</v>
      </c>
    </row>
    <row r="6" spans="1:9" x14ac:dyDescent="0.2">
      <c r="A6" t="s">
        <v>35</v>
      </c>
      <c r="B6">
        <v>20.473141813295928</v>
      </c>
      <c r="C6">
        <v>26</v>
      </c>
      <c r="D6">
        <f>TableBOU[[#This Row],[ARIMAPP]]*$I$2+TableBOU[[#This Row],[LSTMPP]]*$I$3</f>
        <v>27.568278059240367</v>
      </c>
      <c r="E6">
        <v>49</v>
      </c>
      <c r="F6">
        <f>ABS(TableBOU[[#This Row],[PP]]-TableBOU[[#This Row],[AP]])</f>
        <v>21.431721940759633</v>
      </c>
    </row>
    <row r="7" spans="1:9" x14ac:dyDescent="0.2">
      <c r="A7" t="s">
        <v>36</v>
      </c>
      <c r="B7">
        <v>39.806578563002077</v>
      </c>
      <c r="C7">
        <v>62.899024601952497</v>
      </c>
      <c r="D7">
        <f>TableBOU[[#This Row],[ARIMAPP]]*$I$2+TableBOU[[#This Row],[LSTMPP]]*$I$3</f>
        <v>51.053911391617369</v>
      </c>
      <c r="E7">
        <v>42</v>
      </c>
      <c r="F7">
        <f>ABS(TableBOU[[#This Row],[PP]]-TableBOU[[#This Row],[AP]])</f>
        <v>9.053911391617369</v>
      </c>
      <c r="H7" t="s">
        <v>3</v>
      </c>
      <c r="I7">
        <f>AVERAGE(TableBOU[DIFF])/10</f>
        <v>1.062254947641599</v>
      </c>
    </row>
    <row r="8" spans="1:9" x14ac:dyDescent="0.2">
      <c r="A8" t="s">
        <v>37</v>
      </c>
      <c r="B8">
        <v>26.7078120105263</v>
      </c>
      <c r="C8">
        <v>26.15384615384616</v>
      </c>
      <c r="D8">
        <f>TableBOU[[#This Row],[ARIMAPP]]*$I$2+TableBOU[[#This Row],[LSTMPP]]*$I$3</f>
        <v>37.565887981817234</v>
      </c>
      <c r="E8">
        <v>25</v>
      </c>
      <c r="F8">
        <f>ABS(TableBOU[[#This Row],[PP]]-TableBOU[[#This Row],[AP]])</f>
        <v>12.565887981817234</v>
      </c>
    </row>
    <row r="9" spans="1:9" x14ac:dyDescent="0.2">
      <c r="A9" t="s">
        <v>38</v>
      </c>
      <c r="B9">
        <v>11.30274394975339</v>
      </c>
      <c r="C9">
        <v>21.666666666666671</v>
      </c>
      <c r="D9">
        <f>TableBOU[[#This Row],[ARIMAPP]]*$I$2+TableBOU[[#This Row],[LSTMPP]]*$I$3</f>
        <v>13.710663778062631</v>
      </c>
      <c r="E9">
        <v>31</v>
      </c>
      <c r="F9">
        <f>ABS(TableBOU[[#This Row],[PP]]-TableBOU[[#This Row],[AP]])</f>
        <v>17.289336221937369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39</v>
      </c>
      <c r="B2">
        <v>20.37448063381893</v>
      </c>
      <c r="C2">
        <v>30.518867924528301</v>
      </c>
      <c r="D2">
        <f>TableBRE[[#This Row],[ARIMAPP]]*$I$2+TableBRE[[#This Row],[LSTMPP]]*$I$3</f>
        <v>29.456525595055172</v>
      </c>
      <c r="E2">
        <v>32</v>
      </c>
      <c r="F2">
        <f>ABS(TableBRE[[#This Row],[PP]]-TableBRE[[#This Row],[AP]])</f>
        <v>2.5434744049448277</v>
      </c>
      <c r="H2" t="s">
        <v>0</v>
      </c>
      <c r="I2">
        <v>0.40876618176000001</v>
      </c>
    </row>
    <row r="3" spans="1:9" x14ac:dyDescent="0.2">
      <c r="A3" t="s">
        <v>40</v>
      </c>
      <c r="B3">
        <v>26.621621621621632</v>
      </c>
      <c r="C3">
        <v>27.03389830508474</v>
      </c>
      <c r="D3">
        <f>TableBRE[[#This Row],[ARIMAPP]]*$I$2+TableBRE[[#This Row],[LSTMPP]]*$I$3</f>
        <v>29.597510839118712</v>
      </c>
      <c r="E3">
        <v>22</v>
      </c>
      <c r="F3">
        <f>ABS(TableBRE[[#This Row],[PP]]-TableBRE[[#This Row],[AP]])</f>
        <v>7.5975108391187121</v>
      </c>
      <c r="H3" t="s">
        <v>1</v>
      </c>
      <c r="I3">
        <v>0.69229720424999996</v>
      </c>
    </row>
    <row r="4" spans="1:9" x14ac:dyDescent="0.2">
      <c r="A4" t="s">
        <v>41</v>
      </c>
      <c r="B4">
        <v>38.799999999999983</v>
      </c>
      <c r="C4">
        <v>33.901566882987211</v>
      </c>
      <c r="D4">
        <f>TableBRE[[#This Row],[ARIMAPP]]*$I$2+TableBRE[[#This Row],[LSTMPP]]*$I$3</f>
        <v>39.330087825074422</v>
      </c>
      <c r="E4">
        <v>52</v>
      </c>
      <c r="F4">
        <f>ABS(TableBRE[[#This Row],[PP]]-TableBRE[[#This Row],[AP]])</f>
        <v>12.669912174925578</v>
      </c>
    </row>
    <row r="5" spans="1:9" x14ac:dyDescent="0.2">
      <c r="A5" t="s">
        <v>42</v>
      </c>
      <c r="B5">
        <v>33.351277210013457</v>
      </c>
      <c r="C5">
        <v>28.189655172413801</v>
      </c>
      <c r="D5">
        <f>TableBRE[[#This Row],[ARIMAPP]]*$I$2+TableBRE[[#This Row],[LSTMPP]]*$I$3</f>
        <v>33.148493706590131</v>
      </c>
      <c r="E5">
        <v>23</v>
      </c>
      <c r="F5">
        <f>ABS(TableBRE[[#This Row],[PP]]-TableBRE[[#This Row],[AP]])</f>
        <v>10.148493706590131</v>
      </c>
      <c r="H5" t="s">
        <v>2</v>
      </c>
      <c r="I5">
        <f>SUM(ABS(TableBRE[[#This Row],[PP]]-TableBRE[[#This Row],[AP]]))</f>
        <v>10.148493706590131</v>
      </c>
    </row>
    <row r="6" spans="1:9" x14ac:dyDescent="0.2">
      <c r="A6" t="s">
        <v>43</v>
      </c>
      <c r="B6">
        <v>41.420936039558789</v>
      </c>
      <c r="C6">
        <v>27.946428571428569</v>
      </c>
      <c r="D6">
        <f>TableBRE[[#This Row],[ARIMAPP]]*$I$2+TableBRE[[#This Row],[LSTMPP]]*$I$3</f>
        <v>36.278712238587943</v>
      </c>
      <c r="E6">
        <v>37</v>
      </c>
      <c r="F6">
        <f>ABS(TableBRE[[#This Row],[PP]]-TableBRE[[#This Row],[AP]])</f>
        <v>0.72128776141205719</v>
      </c>
    </row>
    <row r="7" spans="1:9" x14ac:dyDescent="0.2">
      <c r="A7" t="s">
        <v>44</v>
      </c>
      <c r="B7">
        <v>23.4</v>
      </c>
      <c r="C7">
        <v>25.75</v>
      </c>
      <c r="D7">
        <f>TableBRE[[#This Row],[ARIMAPP]]*$I$2+TableBRE[[#This Row],[LSTMPP]]*$I$3</f>
        <v>27.391781662621497</v>
      </c>
      <c r="E7">
        <v>26</v>
      </c>
      <c r="F7">
        <f>ABS(TableBRE[[#This Row],[PP]]-TableBRE[[#This Row],[AP]])</f>
        <v>1.3917816626214972</v>
      </c>
      <c r="H7" t="s">
        <v>3</v>
      </c>
      <c r="I7">
        <f>AVERAGE(TableBRE[DIFF])/10</f>
        <v>0.58454100916021334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45</v>
      </c>
      <c r="B2">
        <v>34.38709677419353</v>
      </c>
      <c r="C2">
        <v>31.532258064516121</v>
      </c>
      <c r="D2">
        <f>TableBHA[[#This Row],[ARIMAPP]]*$I$2+TableBHA[[#This Row],[LSTMPP]]*$I$3</f>
        <v>22.294524057550007</v>
      </c>
      <c r="E2">
        <v>46</v>
      </c>
      <c r="F2">
        <f>ABS(TableBHA[[#This Row],[PP]]-TableBHA[[#This Row],[AP]])</f>
        <v>23.705475942449993</v>
      </c>
      <c r="H2" t="s">
        <v>0</v>
      </c>
      <c r="I2">
        <v>-1.7595030892000001</v>
      </c>
    </row>
    <row r="3" spans="1:9" x14ac:dyDescent="0.2">
      <c r="A3" t="s">
        <v>46</v>
      </c>
      <c r="B3">
        <v>31.123642102921622</v>
      </c>
      <c r="C3">
        <v>32.298201761100131</v>
      </c>
      <c r="D3">
        <f>TableBHA[[#This Row],[ARIMAPP]]*$I$2+TableBHA[[#This Row],[LSTMPP]]*$I$3</f>
        <v>30.047829748604578</v>
      </c>
      <c r="E3">
        <v>24</v>
      </c>
      <c r="F3">
        <f>ABS(TableBHA[[#This Row],[PP]]-TableBHA[[#This Row],[AP]])</f>
        <v>6.0478297486045776</v>
      </c>
      <c r="H3" t="s">
        <v>1</v>
      </c>
      <c r="I3">
        <v>2.6258419835</v>
      </c>
    </row>
    <row r="4" spans="1:9" x14ac:dyDescent="0.2">
      <c r="A4" t="s">
        <v>47</v>
      </c>
      <c r="B4">
        <v>21.42857142857142</v>
      </c>
      <c r="C4">
        <v>24.848484848484851</v>
      </c>
      <c r="D4">
        <f>TableBHA[[#This Row],[ARIMAPP]]*$I$2+TableBHA[[#This Row],[LSTMPP]]*$I$3</f>
        <v>27.544557115800892</v>
      </c>
      <c r="E4">
        <v>46</v>
      </c>
      <c r="F4">
        <f>ABS(TableBHA[[#This Row],[PP]]-TableBHA[[#This Row],[AP]])</f>
        <v>18.455442884199108</v>
      </c>
    </row>
    <row r="5" spans="1:9" x14ac:dyDescent="0.2">
      <c r="A5" t="s">
        <v>48</v>
      </c>
      <c r="B5">
        <v>40.000000000000007</v>
      </c>
      <c r="C5">
        <v>41.527854842580631</v>
      </c>
      <c r="D5">
        <f>TableBHA[[#This Row],[ARIMAPP]]*$I$2+TableBHA[[#This Row],[LSTMPP]]*$I$3</f>
        <v>38.665461162341984</v>
      </c>
      <c r="E5">
        <v>30</v>
      </c>
      <c r="F5">
        <f>ABS(TableBHA[[#This Row],[PP]]-TableBHA[[#This Row],[AP]])</f>
        <v>8.6654611623419839</v>
      </c>
      <c r="H5" t="s">
        <v>2</v>
      </c>
      <c r="I5">
        <f>SUM(ABS(TableBHA[[#This Row],[PP]]-TableBHA[[#This Row],[AP]]))</f>
        <v>8.6654611623419839</v>
      </c>
    </row>
    <row r="6" spans="1:9" x14ac:dyDescent="0.2">
      <c r="A6" t="s">
        <v>49</v>
      </c>
      <c r="B6">
        <v>32.592592592592602</v>
      </c>
      <c r="C6">
        <v>31.666666666666671</v>
      </c>
      <c r="D6">
        <f>TableBHA[[#This Row],[ARIMAPP]]*$I$2+TableBHA[[#This Row],[LSTMPP]]*$I$3</f>
        <v>25.804895459129618</v>
      </c>
      <c r="E6">
        <v>20</v>
      </c>
      <c r="F6">
        <f>ABS(TableBHA[[#This Row],[PP]]-TableBHA[[#This Row],[AP]])</f>
        <v>5.804895459129618</v>
      </c>
    </row>
    <row r="7" spans="1:9" x14ac:dyDescent="0.2">
      <c r="A7" t="s">
        <v>50</v>
      </c>
      <c r="B7">
        <v>44.571428571428562</v>
      </c>
      <c r="C7">
        <v>42.782721500980067</v>
      </c>
      <c r="D7">
        <f>TableBHA[[#This Row],[ARIMAPP]]*$I$2+TableBHA[[#This Row],[LSTMPP]]*$I$3</f>
        <v>33.917100024175895</v>
      </c>
      <c r="E7">
        <v>23</v>
      </c>
      <c r="F7">
        <f>ABS(TableBHA[[#This Row],[PP]]-TableBHA[[#This Row],[AP]])</f>
        <v>10.917100024175895</v>
      </c>
      <c r="H7" t="s">
        <v>3</v>
      </c>
      <c r="I7">
        <f>AVERAGE(TableBHA[DIFF])/10</f>
        <v>1.2266034203483529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51</v>
      </c>
      <c r="B2">
        <v>22.894736842105271</v>
      </c>
      <c r="C2">
        <v>27</v>
      </c>
      <c r="D2">
        <f>TableBUR[[#This Row],[ARIMAPP]]*$I$2+TableBUR[[#This Row],[LSTMPP]]*$I$3</f>
        <v>31.648903571605238</v>
      </c>
      <c r="E2">
        <v>22</v>
      </c>
      <c r="F2">
        <f>ABS(TableBUR[[#This Row],[PP]]-TableBUR[[#This Row],[AP]])</f>
        <v>9.6489035716052385</v>
      </c>
      <c r="H2" t="s">
        <v>0</v>
      </c>
      <c r="I2">
        <v>-2.7175985009999999</v>
      </c>
    </row>
    <row r="3" spans="1:9" x14ac:dyDescent="0.2">
      <c r="A3" t="s">
        <v>52</v>
      </c>
      <c r="B3">
        <v>23.827160493827151</v>
      </c>
      <c r="C3">
        <v>25.234375</v>
      </c>
      <c r="D3">
        <f>TableBUR[[#This Row],[ARIMAPP]]*$I$2+TableBUR[[#This Row],[LSTMPP]]*$I$3</f>
        <v>22.976617415959225</v>
      </c>
      <c r="E3">
        <v>26</v>
      </c>
      <c r="F3">
        <f>ABS(TableBUR[[#This Row],[PP]]-TableBUR[[#This Row],[AP]])</f>
        <v>3.0233825840407746</v>
      </c>
      <c r="H3" t="s">
        <v>1</v>
      </c>
      <c r="I3">
        <v>3.4765780034999998</v>
      </c>
    </row>
    <row r="4" spans="1:9" x14ac:dyDescent="0.2">
      <c r="A4" t="s">
        <v>53</v>
      </c>
      <c r="B4">
        <v>18.18181817312913</v>
      </c>
      <c r="C4">
        <v>22.5</v>
      </c>
      <c r="D4">
        <f>TableBUR[[#This Row],[ARIMAPP]]*$I$2+TableBUR[[#This Row],[LSTMPP]]*$I$3</f>
        <v>28.812123265999709</v>
      </c>
      <c r="E4">
        <v>37</v>
      </c>
      <c r="F4">
        <f>ABS(TableBUR[[#This Row],[PP]]-TableBUR[[#This Row],[AP]])</f>
        <v>8.1878767340002909</v>
      </c>
    </row>
    <row r="5" spans="1:9" x14ac:dyDescent="0.2">
      <c r="H5" t="s">
        <v>2</v>
      </c>
      <c r="I5" t="e">
        <f>SUM(ABS(TableBUR[[#This Row],[PP]]-TableBUR[[#This Row],[AP]]))</f>
        <v>#VALUE!</v>
      </c>
    </row>
    <row r="7" spans="1:9" x14ac:dyDescent="0.2">
      <c r="H7" t="s">
        <v>3</v>
      </c>
      <c r="I7">
        <f>AVERAGE(TableBUR[DIFF])/10</f>
        <v>0.69533876298821018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54</v>
      </c>
      <c r="B2">
        <v>44.863611219897777</v>
      </c>
      <c r="C2">
        <v>57.984693454054742</v>
      </c>
      <c r="D2">
        <f>TableCHE[[#This Row],[ARIMAPP]]*$I$2+TableCHE[[#This Row],[LSTMPP]]*$I$3</f>
        <v>44.68507536350662</v>
      </c>
      <c r="E2">
        <v>40</v>
      </c>
      <c r="F2">
        <f>ABS(TableCHE[[#This Row],[PP]]-TableCHE[[#This Row],[AP]])</f>
        <v>4.6850753635066198</v>
      </c>
      <c r="H2" t="s">
        <v>0</v>
      </c>
      <c r="I2">
        <v>0.28779831251999999</v>
      </c>
    </row>
    <row r="3" spans="1:9" x14ac:dyDescent="0.2">
      <c r="A3" t="s">
        <v>55</v>
      </c>
      <c r="B3">
        <v>29.33359804397638</v>
      </c>
      <c r="C3">
        <v>28.154761904761902</v>
      </c>
      <c r="D3">
        <f>TableCHE[[#This Row],[ARIMAPP]]*$I$2+TableCHE[[#This Row],[LSTMPP]]*$I$3</f>
        <v>23.869897313072563</v>
      </c>
      <c r="E3">
        <v>22</v>
      </c>
      <c r="F3">
        <f>ABS(TableCHE[[#This Row],[PP]]-TableCHE[[#This Row],[AP]])</f>
        <v>1.8698973130725633</v>
      </c>
      <c r="H3" t="s">
        <v>1</v>
      </c>
      <c r="I3">
        <v>0.54796191664000005</v>
      </c>
    </row>
    <row r="4" spans="1:9" x14ac:dyDescent="0.2">
      <c r="A4" t="s">
        <v>56</v>
      </c>
      <c r="B4">
        <v>35.730337078651672</v>
      </c>
      <c r="C4">
        <v>32.253521126760567</v>
      </c>
      <c r="D4">
        <f>TableCHE[[#This Row],[ARIMAPP]]*$I$2+TableCHE[[#This Row],[LSTMPP]]*$I$3</f>
        <v>27.956831972015188</v>
      </c>
      <c r="E4">
        <v>33</v>
      </c>
      <c r="F4">
        <f>ABS(TableCHE[[#This Row],[PP]]-TableCHE[[#This Row],[AP]])</f>
        <v>5.0431680279848123</v>
      </c>
    </row>
    <row r="5" spans="1:9" x14ac:dyDescent="0.2">
      <c r="A5" t="s">
        <v>57</v>
      </c>
      <c r="B5">
        <v>33.939393939393938</v>
      </c>
      <c r="C5">
        <v>34.56676394136791</v>
      </c>
      <c r="D5">
        <f>TableCHE[[#This Row],[ARIMAPP]]*$I$2+TableCHE[[#This Row],[LSTMPP]]*$I$3</f>
        <v>28.708970525063492</v>
      </c>
      <c r="E5">
        <v>25</v>
      </c>
      <c r="F5">
        <f>ABS(TableCHE[[#This Row],[PP]]-TableCHE[[#This Row],[AP]])</f>
        <v>3.7089705250634921</v>
      </c>
      <c r="H5" t="s">
        <v>2</v>
      </c>
      <c r="I5">
        <f>SUM(ABS(TableCHE[[#This Row],[PP]]-TableCHE[[#This Row],[AP]]))</f>
        <v>3.7089705250634921</v>
      </c>
    </row>
    <row r="6" spans="1:9" x14ac:dyDescent="0.2">
      <c r="A6" t="s">
        <v>58</v>
      </c>
      <c r="B6">
        <v>28.846153846153829</v>
      </c>
      <c r="C6">
        <v>28.21077371542577</v>
      </c>
      <c r="D6">
        <f>TableCHE[[#This Row],[ARIMAPP]]*$I$2+TableCHE[[#This Row],[LSTMPP]]*$I$3</f>
        <v>23.76030403461742</v>
      </c>
      <c r="E6">
        <v>26</v>
      </c>
      <c r="F6">
        <f>ABS(TableCHE[[#This Row],[PP]]-TableCHE[[#This Row],[AP]])</f>
        <v>2.2396959653825803</v>
      </c>
    </row>
    <row r="7" spans="1:9" x14ac:dyDescent="0.2">
      <c r="A7" t="s">
        <v>59</v>
      </c>
      <c r="B7">
        <v>53.156220463096339</v>
      </c>
      <c r="C7">
        <v>22.8125</v>
      </c>
      <c r="D7">
        <f>TableCHE[[#This Row],[ARIMAPP]]*$I$2+TableCHE[[#This Row],[LSTMPP]]*$I$3</f>
        <v>27.798651772570217</v>
      </c>
      <c r="E7">
        <v>26</v>
      </c>
      <c r="F7">
        <f>ABS(TableCHE[[#This Row],[PP]]-TableCHE[[#This Row],[AP]])</f>
        <v>1.7986517725702171</v>
      </c>
      <c r="H7" t="s">
        <v>3</v>
      </c>
      <c r="I7">
        <f>AVERAGE(TableCHE[DIFF])/10</f>
        <v>0.42782312924234683</v>
      </c>
    </row>
    <row r="8" spans="1:9" x14ac:dyDescent="0.2">
      <c r="A8" t="s">
        <v>60</v>
      </c>
      <c r="B8">
        <v>22.800000000000011</v>
      </c>
      <c r="C8">
        <v>25.25</v>
      </c>
      <c r="D8">
        <f>TableCHE[[#This Row],[ARIMAPP]]*$I$2+TableCHE[[#This Row],[LSTMPP]]*$I$3</f>
        <v>20.397839920616004</v>
      </c>
      <c r="E8">
        <v>31</v>
      </c>
      <c r="F8">
        <f>ABS(TableCHE[[#This Row],[PP]]-TableCHE[[#This Row],[AP]])</f>
        <v>10.602160079383996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61</v>
      </c>
      <c r="B2">
        <v>26.52777777777775</v>
      </c>
      <c r="C2">
        <v>28.260869565217391</v>
      </c>
      <c r="D2">
        <f>TableCRY[[#This Row],[ARIMAPP]]*$I$2+TableCRY[[#This Row],[LSTMPP]]*$I$3</f>
        <v>27.71322904617751</v>
      </c>
      <c r="E2">
        <v>27</v>
      </c>
      <c r="F2">
        <f>ABS(TableCRY[[#This Row],[PP]]-TableCRY[[#This Row],[AP]])</f>
        <v>0.71322904617750993</v>
      </c>
      <c r="H2" t="s">
        <v>0</v>
      </c>
      <c r="I2">
        <v>1.2507151110000001</v>
      </c>
    </row>
    <row r="3" spans="1:9" x14ac:dyDescent="0.2">
      <c r="A3" t="s">
        <v>62</v>
      </c>
      <c r="B3">
        <v>23.067391592793879</v>
      </c>
      <c r="C3">
        <v>27.57731958762886</v>
      </c>
      <c r="D3">
        <f>TableCRY[[#This Row],[ARIMAPP]]*$I$2+TableCRY[[#This Row],[LSTMPP]]*$I$3</f>
        <v>23.517465756461668</v>
      </c>
      <c r="E3">
        <v>20</v>
      </c>
      <c r="F3">
        <f>ABS(TableCRY[[#This Row],[PP]]-TableCRY[[#This Row],[AP]])</f>
        <v>3.517465756461668</v>
      </c>
      <c r="H3" t="s">
        <v>1</v>
      </c>
      <c r="I3">
        <v>-0.19339332319999999</v>
      </c>
    </row>
    <row r="4" spans="1:9" x14ac:dyDescent="0.2">
      <c r="A4" t="s">
        <v>63</v>
      </c>
      <c r="B4">
        <v>27.500000000000011</v>
      </c>
      <c r="C4">
        <v>28.3969465648855</v>
      </c>
      <c r="D4">
        <f>TableCRY[[#This Row],[ARIMAPP]]*$I$2+TableCRY[[#This Row],[LSTMPP]]*$I$3</f>
        <v>28.902885687583982</v>
      </c>
      <c r="E4">
        <v>31</v>
      </c>
      <c r="F4">
        <f>ABS(TableCRY[[#This Row],[PP]]-TableCRY[[#This Row],[AP]])</f>
        <v>2.0971143124160179</v>
      </c>
    </row>
    <row r="5" spans="1:9" x14ac:dyDescent="0.2">
      <c r="A5" t="s">
        <v>64</v>
      </c>
      <c r="B5">
        <v>36.395348837209333</v>
      </c>
      <c r="C5">
        <v>31.39705882352942</v>
      </c>
      <c r="D5">
        <f>TableCRY[[#This Row],[ARIMAPP]]*$I$2+TableCRY[[#This Row],[LSTMPP]]*$I$3</f>
        <v>39.448231216225764</v>
      </c>
      <c r="E5">
        <v>46</v>
      </c>
      <c r="F5">
        <f>ABS(TableCRY[[#This Row],[PP]]-TableCRY[[#This Row],[AP]])</f>
        <v>6.5517687837742358</v>
      </c>
      <c r="H5" t="s">
        <v>2</v>
      </c>
      <c r="I5">
        <f>SUM(ABS(TableCRY[[#This Row],[PP]]-TableCRY[[#This Row],[AP]]))</f>
        <v>6.5517687837742358</v>
      </c>
    </row>
    <row r="6" spans="1:9" x14ac:dyDescent="0.2">
      <c r="A6" t="s">
        <v>65</v>
      </c>
      <c r="B6">
        <v>36.470588235294123</v>
      </c>
      <c r="C6">
        <v>33.625</v>
      </c>
      <c r="D6">
        <f>TableCRY[[#This Row],[ARIMAPP]]*$I$2+TableCRY[[#This Row],[LSTMPP]]*$I$3</f>
        <v>39.111465320341189</v>
      </c>
      <c r="E6">
        <v>36</v>
      </c>
      <c r="F6">
        <f>ABS(TableCRY[[#This Row],[PP]]-TableCRY[[#This Row],[AP]])</f>
        <v>3.1114653203411891</v>
      </c>
    </row>
    <row r="7" spans="1:9" x14ac:dyDescent="0.2">
      <c r="A7" t="s">
        <v>66</v>
      </c>
      <c r="B7">
        <v>20.9375</v>
      </c>
      <c r="C7">
        <v>24.901960784313729</v>
      </c>
      <c r="D7">
        <f>TableCRY[[#This Row],[ARIMAPP]]*$I$2+TableCRY[[#This Row],[LSTMPP]]*$I$3</f>
        <v>21.37097468628799</v>
      </c>
      <c r="E7">
        <v>31</v>
      </c>
      <c r="F7">
        <f>ABS(TableCRY[[#This Row],[PP]]-TableCRY[[#This Row],[AP]])</f>
        <v>9.6290253137120096</v>
      </c>
      <c r="H7" t="s">
        <v>3</v>
      </c>
      <c r="I7">
        <f>AVERAGE(TableCRY[DIFF])/10</f>
        <v>0.44396139548656688</v>
      </c>
    </row>
    <row r="8" spans="1:9" x14ac:dyDescent="0.2">
      <c r="A8" t="s">
        <v>67</v>
      </c>
      <c r="B8">
        <v>30.000000000000011</v>
      </c>
      <c r="C8">
        <v>28.58490566037737</v>
      </c>
      <c r="D8">
        <f>TableCRY[[#This Row],[ARIMAPP]]*$I$2+TableCRY[[#This Row],[LSTMPP]]*$I$3</f>
        <v>31.993323430981143</v>
      </c>
      <c r="E8">
        <v>26</v>
      </c>
      <c r="F8">
        <f>ABS(TableCRY[[#This Row],[PP]]-TableCRY[[#This Row],[AP]])</f>
        <v>5.9933234309811425</v>
      </c>
    </row>
    <row r="9" spans="1:9" x14ac:dyDescent="0.2">
      <c r="A9" t="s">
        <v>68</v>
      </c>
      <c r="B9">
        <v>26.74418604651164</v>
      </c>
      <c r="C9">
        <v>28.67647058823529</v>
      </c>
      <c r="D9">
        <f>TableCRY[[#This Row],[ARIMAPP]]*$I$2+TableCRY[[#This Row],[LSTMPP]]*$I$3</f>
        <v>27.903519675061581</v>
      </c>
      <c r="E9">
        <v>24</v>
      </c>
      <c r="F9">
        <f>ABS(TableCRY[[#This Row],[PP]]-TableCRY[[#This Row],[AP]])</f>
        <v>3.903519675061581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69</v>
      </c>
      <c r="B2">
        <v>31.548387096774171</v>
      </c>
      <c r="C2">
        <v>30.12096774193548</v>
      </c>
      <c r="D2">
        <f>TableEVE[[#This Row],[ARIMAPP]]*$I$2+TableEVE[[#This Row],[LSTMPP]]*$I$3</f>
        <v>36.084069042352269</v>
      </c>
      <c r="E2">
        <v>44</v>
      </c>
      <c r="F2">
        <f>ABS(TableEVE[[#This Row],[PP]]-TableEVE[[#This Row],[AP]])</f>
        <v>7.9159309576477312</v>
      </c>
      <c r="H2" t="s">
        <v>0</v>
      </c>
      <c r="I2">
        <v>-0.99703640361000001</v>
      </c>
    </row>
    <row r="3" spans="1:9" x14ac:dyDescent="0.2">
      <c r="A3" t="s">
        <v>70</v>
      </c>
      <c r="B3">
        <v>30.169645900085619</v>
      </c>
      <c r="C3">
        <v>29.493243243243231</v>
      </c>
      <c r="D3">
        <f>TableEVE[[#This Row],[ARIMAPP]]*$I$2+TableEVE[[#This Row],[LSTMPP]]*$I$3</f>
        <v>36.05120437430763</v>
      </c>
      <c r="E3">
        <v>40</v>
      </c>
      <c r="F3">
        <f>ABS(TableEVE[[#This Row],[PP]]-TableEVE[[#This Row],[AP]])</f>
        <v>3.9487956256923695</v>
      </c>
      <c r="H3" t="s">
        <v>1</v>
      </c>
      <c r="I3">
        <v>2.2422572883999998</v>
      </c>
    </row>
    <row r="4" spans="1:9" x14ac:dyDescent="0.2">
      <c r="A4" t="s">
        <v>71</v>
      </c>
      <c r="B4">
        <v>34.673913043478272</v>
      </c>
      <c r="C4">
        <v>36.648116137954602</v>
      </c>
      <c r="D4">
        <f>TableEVE[[#This Row],[ARIMAPP]]*$I$2+TableEVE[[#This Row],[LSTMPP]]*$I$3</f>
        <v>47.60335195650292</v>
      </c>
      <c r="E4">
        <v>56</v>
      </c>
      <c r="F4">
        <f>ABS(TableEVE[[#This Row],[PP]]-TableEVE[[#This Row],[AP]])</f>
        <v>8.3966480434970805</v>
      </c>
    </row>
    <row r="5" spans="1:9" x14ac:dyDescent="0.2">
      <c r="A5" t="s">
        <v>72</v>
      </c>
      <c r="B5">
        <v>34.547199515429128</v>
      </c>
      <c r="C5">
        <v>32.767857142857153</v>
      </c>
      <c r="D5">
        <f>TableEVE[[#This Row],[ARIMAPP]]*$I$2+TableEVE[[#This Row],[LSTMPP]]*$I$3</f>
        <v>39.029150944160854</v>
      </c>
      <c r="E5">
        <v>21</v>
      </c>
      <c r="F5">
        <f>ABS(TableEVE[[#This Row],[PP]]-TableEVE[[#This Row],[AP]])</f>
        <v>18.029150944160854</v>
      </c>
      <c r="H5" t="s">
        <v>2</v>
      </c>
      <c r="I5">
        <f>SUM(ABS(TableEVE[[#This Row],[PP]]-TableEVE[[#This Row],[AP]]))</f>
        <v>18.029150944160854</v>
      </c>
    </row>
    <row r="6" spans="1:9" x14ac:dyDescent="0.2">
      <c r="A6" t="s">
        <v>73</v>
      </c>
      <c r="B6">
        <v>30.76933889009716</v>
      </c>
      <c r="C6">
        <v>29.32835820895523</v>
      </c>
      <c r="D6">
        <f>TableEVE[[#This Row],[ARIMAPP]]*$I$2+TableEVE[[#This Row],[LSTMPP]]*$I$3</f>
        <v>35.083573962396045</v>
      </c>
      <c r="E6">
        <v>45</v>
      </c>
      <c r="F6">
        <f>ABS(TableEVE[[#This Row],[PP]]-TableEVE[[#This Row],[AP]])</f>
        <v>9.916426037603955</v>
      </c>
    </row>
    <row r="7" spans="1:9" x14ac:dyDescent="0.2">
      <c r="A7" t="s">
        <v>74</v>
      </c>
      <c r="B7">
        <v>24.218077482543681</v>
      </c>
      <c r="C7">
        <v>21.95652173913043</v>
      </c>
      <c r="D7">
        <f>TableEVE[[#This Row],[ARIMAPP]]*$I$2+TableEVE[[#This Row],[LSTMPP]]*$I$3</f>
        <v>25.085866021934574</v>
      </c>
      <c r="E7">
        <v>23</v>
      </c>
      <c r="F7">
        <f>ABS(TableEVE[[#This Row],[PP]]-TableEVE[[#This Row],[AP]])</f>
        <v>2.0858660219345744</v>
      </c>
      <c r="H7" t="s">
        <v>3</v>
      </c>
      <c r="I7">
        <f>AVERAGE(TableEVE[DIFF])/10</f>
        <v>0.93654280771354814</v>
      </c>
    </row>
    <row r="8" spans="1:9" x14ac:dyDescent="0.2">
      <c r="A8" t="s">
        <v>75</v>
      </c>
      <c r="B8">
        <v>20.526315789473699</v>
      </c>
      <c r="C8">
        <v>21.333333333333329</v>
      </c>
      <c r="D8">
        <f>TableEVE[[#This Row],[ARIMAPP]]*$I$2+TableEVE[[#This Row],[LSTMPP]]*$I$3</f>
        <v>27.369338078433305</v>
      </c>
      <c r="E8">
        <v>35</v>
      </c>
      <c r="F8">
        <f>ABS(TableEVE[[#This Row],[PP]]-TableEVE[[#This Row],[AP]])</f>
        <v>7.6306619215666949</v>
      </c>
    </row>
    <row r="9" spans="1:9" x14ac:dyDescent="0.2">
      <c r="A9" t="s">
        <v>76</v>
      </c>
      <c r="B9">
        <v>40.093457943925209</v>
      </c>
      <c r="C9">
        <v>38.400476925976847</v>
      </c>
      <c r="D9">
        <f>TableEVE[[#This Row],[ARIMAPP]]*$I$2+TableEVE[[#This Row],[LSTMPP]]*$I$3</f>
        <v>46.129112148607625</v>
      </c>
      <c r="E9">
        <v>31</v>
      </c>
      <c r="F9">
        <f>ABS(TableEVE[[#This Row],[PP]]-TableEVE[[#This Row],[AP]])</f>
        <v>15.129112148607625</v>
      </c>
    </row>
    <row r="10" spans="1:9" x14ac:dyDescent="0.2">
      <c r="A10" t="s">
        <v>77</v>
      </c>
      <c r="B10">
        <v>29.754255429983591</v>
      </c>
      <c r="C10">
        <v>27.5</v>
      </c>
      <c r="D10">
        <f>TableEVE[[#This Row],[ARIMAPP]]*$I$2+TableEVE[[#This Row],[LSTMPP]]*$I$3</f>
        <v>31.995999604995845</v>
      </c>
      <c r="E10">
        <v>44</v>
      </c>
      <c r="F10">
        <f>ABS(TableEVE[[#This Row],[PP]]-TableEVE[[#This Row],[AP]])</f>
        <v>12.004000395004155</v>
      </c>
    </row>
    <row r="11" spans="1:9" x14ac:dyDescent="0.2">
      <c r="A11" t="s">
        <v>78</v>
      </c>
      <c r="B11">
        <v>23.14387665722051</v>
      </c>
      <c r="C11">
        <v>26.612903225806441</v>
      </c>
      <c r="D11">
        <f>TableEVE[[#This Row],[ARIMAPP]]*$I$2+TableEVE[[#This Row],[LSTMPP]]*$I$3</f>
        <v>36.597688675639795</v>
      </c>
      <c r="E11">
        <v>28</v>
      </c>
      <c r="F11">
        <f>ABS(TableEVE[[#This Row],[PP]]-TableEVE[[#This Row],[AP]])</f>
        <v>8.5976886756397946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2024-02-02T20:02:40Z</dcterms:created>
  <dcterms:modified xsi:type="dcterms:W3CDTF">2024-02-02T20:19:09Z</dcterms:modified>
</cp:coreProperties>
</file>