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1918E67E-4B60-8541-8F18-A97955153200}" xr6:coauthVersionLast="47" xr6:coauthVersionMax="47" xr10:uidLastSave="{00000000-0000-0000-0000-000000000000}"/>
  <bookViews>
    <workbookView xWindow="240" yWindow="760" windowWidth="22980" windowHeight="20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" i="1" l="1"/>
  <c r="AH63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76" i="1"/>
  <c r="AH76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41" i="1"/>
  <c r="AH41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28" i="1"/>
  <c r="AH28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52" i="1"/>
  <c r="AH52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51" i="1"/>
  <c r="AH51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138" i="1"/>
  <c r="AH138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129" i="1"/>
  <c r="AH129" i="1"/>
  <c r="AI155" i="1"/>
  <c r="AH155" i="1"/>
  <c r="AI88" i="1"/>
  <c r="AH88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8" i="1"/>
  <c r="AH8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5" i="1"/>
  <c r="AH25" i="1"/>
  <c r="AO27" i="1"/>
  <c r="AI27" i="1"/>
  <c r="AH27" i="1"/>
  <c r="AO26" i="1"/>
  <c r="AI26" i="1"/>
  <c r="AH26" i="1"/>
  <c r="AO25" i="1"/>
  <c r="AI53" i="1"/>
  <c r="AH53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9" i="1"/>
  <c r="AH9" i="1"/>
  <c r="AO8" i="1"/>
  <c r="AI101" i="1"/>
  <c r="AH101" i="1"/>
  <c r="AO7" i="1"/>
  <c r="AI7" i="1"/>
  <c r="AH7" i="1"/>
  <c r="AO6" i="1"/>
  <c r="AI6" i="1"/>
  <c r="AH6" i="1"/>
  <c r="AI5" i="1"/>
  <c r="AH5" i="1"/>
  <c r="AO4" i="1"/>
  <c r="AI4" i="1"/>
  <c r="AH4" i="1"/>
  <c r="AO2" i="1" s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<sst xmlns="http://schemas.openxmlformats.org/spreadsheetml/2006/main" count="839" uniqueCount="367">
  <si>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</si>
  <si>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</si>
  <si>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</si>
  <si>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</si>
  <si>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</si>
  <si>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</si>
  <si>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</si>
  <si>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</si>
  <si>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</si>
  <si>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</si>
  <si>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</si>
  <si>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</si>
  <si>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</si>
  <si>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</si>
  <si>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</si>
  <si>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</si>
  <si>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</si>
  <si>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</si>
  <si>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</si>
  <si>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</si>
  <si>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</si>
  <si>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</si>
  <si>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</si>
  <si>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</si>
  <si>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</si>
  <si>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</si>
  <si>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</si>
  <si>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</si>
  <si>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</si>
  <si>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</si>
  <si>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</si>
  <si>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</si>
  <si>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</si>
  <si>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</si>
  <si>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</si>
  <si>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</si>
  <si>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</si>
  <si>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</si>
  <si>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</si>
  <si>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</si>
  <si>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</si>
  <si>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</si>
  <si>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</si>
  <si>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</si>
  <si>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</si>
  <si>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</si>
  <si>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</si>
  <si>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</si>
  <si>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</si>
  <si>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</si>
  <si>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</si>
  <si>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</si>
  <si>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</si>
  <si>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</si>
  <si>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</si>
  <si>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</si>
  <si>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</si>
  <si>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</si>
  <si>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</si>
  <si>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</si>
  <si>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</si>
  <si>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</si>
  <si>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</si>
  <si>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</si>
  <si>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</si>
  <si>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</si>
  <si>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</si>
  <si>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</si>
  <si>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</si>
  <si>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</si>
  <si>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</si>
  <si>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</si>
  <si>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</si>
  <si>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</si>
  <si>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</si>
  <si>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</si>
  <si>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</si>
  <si>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</si>
  <si>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</si>
  <si>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</si>
  <si>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</si>
  <si>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</si>
  <si>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</si>
  <si>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</si>
  <si>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</si>
  <si>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</si>
  <si>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</si>
  <si>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</si>
  <si>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</si>
  <si>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</si>
  <si>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</si>
  <si>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</si>
  <si>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</si>
  <si>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</si>
  <si>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</si>
  <si>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</si>
  <si>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</si>
  <si>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</si>
  <si>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</si>
  <si>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</si>
  <si>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</si>
  <si>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</si>
  <si>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</si>
  <si>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</si>
  <si>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</si>
  <si>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</si>
  <si>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</si>
  <si>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Mathias</t>
  </si>
  <si>
    <t>Jensen</t>
  </si>
  <si>
    <t>Bryan</t>
  </si>
  <si>
    <t>Mbeumo</t>
  </si>
  <si>
    <t>Yoane</t>
  </si>
  <si>
    <t>Wissa</t>
  </si>
  <si>
    <t>Neal</t>
  </si>
  <si>
    <t>Maupay</t>
  </si>
  <si>
    <t>Simon</t>
  </si>
  <si>
    <t>Adingra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</si>
  <si>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</si>
  <si>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</si>
  <si>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</si>
  <si>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</si>
  <si>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</si>
  <si>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</si>
  <si>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</si>
  <si>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</si>
  <si>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</si>
  <si>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</si>
  <si>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</si>
  <si>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Danny</t>
  </si>
  <si>
    <t>Welbeck</t>
  </si>
  <si>
    <t>Josh</t>
  </si>
  <si>
    <t>Brownhill</t>
  </si>
  <si>
    <t>Sander</t>
  </si>
  <si>
    <t>Berge</t>
  </si>
  <si>
    <t>Zeki</t>
  </si>
  <si>
    <t>Amdouni</t>
  </si>
  <si>
    <t>James</t>
  </si>
  <si>
    <t>Trafford</t>
  </si>
  <si>
    <t>Robert</t>
  </si>
  <si>
    <t>Sánchez</t>
  </si>
  <si>
    <t>Sanchez</t>
  </si>
  <si>
    <t>Levi</t>
  </si>
  <si>
    <t>Colwill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</si>
  <si>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</si>
  <si>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</si>
  <si>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</si>
  <si>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</si>
  <si>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</si>
  <si>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</si>
  <si>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</si>
  <si>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</si>
  <si>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</si>
  <si>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</si>
  <si>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</si>
  <si>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</si>
  <si>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Jordan</t>
  </si>
  <si>
    <t>Ayew</t>
  </si>
  <si>
    <t>J.Ayew</t>
  </si>
  <si>
    <t>Odsonne</t>
  </si>
  <si>
    <t>Edouard</t>
  </si>
  <si>
    <t>Eberechi</t>
  </si>
  <si>
    <t>Eze</t>
  </si>
  <si>
    <t>Marc</t>
  </si>
  <si>
    <t>Guéhi</t>
  </si>
  <si>
    <t>Jeffrey</t>
  </si>
  <si>
    <t>Schlupp</t>
  </si>
  <si>
    <t>Jarrad</t>
  </si>
  <si>
    <t>Branthwaite</t>
  </si>
  <si>
    <t>Abdoulaye</t>
  </si>
  <si>
    <t>Doucouré</t>
  </si>
  <si>
    <t>A.Doucoure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</si>
  <si>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</si>
  <si>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</si>
  <si>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</si>
  <si>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</si>
  <si>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</si>
  <si>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</si>
  <si>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</si>
  <si>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</si>
  <si>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</si>
  <si>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</si>
  <si>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</si>
  <si>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</si>
  <si>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</si>
  <si>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Tom</t>
  </si>
  <si>
    <t>Cairney</t>
  </si>
  <si>
    <t>Bobby</t>
  </si>
  <si>
    <t>De Cordova-Reid</t>
  </si>
  <si>
    <t>Bernd</t>
  </si>
  <si>
    <t>Leno</t>
  </si>
  <si>
    <t>Antonee</t>
  </si>
  <si>
    <t>Robinson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</si>
  <si>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</si>
  <si>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</si>
  <si>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</si>
  <si>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</si>
  <si>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</si>
  <si>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</si>
  <si>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</si>
  <si>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</si>
  <si>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</si>
  <si>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</si>
  <si>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</si>
  <si>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</si>
  <si>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</si>
  <si>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</si>
  <si>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</si>
  <si>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</si>
  <si>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</si>
  <si>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</si>
  <si>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</si>
  <si>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</si>
  <si>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</si>
  <si>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</si>
  <si>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</si>
  <si>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</si>
  <si>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</si>
  <si>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</si>
  <si>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</si>
  <si>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</si>
  <si>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</si>
  <si>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</si>
  <si>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</si>
  <si>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</si>
  <si>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</si>
  <si>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</si>
  <si>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</si>
  <si>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</si>
  <si>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</si>
  <si>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</si>
  <si>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</si>
  <si>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</si>
  <si>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</si>
  <si>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</si>
  <si>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</si>
  <si>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</si>
  <si>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</si>
  <si>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</si>
  <si>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</si>
  <si>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</si>
  <si>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</si>
  <si>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</si>
  <si>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</si>
  <si>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</si>
  <si>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</si>
  <si>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</si>
  <si>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</si>
  <si>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</si>
  <si>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</si>
  <si>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</si>
  <si>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</si>
  <si>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</si>
  <si>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</si>
  <si>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</si>
  <si>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</si>
  <si>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</si>
  <si>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</si>
  <si>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</si>
  <si>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</si>
  <si>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</si>
  <si>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</si>
  <si>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</si>
  <si>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</si>
  <si>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</si>
  <si>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Alejandro</t>
  </si>
  <si>
    <t>Garnacho</t>
  </si>
  <si>
    <t>Anthony</t>
  </si>
  <si>
    <t>Martial</t>
  </si>
  <si>
    <t>Scott</t>
  </si>
  <si>
    <t>McTominay</t>
  </si>
  <si>
    <t>Rashford</t>
  </si>
  <si>
    <t>Guimarães Rodriguez Moura</t>
  </si>
  <si>
    <t>Bruno G.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</si>
  <si>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</si>
  <si>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</si>
  <si>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</si>
  <si>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</si>
  <si>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</si>
  <si>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</si>
  <si>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</si>
  <si>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</si>
  <si>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</si>
  <si>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</si>
  <si>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</si>
  <si>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</si>
  <si>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</si>
  <si>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</si>
  <si>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</si>
  <si>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Wilson</t>
  </si>
  <si>
    <t>Matt</t>
  </si>
  <si>
    <t>Turner</t>
  </si>
  <si>
    <t>Elanga</t>
  </si>
  <si>
    <t>Morgan</t>
  </si>
  <si>
    <t>Gibbs-White</t>
  </si>
  <si>
    <t>Harry</t>
  </si>
  <si>
    <t>Toffolo</t>
  </si>
  <si>
    <t>Chris</t>
  </si>
  <si>
    <t>Wood</t>
  </si>
  <si>
    <t>Murillo</t>
  </si>
  <si>
    <t>Santiago Costa dos Santos</t>
  </si>
  <si>
    <t>Cameron</t>
  </si>
  <si>
    <t>Archer</t>
  </si>
  <si>
    <t>McAtee</t>
  </si>
  <si>
    <t>Gustavo</t>
  </si>
  <si>
    <t>Hamer</t>
  </si>
  <si>
    <t>Brennan</t>
  </si>
  <si>
    <t>Johnson</t>
  </si>
  <si>
    <t>Dejan</t>
  </si>
  <si>
    <t>Kulusevski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</si>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</sst>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5" totalsRowShown="0">
  <autoFilter ref="A1:AL155" xr:uid="{00000000-0009-0000-0100-000001000000}">
    <filterColumn colId="37">
      <filters>
        <filter val="1"/>
      </filters>
    </filterColumn>
  </autoFilter>
  <sortState xmlns:xlrd2="http://schemas.microsoft.com/office/spreadsheetml/2017/richdata2" ref="A8:AL155">
    <sortCondition descending="1" ref="AI1:AI155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5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4</v>
      </c>
      <c r="AF2">
        <v>16.924899546623141</v>
      </c>
      <c r="AG2">
        <v>17.042682271772101</v>
      </c>
      <c r="AH2">
        <f>16.6632089713689*1</f>
        <v>16.663208971368899</v>
      </c>
      <c r="AI2">
        <f>2.83488581664414*1</f>
        <v>2.8348858166441402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352.30160691906008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15.841121495327091</v>
      </c>
      <c r="AG3">
        <v>16.533417414857979</v>
      </c>
      <c r="AH3">
        <f>16.047512095925*1</f>
        <v>16.047512095925001</v>
      </c>
      <c r="AI3">
        <f>3.20950241918563*1</f>
        <v>3.2095024191856298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6</v>
      </c>
      <c r="AF4">
        <v>20.35031847133757</v>
      </c>
      <c r="AG4">
        <v>20.306605819973989</v>
      </c>
      <c r="AH4">
        <f>19.8919576119042*1</f>
        <v>19.8919576119042</v>
      </c>
      <c r="AI4">
        <f>3.9783825875409*1</f>
        <v>3.9783825875408998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99.899999999999963</v>
      </c>
      <c r="AP4">
        <v>102.2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23.981481481481481</v>
      </c>
      <c r="AG5">
        <v>24.097343258373169</v>
      </c>
      <c r="AH5">
        <f>23.5711154791959*1</f>
        <v>23.5711154791959</v>
      </c>
      <c r="AI5">
        <f>4.7142230975496*1</f>
        <v>4.7142230975496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8.5</v>
      </c>
      <c r="AE6">
        <v>12</v>
      </c>
      <c r="AF6">
        <v>22.85</v>
      </c>
      <c r="AG6">
        <v>22.830016447197561</v>
      </c>
      <c r="AH6">
        <f>22.3579003444569*1</f>
        <v>22.357900344456901</v>
      </c>
      <c r="AI6">
        <f>4.47158006889139*1</f>
        <v>4.4715800688913898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9.1</v>
      </c>
      <c r="AE7">
        <v>17</v>
      </c>
      <c r="AF7">
        <v>26.427733428552699</v>
      </c>
      <c r="AG7">
        <v>17.820512820512821</v>
      </c>
      <c r="AH7">
        <f>19.2024922076579*1</f>
        <v>19.202492207657901</v>
      </c>
      <c r="AI7">
        <f>3.84049844153159*1</f>
        <v>3.8404984415315901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126</v>
      </c>
      <c r="B8" t="s">
        <v>127</v>
      </c>
      <c r="C8" t="s">
        <v>127</v>
      </c>
      <c r="D8" t="s">
        <v>3</v>
      </c>
      <c r="E8">
        <v>1</v>
      </c>
      <c r="F8">
        <v>0</v>
      </c>
      <c r="G8">
        <v>0</v>
      </c>
      <c r="H8">
        <v>0</v>
      </c>
      <c r="I8" t="s">
        <v>15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4.2</v>
      </c>
      <c r="AE8">
        <v>180</v>
      </c>
      <c r="AF8">
        <v>-0.72773079378013661</v>
      </c>
      <c r="AG8">
        <v>15.97222222222222</v>
      </c>
      <c r="AH8">
        <f>43.2209762606649*1</f>
        <v>43.220976260664898</v>
      </c>
      <c r="AI8">
        <f>9.50503403562531*1</f>
        <v>9.5050340356253091</v>
      </c>
      <c r="AJ8">
        <v>1</v>
      </c>
      <c r="AK8">
        <v>0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18.494271115094719</v>
      </c>
      <c r="AG9">
        <v>19.344442933443631</v>
      </c>
      <c r="AH9">
        <f>18.7677389060783*1</f>
        <v>18.7677389060783</v>
      </c>
      <c r="AI9">
        <f>3.66576377459201*1</f>
        <v>3.6657637745920102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5.6</v>
      </c>
      <c r="AE10">
        <v>23</v>
      </c>
      <c r="AF10">
        <v>19.649122807017559</v>
      </c>
      <c r="AG10">
        <v>18.18813135552637</v>
      </c>
      <c r="AH10">
        <f>18.1064338172248*1</f>
        <v>18.106433817224801</v>
      </c>
      <c r="AI10">
        <f>3.62248341004569*1</f>
        <v>3.6224834100456902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5.2</v>
      </c>
      <c r="AE11">
        <v>25</v>
      </c>
      <c r="AF11">
        <v>17.175925925925931</v>
      </c>
      <c r="AG11">
        <v>15.32352941176471</v>
      </c>
      <c r="AH11">
        <f>15.3813284991247*1</f>
        <v>15.381328499124701</v>
      </c>
      <c r="AI11">
        <f>3.07626569982495*1</f>
        <v>3.0762656998249498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64</v>
      </c>
      <c r="B12" t="s">
        <v>65</v>
      </c>
      <c r="C12" t="s">
        <v>66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4.9000000000000004</v>
      </c>
      <c r="AE12">
        <v>26</v>
      </c>
      <c r="AF12">
        <v>20.584415584415581</v>
      </c>
      <c r="AG12">
        <v>17.779810007027621</v>
      </c>
      <c r="AH12">
        <f>17.9803840107483*1</f>
        <v>17.980384010748299</v>
      </c>
      <c r="AI12">
        <f>3.59010329652707*1</f>
        <v>3.5901032965270701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27</v>
      </c>
      <c r="AF13">
        <v>14.382425190159481</v>
      </c>
      <c r="AG13">
        <v>13.983870967741939</v>
      </c>
      <c r="AH13">
        <f>13.7733993637652*1</f>
        <v>13.773399363765201</v>
      </c>
      <c r="AI13">
        <f>2.76482613147028*1</f>
        <v>2.7648261314702798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5.7</v>
      </c>
      <c r="AE14">
        <v>37</v>
      </c>
      <c r="AF14">
        <v>15.499999999999989</v>
      </c>
      <c r="AG14">
        <v>14.40909090909091</v>
      </c>
      <c r="AH14">
        <f>14.1910846049768*1</f>
        <v>14.191084604976799</v>
      </c>
      <c r="AI14">
        <f>2.83821692099536*1</f>
        <v>2.83821692099536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45</v>
      </c>
      <c r="AF15">
        <v>14.5003112848699</v>
      </c>
      <c r="AG15">
        <v>17.120974662643949</v>
      </c>
      <c r="AH15">
        <f>15.3831845812284*1</f>
        <v>15.3831845812284</v>
      </c>
      <c r="AI15">
        <f>3.26409515887708*1</f>
        <v>3.2640951588770801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5.6</v>
      </c>
      <c r="AE16">
        <v>46</v>
      </c>
      <c r="AF16">
        <v>23.235737191822711</v>
      </c>
      <c r="AG16">
        <v>13.688524590163929</v>
      </c>
      <c r="AH16">
        <f>16.6945474102108*1</f>
        <v>16.694547410210799</v>
      </c>
      <c r="AI16">
        <f>3.49176201345062*1</f>
        <v>3.4917620134506202</v>
      </c>
      <c r="AJ16">
        <v>1</v>
      </c>
      <c r="AK16">
        <v>0</v>
      </c>
      <c r="AL16">
        <v>0</v>
      </c>
      <c r="AN16" t="s">
        <v>10</v>
      </c>
      <c r="AO16">
        <f>AO2-AO14*5</f>
        <v>352.30160691906008</v>
      </c>
    </row>
    <row r="17" spans="1:42" hidden="1" x14ac:dyDescent="0.2">
      <c r="A17" t="s">
        <v>75</v>
      </c>
      <c r="B17" t="s">
        <v>76</v>
      </c>
      <c r="C17" t="s">
        <v>77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52</v>
      </c>
      <c r="AF17">
        <v>17.5</v>
      </c>
      <c r="AG17">
        <v>15.45454545454545</v>
      </c>
      <c r="AH17">
        <f>15.5512116539659*1</f>
        <v>15.5512116539659</v>
      </c>
      <c r="AI17">
        <f>3.11024233079318*1</f>
        <v>3.1102423307931799</v>
      </c>
      <c r="AJ17">
        <v>1</v>
      </c>
      <c r="AK17">
        <v>0</v>
      </c>
      <c r="AL17">
        <v>0</v>
      </c>
    </row>
    <row r="18" spans="1:42" hidden="1" x14ac:dyDescent="0.2">
      <c r="A18" t="s">
        <v>78</v>
      </c>
      <c r="B18" t="s">
        <v>79</v>
      </c>
      <c r="C18" t="s">
        <v>79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53</v>
      </c>
      <c r="AF18">
        <v>15.23489932885906</v>
      </c>
      <c r="AG18">
        <v>14.872881355932201</v>
      </c>
      <c r="AH18">
        <f>14.359421278882*1</f>
        <v>14.359421278881999</v>
      </c>
      <c r="AI18">
        <f>2.87188425577641*1</f>
        <v>2.8718842557764099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1</v>
      </c>
      <c r="AP18">
        <v>3</v>
      </c>
    </row>
    <row r="19" spans="1:42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60</v>
      </c>
      <c r="AF19">
        <v>11.016406032267991</v>
      </c>
      <c r="AG19">
        <v>17.464017519642191</v>
      </c>
      <c r="AH19">
        <f>14.2664339981553*1</f>
        <v>14.2664339981553</v>
      </c>
      <c r="AI19">
        <f>2.85328674701014*1</f>
        <v>2.8532867470101402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8.8000000000000007</v>
      </c>
      <c r="AE20">
        <v>62</v>
      </c>
      <c r="AF20">
        <v>22.760000000000019</v>
      </c>
      <c r="AG20">
        <v>21.17994919541162</v>
      </c>
      <c r="AH20">
        <f>20.8506374372284*1</f>
        <v>20.8506374372284</v>
      </c>
      <c r="AI20">
        <f>4.17082429134885*1</f>
        <v>4.1708242913488496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2</v>
      </c>
      <c r="AP20">
        <v>3</v>
      </c>
    </row>
    <row r="21" spans="1:42" hidden="1" x14ac:dyDescent="0.2">
      <c r="A21" t="s">
        <v>84</v>
      </c>
      <c r="B21" t="s">
        <v>85</v>
      </c>
      <c r="C21" t="s">
        <v>84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4.5999999999999996</v>
      </c>
      <c r="AE21">
        <v>64</v>
      </c>
      <c r="AF21">
        <v>18.0224182540443</v>
      </c>
      <c r="AG21">
        <v>16.333638226437259</v>
      </c>
      <c r="AH21">
        <f>16.2572206135281*1</f>
        <v>16.257220613528101</v>
      </c>
      <c r="AI21">
        <f>3.3770064419762*1</f>
        <v>3.3770064419761998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6.5</v>
      </c>
      <c r="AE22">
        <v>65</v>
      </c>
      <c r="AF22">
        <v>20.89348035013299</v>
      </c>
      <c r="AG22">
        <v>20.957356885599111</v>
      </c>
      <c r="AH22">
        <f>20.0171388836966*1</f>
        <v>20.0171388836966</v>
      </c>
      <c r="AI22">
        <f>4.20356709626462*1</f>
        <v>4.2035670962646199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5.2</v>
      </c>
      <c r="AE23">
        <v>77</v>
      </c>
      <c r="AF23">
        <v>12.917374017192101</v>
      </c>
      <c r="AG23">
        <v>14.010989010989009</v>
      </c>
      <c r="AH23">
        <f>17.8879536670478*1</f>
        <v>17.8879536670478</v>
      </c>
      <c r="AI23">
        <f>3.10492799020225*1</f>
        <v>3.10492799020225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86</v>
      </c>
      <c r="AF24">
        <v>10.65126898439939</v>
      </c>
      <c r="AG24">
        <v>13.95833333333333</v>
      </c>
      <c r="AH24">
        <f>14.2534659987283*1</f>
        <v>14.2534659987283</v>
      </c>
      <c r="AI24">
        <f>3.06286711110374*1</f>
        <v>3.0628671111037402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3</v>
      </c>
      <c r="AP24">
        <v>3</v>
      </c>
    </row>
    <row r="25" spans="1:42" x14ac:dyDescent="0.2">
      <c r="A25" t="s">
        <v>99</v>
      </c>
      <c r="B25" t="s">
        <v>100</v>
      </c>
      <c r="C25" t="s">
        <v>100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7.1</v>
      </c>
      <c r="AE25">
        <v>99</v>
      </c>
      <c r="AF25">
        <v>27.264601664582919</v>
      </c>
      <c r="AG25">
        <v>14.2</v>
      </c>
      <c r="AH25">
        <f>40.928516654437*1</f>
        <v>40.928516654436997</v>
      </c>
      <c r="AI25">
        <f>9.01872605087435*1</f>
        <v>9.0187260508743492</v>
      </c>
      <c r="AJ25">
        <v>1</v>
      </c>
      <c r="AK25">
        <v>1</v>
      </c>
      <c r="AL25">
        <v>1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96</v>
      </c>
      <c r="AF26">
        <v>12.22222222222222</v>
      </c>
      <c r="AG26">
        <v>13.75</v>
      </c>
      <c r="AH26">
        <f>16.8235636015944*1</f>
        <v>16.823563601594401</v>
      </c>
      <c r="AI26">
        <f>3.36471272031888*1</f>
        <v>3.36471272031888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97</v>
      </c>
      <c r="AF27">
        <v>14.62294870760577</v>
      </c>
      <c r="AG27">
        <v>12.56756756756757</v>
      </c>
      <c r="AH27">
        <f>20.9294981650734*1</f>
        <v>20.929498165073401</v>
      </c>
      <c r="AI27">
        <f>6.89458681530646*1</f>
        <v>6.89458681530646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253</v>
      </c>
      <c r="B28" t="s">
        <v>254</v>
      </c>
      <c r="C28" t="s">
        <v>254</v>
      </c>
      <c r="D28" t="s">
        <v>6</v>
      </c>
      <c r="E28">
        <v>0</v>
      </c>
      <c r="F28">
        <v>0</v>
      </c>
      <c r="G28">
        <v>0</v>
      </c>
      <c r="H28">
        <v>1</v>
      </c>
      <c r="I28" t="s">
        <v>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14</v>
      </c>
      <c r="AE28">
        <v>495</v>
      </c>
      <c r="AF28">
        <v>47.234042553191472</v>
      </c>
      <c r="AG28">
        <v>42.500092891296568</v>
      </c>
      <c r="AH28">
        <f>43.7987899223591*1</f>
        <v>43.798789922359099</v>
      </c>
      <c r="AI28">
        <f>7.28726345648813*1</f>
        <v>7.2872634564881302</v>
      </c>
      <c r="AJ28">
        <v>1</v>
      </c>
      <c r="AK28">
        <v>1</v>
      </c>
      <c r="AL28">
        <v>1</v>
      </c>
      <c r="AN28" t="s">
        <v>21</v>
      </c>
      <c r="AO28">
        <f>SUMPRODUCT(Table1[Selected],Table1[LIV])</f>
        <v>2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5.4</v>
      </c>
      <c r="AE29">
        <v>100</v>
      </c>
      <c r="AF29">
        <v>19.42916773379714</v>
      </c>
      <c r="AG29">
        <v>19.482020812874499</v>
      </c>
      <c r="AH29">
        <f>27.2340321342191*1</f>
        <v>27.234032134219099</v>
      </c>
      <c r="AI29">
        <f>6.47357783289739*1</f>
        <v>6.4735778328973899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103</v>
      </c>
      <c r="AF30">
        <v>9.807692307692303</v>
      </c>
      <c r="AG30">
        <v>11.375</v>
      </c>
      <c r="AH30">
        <f>13.4295827570342*1</f>
        <v>13.429582757034201</v>
      </c>
      <c r="AI30">
        <f>2.68591655140684*1</f>
        <v>2.6859165514068399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1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104</v>
      </c>
      <c r="AF31">
        <v>10</v>
      </c>
      <c r="AG31">
        <v>10.625</v>
      </c>
      <c r="AH31">
        <f>13.893717070025*1</f>
        <v>13.893717070025</v>
      </c>
      <c r="AI31">
        <f>2.778743414005*1</f>
        <v>2.778743414005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5.4</v>
      </c>
      <c r="AE32">
        <v>130</v>
      </c>
      <c r="AF32">
        <v>21.5587594922889</v>
      </c>
      <c r="AG32">
        <v>16.666666666666671</v>
      </c>
      <c r="AH32">
        <f>20.350778538645*1</f>
        <v>20.350778538644999</v>
      </c>
      <c r="AI32">
        <f>3.52849443270366*1</f>
        <v>3.5284944327036598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1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6.8</v>
      </c>
      <c r="AE33">
        <v>132</v>
      </c>
      <c r="AF33">
        <v>24.211764705882349</v>
      </c>
      <c r="AG33">
        <v>18.31343283582089</v>
      </c>
      <c r="AH33">
        <f>22.575288964954*1</f>
        <v>22.575288964954002</v>
      </c>
      <c r="AI33">
        <f>3.76254816082566*1</f>
        <v>3.7625481608256601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5.6</v>
      </c>
      <c r="AE34">
        <v>142</v>
      </c>
      <c r="AF34">
        <v>17.781290543645881</v>
      </c>
      <c r="AG34">
        <v>17.76923076923077</v>
      </c>
      <c r="AH34">
        <f>19.5699790255028*1</f>
        <v>19.5699790255028</v>
      </c>
      <c r="AI34">
        <f>2.95247380344066*1</f>
        <v>2.9524738034406601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4.9000000000000004</v>
      </c>
      <c r="AE35">
        <v>145</v>
      </c>
      <c r="AF35">
        <v>15.14726461529639</v>
      </c>
      <c r="AG35">
        <v>17.973451327433629</v>
      </c>
      <c r="AH35">
        <f>18.6346596256088*1</f>
        <v>18.634659625608801</v>
      </c>
      <c r="AI35">
        <f>3.10577660426813*1</f>
        <v>3.1057766042681298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1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116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156</v>
      </c>
      <c r="AF36">
        <v>16.47058823529412</v>
      </c>
      <c r="AG36">
        <v>15.41666666666667</v>
      </c>
      <c r="AH36">
        <f>11.5016796980171*1</f>
        <v>11.501679698017099</v>
      </c>
      <c r="AI36">
        <f>2.30033593960343*1</f>
        <v>2.3003359396034302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1</v>
      </c>
      <c r="AP36">
        <v>3</v>
      </c>
    </row>
    <row r="37" spans="1:42" hidden="1" x14ac:dyDescent="0.2">
      <c r="A37" t="s">
        <v>117</v>
      </c>
      <c r="B37" t="s">
        <v>118</v>
      </c>
      <c r="C37" t="s">
        <v>118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166</v>
      </c>
      <c r="AF37">
        <v>9.2898439650304798</v>
      </c>
      <c r="AG37">
        <v>12.549019607843141</v>
      </c>
      <c r="AH37">
        <f>16.6062333833821*1</f>
        <v>16.606233383382101</v>
      </c>
      <c r="AI37">
        <f>2.26476326528484*1</f>
        <v>2.2647632652848402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1</v>
      </c>
      <c r="AP37">
        <v>3</v>
      </c>
    </row>
    <row r="38" spans="1:42" hidden="1" x14ac:dyDescent="0.2">
      <c r="A38" t="s">
        <v>119</v>
      </c>
      <c r="B38" t="s">
        <v>120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6.5</v>
      </c>
      <c r="AE38">
        <v>167</v>
      </c>
      <c r="AF38">
        <v>17.545454545454561</v>
      </c>
      <c r="AG38">
        <v>15.877862595419851</v>
      </c>
      <c r="AH38">
        <f>10.8214767371522*1</f>
        <v>10.821476737152199</v>
      </c>
      <c r="AI38">
        <f>2.16429534743044*1</f>
        <v>2.1642953474304401</v>
      </c>
      <c r="AJ38">
        <v>1</v>
      </c>
      <c r="AK38">
        <v>0</v>
      </c>
      <c r="AL38">
        <v>0</v>
      </c>
    </row>
    <row r="39" spans="1:42" hidden="1" x14ac:dyDescent="0.2">
      <c r="A39" t="s">
        <v>122</v>
      </c>
      <c r="B39" t="s">
        <v>123</v>
      </c>
      <c r="C39" t="s">
        <v>122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5.5</v>
      </c>
      <c r="AE39">
        <v>168</v>
      </c>
      <c r="AF39">
        <v>25.63960056396747</v>
      </c>
      <c r="AG39">
        <v>12.875</v>
      </c>
      <c r="AH39">
        <f>-11.3052408605923*1</f>
        <v>-11.305240860592299</v>
      </c>
      <c r="AI39">
        <f>0.745017285532404*1</f>
        <v>0.74501728553240398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6.4</v>
      </c>
      <c r="AE40">
        <v>176</v>
      </c>
      <c r="AF40">
        <v>8.3245951047101592</v>
      </c>
      <c r="AG40">
        <v>22.136308339263159</v>
      </c>
      <c r="AH40">
        <f>0*0</f>
        <v>0</v>
      </c>
      <c r="AI40">
        <f>7.3121963889793*0</f>
        <v>0</v>
      </c>
      <c r="AJ40">
        <v>0</v>
      </c>
      <c r="AK40">
        <v>0</v>
      </c>
      <c r="AL40">
        <v>0</v>
      </c>
    </row>
    <row r="41" spans="1:42" x14ac:dyDescent="0.2">
      <c r="A41" t="s">
        <v>307</v>
      </c>
      <c r="B41" t="s">
        <v>308</v>
      </c>
      <c r="C41" t="s">
        <v>308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28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7.1</v>
      </c>
      <c r="AE41">
        <v>703</v>
      </c>
      <c r="AF41">
        <v>14.13377601039619</v>
      </c>
      <c r="AG41">
        <v>16.139064148923321</v>
      </c>
      <c r="AH41">
        <f>20.9401599298551*1</f>
        <v>20.940159929855099</v>
      </c>
      <c r="AI41">
        <f>5.23719503608366*1</f>
        <v>5.2371950360836603</v>
      </c>
      <c r="AJ41">
        <v>1</v>
      </c>
      <c r="AK41">
        <v>1</v>
      </c>
      <c r="AL41">
        <v>1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5.7</v>
      </c>
      <c r="AE42">
        <v>186</v>
      </c>
      <c r="AF42">
        <v>14.86355082699477</v>
      </c>
      <c r="AG42">
        <v>15.17045454545455</v>
      </c>
      <c r="AH42">
        <f>13.6827528576544*1</f>
        <v>13.6827528576544</v>
      </c>
      <c r="AI42">
        <f>2.92897281269566*1</f>
        <v>2.92897281269566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4.7</v>
      </c>
      <c r="AE43">
        <v>204</v>
      </c>
      <c r="AF43">
        <v>11.73842351804687</v>
      </c>
      <c r="AG43">
        <v>13.055555555555561</v>
      </c>
      <c r="AH43">
        <f>13.4883351111693*1</f>
        <v>13.488335111169301</v>
      </c>
      <c r="AI43">
        <f>2.80909243562766*1</f>
        <v>2.8090924356276599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229</v>
      </c>
      <c r="AF44">
        <v>11.35416666666667</v>
      </c>
      <c r="AG44">
        <v>13.04054054054054</v>
      </c>
      <c r="AH44">
        <f>14.4803900835557*1</f>
        <v>14.480390083555699</v>
      </c>
      <c r="AI44">
        <f>2.89607801671114*1</f>
        <v>2.8960780167111402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5.3</v>
      </c>
      <c r="AE45">
        <v>230</v>
      </c>
      <c r="AF45">
        <v>16</v>
      </c>
      <c r="AG45">
        <v>14.24303412768465</v>
      </c>
      <c r="AH45">
        <f>6.03544313540827*1</f>
        <v>6.0354431354082703</v>
      </c>
      <c r="AI45">
        <f>1.26029438241505*1</f>
        <v>1.2602943824150501</v>
      </c>
      <c r="AJ45">
        <v>1</v>
      </c>
      <c r="AK45">
        <v>0</v>
      </c>
      <c r="AL45">
        <v>0</v>
      </c>
    </row>
    <row r="46" spans="1:42" hidden="1" x14ac:dyDescent="0.2">
      <c r="A46" t="s">
        <v>136</v>
      </c>
      <c r="B46" t="s">
        <v>137</v>
      </c>
      <c r="C46" t="s">
        <v>137</v>
      </c>
      <c r="D46" t="s">
        <v>3</v>
      </c>
      <c r="E46">
        <v>1</v>
      </c>
      <c r="F46">
        <v>0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231</v>
      </c>
      <c r="AF46">
        <v>11.66744020471652</v>
      </c>
      <c r="AG46">
        <v>12.538873040325139</v>
      </c>
      <c r="AH46">
        <f>11.8849521898288*1</f>
        <v>11.8849521898288</v>
      </c>
      <c r="AI46">
        <f>2.35384617209138*1</f>
        <v>2.3538461720913801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140</v>
      </c>
      <c r="D47" t="s">
        <v>3</v>
      </c>
      <c r="E47">
        <v>1</v>
      </c>
      <c r="F47">
        <v>0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244</v>
      </c>
      <c r="AF47">
        <v>14.18181818181818</v>
      </c>
      <c r="AG47">
        <v>12.948717948717951</v>
      </c>
      <c r="AH47">
        <f>11.1769076464029*1</f>
        <v>11.176907646402899</v>
      </c>
      <c r="AI47">
        <f>2.79422691160074*1</f>
        <v>2.7942269116007399</v>
      </c>
      <c r="AJ47">
        <v>1</v>
      </c>
      <c r="AK47">
        <v>0</v>
      </c>
      <c r="AL47">
        <v>0</v>
      </c>
    </row>
    <row r="48" spans="1:42" hidden="1" x14ac:dyDescent="0.2">
      <c r="A48" t="s">
        <v>141</v>
      </c>
      <c r="B48" t="s">
        <v>142</v>
      </c>
      <c r="C48" t="s">
        <v>142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257</v>
      </c>
      <c r="AF48">
        <v>11.22222222222222</v>
      </c>
      <c r="AG48">
        <v>11.57215740667657</v>
      </c>
      <c r="AH48">
        <f>9.57083817050226*1</f>
        <v>9.5708381705022596</v>
      </c>
      <c r="AI48">
        <f>2.36116443108183*1</f>
        <v>2.3611644310818298</v>
      </c>
      <c r="AJ48">
        <v>1</v>
      </c>
      <c r="AK48">
        <v>0</v>
      </c>
      <c r="AL48">
        <v>0</v>
      </c>
    </row>
    <row r="49" spans="1:38" hidden="1" x14ac:dyDescent="0.2">
      <c r="A49" t="s">
        <v>143</v>
      </c>
      <c r="B49" t="s">
        <v>144</v>
      </c>
      <c r="C49" t="s">
        <v>144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6.3</v>
      </c>
      <c r="AE49">
        <v>266</v>
      </c>
      <c r="AF49">
        <v>10.06451612903226</v>
      </c>
      <c r="AG49">
        <v>10.58333333333333</v>
      </c>
      <c r="AH49">
        <f>8.69581437603914*1</f>
        <v>8.6958143760391398</v>
      </c>
      <c r="AI49">
        <f>2.17395359400978*1</f>
        <v>2.1739535940097801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147</v>
      </c>
      <c r="D50" t="s">
        <v>6</v>
      </c>
      <c r="E50">
        <v>0</v>
      </c>
      <c r="F50">
        <v>0</v>
      </c>
      <c r="G50">
        <v>0</v>
      </c>
      <c r="H50">
        <v>1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6.8</v>
      </c>
      <c r="AE50">
        <v>267</v>
      </c>
      <c r="AF50">
        <v>13.894736842105271</v>
      </c>
      <c r="AG50">
        <v>13.28571428571429</v>
      </c>
      <c r="AH50">
        <f>11.2789472799988*1</f>
        <v>11.2789472799988</v>
      </c>
      <c r="AI50">
        <f>2.8197368199997*1</f>
        <v>2.8197368199996999</v>
      </c>
      <c r="AJ50">
        <v>1</v>
      </c>
      <c r="AK50">
        <v>0</v>
      </c>
      <c r="AL50">
        <v>0</v>
      </c>
    </row>
    <row r="51" spans="1:38" x14ac:dyDescent="0.2">
      <c r="A51" t="s">
        <v>198</v>
      </c>
      <c r="B51" t="s">
        <v>199</v>
      </c>
      <c r="C51" t="s">
        <v>199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21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8.5</v>
      </c>
      <c r="AE51">
        <v>400</v>
      </c>
      <c r="AF51">
        <v>20.734641013992761</v>
      </c>
      <c r="AG51">
        <v>18.548792002668041</v>
      </c>
      <c r="AH51">
        <f>20.8936116343617*1</f>
        <v>20.893611634361701</v>
      </c>
      <c r="AI51">
        <f>4.95742987338374*1</f>
        <v>4.9574298733837399</v>
      </c>
      <c r="AJ51">
        <v>1</v>
      </c>
      <c r="AK51">
        <v>1</v>
      </c>
      <c r="AL51">
        <v>1</v>
      </c>
    </row>
    <row r="52" spans="1:38" x14ac:dyDescent="0.2">
      <c r="A52" t="s">
        <v>225</v>
      </c>
      <c r="B52" t="s">
        <v>226</v>
      </c>
      <c r="C52" t="s">
        <v>225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21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6.3</v>
      </c>
      <c r="AE52">
        <v>423</v>
      </c>
      <c r="AF52">
        <v>19.08074534161489</v>
      </c>
      <c r="AG52">
        <v>17.483376378032251</v>
      </c>
      <c r="AH52">
        <f>19.3733439875531*1</f>
        <v>19.373343987553099</v>
      </c>
      <c r="AI52">
        <f>4.74453970290525*1</f>
        <v>4.7445397029052501</v>
      </c>
      <c r="AJ52">
        <v>1</v>
      </c>
      <c r="AK52">
        <v>1</v>
      </c>
      <c r="AL52">
        <v>1</v>
      </c>
    </row>
    <row r="53" spans="1:38" x14ac:dyDescent="0.2">
      <c r="A53" t="s">
        <v>92</v>
      </c>
      <c r="B53" t="s">
        <v>93</v>
      </c>
      <c r="C53" t="s">
        <v>94</v>
      </c>
      <c r="D53" t="s">
        <v>3</v>
      </c>
      <c r="E53">
        <v>1</v>
      </c>
      <c r="F53">
        <v>0</v>
      </c>
      <c r="G53">
        <v>0</v>
      </c>
      <c r="H53">
        <v>0</v>
      </c>
      <c r="I53" t="s">
        <v>13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4.5999999999999996</v>
      </c>
      <c r="AE53">
        <v>91</v>
      </c>
      <c r="AF53">
        <v>18.46497850106557</v>
      </c>
      <c r="AG53">
        <v>15.857142857142859</v>
      </c>
      <c r="AH53">
        <f>26.4310731648931*1</f>
        <v>26.4310731648931</v>
      </c>
      <c r="AI53">
        <f>4.53610435433278*1</f>
        <v>4.5361043543327799</v>
      </c>
      <c r="AJ53">
        <v>1</v>
      </c>
      <c r="AK53">
        <v>1</v>
      </c>
      <c r="AL53">
        <v>1</v>
      </c>
    </row>
    <row r="54" spans="1:38" hidden="1" x14ac:dyDescent="0.2">
      <c r="A54" t="s">
        <v>155</v>
      </c>
      <c r="B54" t="s">
        <v>156</v>
      </c>
      <c r="C54" t="s">
        <v>157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297</v>
      </c>
      <c r="AF54">
        <v>13.85057471264369</v>
      </c>
      <c r="AG54">
        <v>14.22101449275362</v>
      </c>
      <c r="AH54">
        <f>14.5728738371089*1</f>
        <v>14.572873837108901</v>
      </c>
      <c r="AI54">
        <f>2.91457476742179*1</f>
        <v>2.9145747674217901</v>
      </c>
      <c r="AJ54">
        <v>1</v>
      </c>
      <c r="AK54">
        <v>0</v>
      </c>
      <c r="AL54">
        <v>0</v>
      </c>
    </row>
    <row r="55" spans="1:38" hidden="1" x14ac:dyDescent="0.2">
      <c r="A55" t="s">
        <v>158</v>
      </c>
      <c r="B55" t="s">
        <v>159</v>
      </c>
      <c r="C55" t="s">
        <v>159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5.4</v>
      </c>
      <c r="AE55">
        <v>301</v>
      </c>
      <c r="AF55">
        <v>14.74025974025974</v>
      </c>
      <c r="AG55">
        <v>13.95833333333333</v>
      </c>
      <c r="AH55">
        <f>15.7364171275411*1</f>
        <v>15.736417127541101</v>
      </c>
      <c r="AI55">
        <f>3.14728342550822*1</f>
        <v>3.14728342550822</v>
      </c>
      <c r="AJ55">
        <v>1</v>
      </c>
      <c r="AK55">
        <v>0</v>
      </c>
      <c r="AL55">
        <v>0</v>
      </c>
    </row>
    <row r="56" spans="1:38" hidden="1" x14ac:dyDescent="0.2">
      <c r="A56" t="s">
        <v>160</v>
      </c>
      <c r="B56" t="s">
        <v>161</v>
      </c>
      <c r="C56" t="s">
        <v>161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</v>
      </c>
      <c r="AE56">
        <v>302</v>
      </c>
      <c r="AF56">
        <v>18.697916666666671</v>
      </c>
      <c r="AG56">
        <v>17.765769188397929</v>
      </c>
      <c r="AH56">
        <f>19.9499857766703*1</f>
        <v>19.949985776670299</v>
      </c>
      <c r="AI56">
        <f>3.98999715551485*1</f>
        <v>3.9899971555148501</v>
      </c>
      <c r="AJ56">
        <v>1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4.4000000000000004</v>
      </c>
      <c r="AE57">
        <v>304</v>
      </c>
      <c r="AF57">
        <v>14.611111111111111</v>
      </c>
      <c r="AG57">
        <v>14.47183098591549</v>
      </c>
      <c r="AH57">
        <f>15.4755819680117*1</f>
        <v>15.475581968011699</v>
      </c>
      <c r="AI57">
        <f>3.09511639360234*1</f>
        <v>3.09511639360234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4.9000000000000004</v>
      </c>
      <c r="AE58">
        <v>316</v>
      </c>
      <c r="AF58">
        <v>13.279220779220759</v>
      </c>
      <c r="AG58">
        <v>14.03688524590164</v>
      </c>
      <c r="AH58">
        <f>13.8938822057946*1</f>
        <v>13.893882205794601</v>
      </c>
      <c r="AI58">
        <f>2.77877644115892*1</f>
        <v>2.7787764411589202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167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4.0999999999999996</v>
      </c>
      <c r="AE59">
        <v>331</v>
      </c>
      <c r="AF59">
        <v>16.449715917688572</v>
      </c>
      <c r="AG59">
        <v>12.72727272727273</v>
      </c>
      <c r="AH59">
        <f>12.1368544352034*1</f>
        <v>12.1368544352034</v>
      </c>
      <c r="AI59">
        <f>0.653817292389917*1</f>
        <v>0.65381729238991704</v>
      </c>
      <c r="AJ59">
        <v>1</v>
      </c>
      <c r="AK59">
        <v>0</v>
      </c>
      <c r="AL59">
        <v>0</v>
      </c>
    </row>
    <row r="60" spans="1:38" hidden="1" x14ac:dyDescent="0.2">
      <c r="A60" t="s">
        <v>168</v>
      </c>
      <c r="B60" t="s">
        <v>169</v>
      </c>
      <c r="C60" t="s">
        <v>170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335</v>
      </c>
      <c r="AF60">
        <v>16.15151515151517</v>
      </c>
      <c r="AG60">
        <v>14.732824427480921</v>
      </c>
      <c r="AH60">
        <f>16.9311343717175*1</f>
        <v>16.931134371717501</v>
      </c>
      <c r="AI60">
        <f>3.3862268743435*1</f>
        <v>3.3862268743435</v>
      </c>
      <c r="AJ60">
        <v>1</v>
      </c>
      <c r="AK60">
        <v>0</v>
      </c>
      <c r="AL60">
        <v>0</v>
      </c>
    </row>
    <row r="61" spans="1:38" hidden="1" x14ac:dyDescent="0.2">
      <c r="A61" t="s">
        <v>136</v>
      </c>
      <c r="B61" t="s">
        <v>171</v>
      </c>
      <c r="C61" t="s">
        <v>171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336</v>
      </c>
      <c r="AF61">
        <v>11.598601962024411</v>
      </c>
      <c r="AG61">
        <v>12.16666666666667</v>
      </c>
      <c r="AH61">
        <f>15.7165686217459*1</f>
        <v>15.7165686217459</v>
      </c>
      <c r="AI61">
        <f>2.98250364534383*1</f>
        <v>2.9825036453438298</v>
      </c>
      <c r="AJ61">
        <v>1</v>
      </c>
      <c r="AK61">
        <v>0</v>
      </c>
      <c r="AL61">
        <v>0</v>
      </c>
    </row>
    <row r="62" spans="1:38" hidden="1" x14ac:dyDescent="0.2">
      <c r="A62" t="s">
        <v>172</v>
      </c>
      <c r="B62" t="s">
        <v>173</v>
      </c>
      <c r="C62" t="s">
        <v>173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343</v>
      </c>
      <c r="AF62">
        <v>15.814606741573041</v>
      </c>
      <c r="AG62">
        <v>14.539007092198579</v>
      </c>
      <c r="AH62">
        <f>16.8324559884571*1</f>
        <v>16.832455988457099</v>
      </c>
      <c r="AI62">
        <f>3.36649119769142*1</f>
        <v>3.36649119769142</v>
      </c>
      <c r="AJ62">
        <v>1</v>
      </c>
      <c r="AK62">
        <v>0</v>
      </c>
      <c r="AL62">
        <v>0</v>
      </c>
    </row>
    <row r="63" spans="1:38" x14ac:dyDescent="0.2">
      <c r="A63" t="s">
        <v>364</v>
      </c>
      <c r="B63" t="s">
        <v>365</v>
      </c>
      <c r="C63" t="s">
        <v>366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30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5.8</v>
      </c>
      <c r="AE63">
        <v>794</v>
      </c>
      <c r="AF63">
        <v>28.922117499857261</v>
      </c>
      <c r="AG63">
        <v>14.08333333333333</v>
      </c>
      <c r="AH63">
        <f>21.8716452830291*1</f>
        <v>21.8716452830291</v>
      </c>
      <c r="AI63">
        <f>4.52708200269461*1</f>
        <v>4.5270820026946099</v>
      </c>
      <c r="AJ63">
        <v>1</v>
      </c>
      <c r="AK63">
        <v>1</v>
      </c>
      <c r="AL63">
        <v>1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345</v>
      </c>
      <c r="AF64">
        <v>11.81187614012466</v>
      </c>
      <c r="AG64">
        <v>13.09210526315789</v>
      </c>
      <c r="AH64">
        <f>17.5789979401791*1</f>
        <v>17.5789979401791</v>
      </c>
      <c r="AI64">
        <f>3.66022534156967*1</f>
        <v>3.6602253415696699</v>
      </c>
      <c r="AJ64">
        <v>1</v>
      </c>
      <c r="AK64">
        <v>0</v>
      </c>
      <c r="AL64">
        <v>0</v>
      </c>
    </row>
    <row r="65" spans="1:38" hidden="1" x14ac:dyDescent="0.2">
      <c r="A65" t="s">
        <v>155</v>
      </c>
      <c r="B65" t="s">
        <v>178</v>
      </c>
      <c r="C65" t="s">
        <v>178</v>
      </c>
      <c r="D65" t="s">
        <v>3</v>
      </c>
      <c r="E65">
        <v>1</v>
      </c>
      <c r="F65">
        <v>0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347</v>
      </c>
      <c r="AF65">
        <v>17.88659793814432</v>
      </c>
      <c r="AG65">
        <v>18.23739358791666</v>
      </c>
      <c r="AH65">
        <f>23.05933941286*1</f>
        <v>23.059339412860002</v>
      </c>
      <c r="AI65">
        <f>4.31244810346724*1</f>
        <v>4.3124481034672399</v>
      </c>
      <c r="AJ65">
        <v>1</v>
      </c>
      <c r="AK65">
        <v>0</v>
      </c>
      <c r="AL65">
        <v>0</v>
      </c>
    </row>
    <row r="66" spans="1:38" hidden="1" x14ac:dyDescent="0.2">
      <c r="A66" t="s">
        <v>136</v>
      </c>
      <c r="B66" t="s">
        <v>179</v>
      </c>
      <c r="C66" t="s">
        <v>179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4.5999999999999996</v>
      </c>
      <c r="AE66">
        <v>349</v>
      </c>
      <c r="AF66">
        <v>14.35187869960278</v>
      </c>
      <c r="AG66">
        <v>14.631410256410261</v>
      </c>
      <c r="AH66">
        <f>18.4980407633074*1</f>
        <v>18.498040763307401</v>
      </c>
      <c r="AI66">
        <f>3.24311573543501*1</f>
        <v>3.2431157354350102</v>
      </c>
      <c r="AJ66">
        <v>1</v>
      </c>
      <c r="AK66">
        <v>0</v>
      </c>
      <c r="AL66">
        <v>0</v>
      </c>
    </row>
    <row r="67" spans="1:38" hidden="1" x14ac:dyDescent="0.2">
      <c r="A67" t="s">
        <v>180</v>
      </c>
      <c r="B67" t="s">
        <v>181</v>
      </c>
      <c r="C67" t="s">
        <v>181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358</v>
      </c>
      <c r="AF67">
        <v>19.658119658119649</v>
      </c>
      <c r="AG67">
        <v>20.023861520122729</v>
      </c>
      <c r="AH67">
        <f>25.2987885097408*1</f>
        <v>25.298788509740799</v>
      </c>
      <c r="AI67">
        <f>5.05975770194816*1</f>
        <v>5.0597577019481603</v>
      </c>
      <c r="AJ67">
        <v>1</v>
      </c>
      <c r="AK67">
        <v>0</v>
      </c>
      <c r="AL67">
        <v>0</v>
      </c>
    </row>
    <row r="68" spans="1:38" hidden="1" x14ac:dyDescent="0.2">
      <c r="A68" t="s">
        <v>182</v>
      </c>
      <c r="B68" t="s">
        <v>183</v>
      </c>
      <c r="C68" t="s">
        <v>183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5.3</v>
      </c>
      <c r="AE68">
        <v>363</v>
      </c>
      <c r="AF68">
        <v>13.690476190476179</v>
      </c>
      <c r="AG68">
        <v>13.928571428571431</v>
      </c>
      <c r="AH68">
        <f>14.9216184118357*1</f>
        <v>14.9216184118357</v>
      </c>
      <c r="AI68">
        <f>2.98432368236714*1</f>
        <v>2.98432368236714</v>
      </c>
      <c r="AJ68">
        <v>1</v>
      </c>
      <c r="AK68">
        <v>0</v>
      </c>
      <c r="AL68">
        <v>0</v>
      </c>
    </row>
    <row r="69" spans="1:38" hidden="1" x14ac:dyDescent="0.2">
      <c r="A69" t="s">
        <v>184</v>
      </c>
      <c r="B69" t="s">
        <v>185</v>
      </c>
      <c r="C69" t="s">
        <v>185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365</v>
      </c>
      <c r="AF69">
        <v>11.229565779255831</v>
      </c>
      <c r="AG69">
        <v>12.361111111111111</v>
      </c>
      <c r="AH69">
        <f>13.3228970915797*1</f>
        <v>13.3228970915797</v>
      </c>
      <c r="AI69">
        <f>2.65496712732996*1</f>
        <v>2.65496712732996</v>
      </c>
      <c r="AJ69">
        <v>1</v>
      </c>
      <c r="AK69">
        <v>0</v>
      </c>
      <c r="AL69">
        <v>0</v>
      </c>
    </row>
    <row r="70" spans="1:38" hidden="1" x14ac:dyDescent="0.2">
      <c r="A70" t="s">
        <v>186</v>
      </c>
      <c r="B70" t="s">
        <v>187</v>
      </c>
      <c r="C70" t="s">
        <v>187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5.3</v>
      </c>
      <c r="AE70">
        <v>367</v>
      </c>
      <c r="AF70">
        <v>13.3950759654486</v>
      </c>
      <c r="AG70">
        <v>13.571428571428569</v>
      </c>
      <c r="AH70">
        <f>14.5341462863333*1</f>
        <v>14.5341462863333</v>
      </c>
      <c r="AI70">
        <f>2.88186590135369*1</f>
        <v>2.8818659013536898</v>
      </c>
      <c r="AJ70">
        <v>1</v>
      </c>
      <c r="AK70">
        <v>0</v>
      </c>
      <c r="AL70">
        <v>0</v>
      </c>
    </row>
    <row r="71" spans="1:38" hidden="1" x14ac:dyDescent="0.2">
      <c r="A71" t="s">
        <v>188</v>
      </c>
      <c r="B71" t="s">
        <v>189</v>
      </c>
      <c r="C71" t="s">
        <v>189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372</v>
      </c>
      <c r="AF71">
        <v>18.246753246753229</v>
      </c>
      <c r="AG71">
        <v>16.516393442622949</v>
      </c>
      <c r="AH71">
        <f>17.5178943921677*1</f>
        <v>17.517894392167701</v>
      </c>
      <c r="AI71">
        <f>3.50357887843355*1</f>
        <v>3.50357887843355</v>
      </c>
      <c r="AJ71">
        <v>1</v>
      </c>
      <c r="AK71">
        <v>0</v>
      </c>
      <c r="AL71">
        <v>0</v>
      </c>
    </row>
    <row r="72" spans="1:38" hidden="1" x14ac:dyDescent="0.2">
      <c r="A72" t="s">
        <v>190</v>
      </c>
      <c r="B72" t="s">
        <v>191</v>
      </c>
      <c r="C72" t="s">
        <v>191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4.4000000000000004</v>
      </c>
      <c r="AE72">
        <v>380</v>
      </c>
      <c r="AF72">
        <v>12.03703703703704</v>
      </c>
      <c r="AG72">
        <v>13.203125</v>
      </c>
      <c r="AH72">
        <f>14.2267053517513*1</f>
        <v>14.226705351751299</v>
      </c>
      <c r="AI72">
        <f>2.84534107035027*1</f>
        <v>2.84534107035027</v>
      </c>
      <c r="AJ72">
        <v>1</v>
      </c>
      <c r="AK72">
        <v>0</v>
      </c>
      <c r="AL72">
        <v>0</v>
      </c>
    </row>
    <row r="73" spans="1:38" hidden="1" x14ac:dyDescent="0.2">
      <c r="A73" t="s">
        <v>192</v>
      </c>
      <c r="B73" t="s">
        <v>193</v>
      </c>
      <c r="C73" t="s">
        <v>192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5.2</v>
      </c>
      <c r="AE73">
        <v>386</v>
      </c>
      <c r="AF73">
        <v>16.116230335025499</v>
      </c>
      <c r="AG73">
        <v>19.96882313720559</v>
      </c>
      <c r="AH73">
        <f>21.6996364320796*1</f>
        <v>21.6996364320796</v>
      </c>
      <c r="AI73">
        <f>4.33140756089405*1</f>
        <v>4.3314075608940499</v>
      </c>
      <c r="AJ73">
        <v>1</v>
      </c>
      <c r="AK73">
        <v>0</v>
      </c>
      <c r="AL73">
        <v>0</v>
      </c>
    </row>
    <row r="74" spans="1:38" hidden="1" x14ac:dyDescent="0.2">
      <c r="A74" t="s">
        <v>194</v>
      </c>
      <c r="B74" t="s">
        <v>195</v>
      </c>
      <c r="C74" t="s">
        <v>194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387</v>
      </c>
      <c r="AF74">
        <v>20.77681764033974</v>
      </c>
      <c r="AG74">
        <v>21.235534818474228</v>
      </c>
      <c r="AH74">
        <f>22.7579088925701*1</f>
        <v>22.7579088925701</v>
      </c>
      <c r="AI74">
        <f>4.51559646557954*1</f>
        <v>4.5155964655795398</v>
      </c>
      <c r="AJ74">
        <v>1</v>
      </c>
      <c r="AK74">
        <v>0</v>
      </c>
      <c r="AL74">
        <v>0</v>
      </c>
    </row>
    <row r="75" spans="1:38" hidden="1" x14ac:dyDescent="0.2">
      <c r="A75" t="s">
        <v>196</v>
      </c>
      <c r="B75" t="s">
        <v>197</v>
      </c>
      <c r="C75" t="s">
        <v>197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394</v>
      </c>
      <c r="AF75">
        <v>16.363796743639149</v>
      </c>
      <c r="AG75">
        <v>15.121951219512191</v>
      </c>
      <c r="AH75">
        <f>16.0688488925305*1</f>
        <v>16.0688488925305</v>
      </c>
      <c r="AI75">
        <f>3.14708104960235*1</f>
        <v>3.1470810496023498</v>
      </c>
      <c r="AJ75">
        <v>1</v>
      </c>
      <c r="AK75">
        <v>0</v>
      </c>
      <c r="AL75">
        <v>0</v>
      </c>
    </row>
    <row r="76" spans="1:38" x14ac:dyDescent="0.2">
      <c r="A76" t="s">
        <v>326</v>
      </c>
      <c r="B76" t="s">
        <v>327</v>
      </c>
      <c r="C76" t="s">
        <v>327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8.1</v>
      </c>
      <c r="AE76">
        <v>738</v>
      </c>
      <c r="AF76">
        <v>22.429577464788739</v>
      </c>
      <c r="AG76">
        <v>18.013392857142861</v>
      </c>
      <c r="AH76">
        <f>21.98613343153*1</f>
        <v>21.98613343153</v>
      </c>
      <c r="AI76">
        <f>4.39722668630601*1</f>
        <v>4.3972266863060101</v>
      </c>
      <c r="AJ76">
        <v>1</v>
      </c>
      <c r="AK76">
        <v>1</v>
      </c>
      <c r="AL76">
        <v>1</v>
      </c>
    </row>
    <row r="77" spans="1:38" hidden="1" x14ac:dyDescent="0.2">
      <c r="A77" t="s">
        <v>200</v>
      </c>
      <c r="B77" t="s">
        <v>201</v>
      </c>
      <c r="C77" t="s">
        <v>202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5.7</v>
      </c>
      <c r="AE77">
        <v>401</v>
      </c>
      <c r="AF77">
        <v>17.371874612136931</v>
      </c>
      <c r="AG77">
        <v>15.796765313459121</v>
      </c>
      <c r="AH77">
        <f>17.5955899913101*1</f>
        <v>17.595589991310099</v>
      </c>
      <c r="AI77">
        <f>4.24368639107185*1</f>
        <v>4.2436863910718499</v>
      </c>
      <c r="AJ77">
        <v>1</v>
      </c>
      <c r="AK77">
        <v>0</v>
      </c>
      <c r="AL77">
        <v>0</v>
      </c>
    </row>
    <row r="78" spans="1:38" hidden="1" x14ac:dyDescent="0.2">
      <c r="A78" t="s">
        <v>203</v>
      </c>
      <c r="B78" t="s">
        <v>204</v>
      </c>
      <c r="C78" t="s">
        <v>203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7.5</v>
      </c>
      <c r="AE78">
        <v>403</v>
      </c>
      <c r="AF78">
        <v>15.66666666666667</v>
      </c>
      <c r="AG78">
        <v>16.078345947236649</v>
      </c>
      <c r="AH78">
        <f>16.5157196662626*1</f>
        <v>16.515719666262601</v>
      </c>
      <c r="AI78">
        <f>4.13485553037014*1</f>
        <v>4.1348555303701398</v>
      </c>
      <c r="AJ78">
        <v>1</v>
      </c>
      <c r="AK78">
        <v>0</v>
      </c>
      <c r="AL78">
        <v>0</v>
      </c>
    </row>
    <row r="79" spans="1:38" hidden="1" x14ac:dyDescent="0.2">
      <c r="A79" t="s">
        <v>205</v>
      </c>
      <c r="B79" t="s">
        <v>206</v>
      </c>
      <c r="C79" t="s">
        <v>207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8</v>
      </c>
      <c r="AE79">
        <v>404</v>
      </c>
      <c r="AF79">
        <v>17.48571428571428</v>
      </c>
      <c r="AG79">
        <v>12.59259259259259</v>
      </c>
      <c r="AH79">
        <f>16.5423082891625*1</f>
        <v>16.542308289162499</v>
      </c>
      <c r="AI79">
        <f>4.13557707229063*1</f>
        <v>4.13557707229063</v>
      </c>
      <c r="AJ79">
        <v>1</v>
      </c>
      <c r="AK79">
        <v>0</v>
      </c>
      <c r="AL79">
        <v>0</v>
      </c>
    </row>
    <row r="80" spans="1:38" hidden="1" x14ac:dyDescent="0.2">
      <c r="A80" t="s">
        <v>208</v>
      </c>
      <c r="B80" t="s">
        <v>209</v>
      </c>
      <c r="C80" t="s">
        <v>209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7.2</v>
      </c>
      <c r="AE80">
        <v>407</v>
      </c>
      <c r="AF80">
        <v>13.05263157894737</v>
      </c>
      <c r="AG80">
        <v>13.60972440663539</v>
      </c>
      <c r="AH80">
        <f>13.8356588081078*1</f>
        <v>13.8356588081078</v>
      </c>
      <c r="AI80">
        <f>3.4626840692818*1</f>
        <v>3.4626840692818002</v>
      </c>
      <c r="AJ80">
        <v>1</v>
      </c>
      <c r="AK80">
        <v>0</v>
      </c>
      <c r="AL80">
        <v>0</v>
      </c>
    </row>
    <row r="81" spans="1:38" hidden="1" x14ac:dyDescent="0.2">
      <c r="A81" t="s">
        <v>210</v>
      </c>
      <c r="B81" t="s">
        <v>211</v>
      </c>
      <c r="C81" t="s">
        <v>211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408</v>
      </c>
      <c r="AF81">
        <v>11.57894736842106</v>
      </c>
      <c r="AG81">
        <v>9.5714285714285712</v>
      </c>
      <c r="AH81">
        <f>11.3897275962967*1</f>
        <v>11.3897275962967</v>
      </c>
      <c r="AI81">
        <f>2.84743189907419*1</f>
        <v>2.84743189907419</v>
      </c>
      <c r="AJ81">
        <v>1</v>
      </c>
      <c r="AK81">
        <v>0</v>
      </c>
      <c r="AL81">
        <v>0</v>
      </c>
    </row>
    <row r="82" spans="1:38" hidden="1" x14ac:dyDescent="0.2">
      <c r="A82" t="s">
        <v>212</v>
      </c>
      <c r="B82" t="s">
        <v>213</v>
      </c>
      <c r="C82" t="s">
        <v>213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4.9000000000000004</v>
      </c>
      <c r="AE82">
        <v>410</v>
      </c>
      <c r="AF82">
        <v>9.0270270270270316</v>
      </c>
      <c r="AG82">
        <v>10.44827586206897</v>
      </c>
      <c r="AH82">
        <f>9.93456061361947*1</f>
        <v>9.9345606136194693</v>
      </c>
      <c r="AI82">
        <f>2.48364015340486*1</f>
        <v>2.4836401534048602</v>
      </c>
      <c r="AJ82">
        <v>1</v>
      </c>
      <c r="AK82">
        <v>0</v>
      </c>
      <c r="AL82">
        <v>0</v>
      </c>
    </row>
    <row r="83" spans="1:38" hidden="1" x14ac:dyDescent="0.2">
      <c r="A83" t="s">
        <v>214</v>
      </c>
      <c r="B83" t="s">
        <v>215</v>
      </c>
      <c r="C83" t="s">
        <v>215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4.9000000000000004</v>
      </c>
      <c r="AE83">
        <v>412</v>
      </c>
      <c r="AF83">
        <v>11.627906976744191</v>
      </c>
      <c r="AG83">
        <v>11.36618383719304</v>
      </c>
      <c r="AH83">
        <f>12.0576652681967*1</f>
        <v>12.0576652681967</v>
      </c>
      <c r="AI83">
        <f>3.02312073284682*1</f>
        <v>3.0231207328468201</v>
      </c>
      <c r="AJ83">
        <v>1</v>
      </c>
      <c r="AK83">
        <v>0</v>
      </c>
      <c r="AL83">
        <v>0</v>
      </c>
    </row>
    <row r="84" spans="1:38" hidden="1" x14ac:dyDescent="0.2">
      <c r="A84" t="s">
        <v>216</v>
      </c>
      <c r="B84" t="s">
        <v>217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7.4</v>
      </c>
      <c r="AE84">
        <v>413</v>
      </c>
      <c r="AF84">
        <v>13.617021276595739</v>
      </c>
      <c r="AG84">
        <v>14.02053083243282</v>
      </c>
      <c r="AH84">
        <f>14.3711358802553*1</f>
        <v>14.3711358802553</v>
      </c>
      <c r="AI84">
        <f>3.59278396999148*1</f>
        <v>3.5927839699914799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220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5.8</v>
      </c>
      <c r="AE85">
        <v>414</v>
      </c>
      <c r="AF85">
        <v>11.32075471698114</v>
      </c>
      <c r="AG85">
        <v>11.571428571428569</v>
      </c>
      <c r="AH85">
        <f>11.9177452368443*1</f>
        <v>11.917745236844301</v>
      </c>
      <c r="AI85">
        <f>2.97943630921109*1</f>
        <v>2.9794363092110898</v>
      </c>
      <c r="AJ85">
        <v>1</v>
      </c>
      <c r="AK85">
        <v>0</v>
      </c>
      <c r="AL85">
        <v>0</v>
      </c>
    </row>
    <row r="86" spans="1:38" hidden="1" x14ac:dyDescent="0.2">
      <c r="A86" t="s">
        <v>221</v>
      </c>
      <c r="B86" t="s">
        <v>222</v>
      </c>
      <c r="C86" t="s">
        <v>222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13.1</v>
      </c>
      <c r="AE86">
        <v>418</v>
      </c>
      <c r="AF86">
        <v>27.749999999999989</v>
      </c>
      <c r="AG86">
        <v>27.323681565702099</v>
      </c>
      <c r="AH86">
        <f>0*0</f>
        <v>0</v>
      </c>
      <c r="AI86">
        <f>7.21141766585178*0</f>
        <v>0</v>
      </c>
      <c r="AJ86">
        <v>0</v>
      </c>
      <c r="AK86">
        <v>0</v>
      </c>
      <c r="AL86">
        <v>0</v>
      </c>
    </row>
    <row r="87" spans="1:38" hidden="1" x14ac:dyDescent="0.2">
      <c r="A87" t="s">
        <v>223</v>
      </c>
      <c r="B87" t="s">
        <v>224</v>
      </c>
      <c r="C87" t="s">
        <v>224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7.1</v>
      </c>
      <c r="AE87">
        <v>419</v>
      </c>
      <c r="AF87">
        <v>13.91799383538797</v>
      </c>
      <c r="AG87">
        <v>16.48020035044372</v>
      </c>
      <c r="AH87">
        <f>15.4482802877696*1</f>
        <v>15.448280287769601</v>
      </c>
      <c r="AI87">
        <f>3.07415284854195*1</f>
        <v>3.0741528485419498</v>
      </c>
      <c r="AJ87">
        <v>1</v>
      </c>
      <c r="AK87">
        <v>0</v>
      </c>
      <c r="AL87">
        <v>0</v>
      </c>
    </row>
    <row r="88" spans="1:38" x14ac:dyDescent="0.2">
      <c r="A88" t="s">
        <v>148</v>
      </c>
      <c r="B88" t="s">
        <v>149</v>
      </c>
      <c r="C88" t="s">
        <v>149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7.1</v>
      </c>
      <c r="AE88">
        <v>272</v>
      </c>
      <c r="AF88">
        <v>16.267949335376748</v>
      </c>
      <c r="AG88">
        <v>23.057583893127219</v>
      </c>
      <c r="AH88">
        <f>17.3165662300478*1</f>
        <v>17.316566230047801</v>
      </c>
      <c r="AI88">
        <f>3.91304726882343*1</f>
        <v>3.9130472688234299</v>
      </c>
      <c r="AJ88">
        <v>1</v>
      </c>
      <c r="AK88">
        <v>1</v>
      </c>
      <c r="AL88">
        <v>1</v>
      </c>
    </row>
    <row r="89" spans="1:38" hidden="1" x14ac:dyDescent="0.2">
      <c r="A89" t="s">
        <v>227</v>
      </c>
      <c r="B89" t="s">
        <v>228</v>
      </c>
      <c r="C89" t="s">
        <v>228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4.8</v>
      </c>
      <c r="AE89">
        <v>439</v>
      </c>
      <c r="AF89">
        <v>22.866766002608031</v>
      </c>
      <c r="AG89">
        <v>11.2</v>
      </c>
      <c r="AH89">
        <f>22.6891052835976*1</f>
        <v>22.689105283597598</v>
      </c>
      <c r="AI89">
        <f>5.79532111513295*1</f>
        <v>5.7953211151329498</v>
      </c>
      <c r="AJ89">
        <v>1</v>
      </c>
      <c r="AK89">
        <v>0</v>
      </c>
      <c r="AL89">
        <v>0</v>
      </c>
    </row>
    <row r="90" spans="1:38" hidden="1" x14ac:dyDescent="0.2">
      <c r="A90" t="s">
        <v>229</v>
      </c>
      <c r="B90" t="s">
        <v>230</v>
      </c>
      <c r="C90" t="s">
        <v>230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4.5</v>
      </c>
      <c r="AE90">
        <v>446</v>
      </c>
      <c r="AF90">
        <v>22.220175966500229</v>
      </c>
      <c r="AG90">
        <v>9.5714285714285712</v>
      </c>
      <c r="AH90">
        <f>21.1444013129236*1</f>
        <v>21.144401312923598</v>
      </c>
      <c r="AI90">
        <f>5.11715025487707*1</f>
        <v>5.1171502548770702</v>
      </c>
      <c r="AJ90">
        <v>1</v>
      </c>
      <c r="AK90">
        <v>0</v>
      </c>
      <c r="AL90">
        <v>0</v>
      </c>
    </row>
    <row r="91" spans="1:38" hidden="1" x14ac:dyDescent="0.2">
      <c r="A91" t="s">
        <v>231</v>
      </c>
      <c r="B91" t="s">
        <v>232</v>
      </c>
      <c r="C91" t="s">
        <v>232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451</v>
      </c>
      <c r="AF91">
        <v>13.4</v>
      </c>
      <c r="AG91">
        <v>12.133333333333329</v>
      </c>
      <c r="AH91">
        <f>17.1305245003313*1</f>
        <v>17.130524500331301</v>
      </c>
      <c r="AI91">
        <f>4.28263112508283*1</f>
        <v>4.2826311250828297</v>
      </c>
      <c r="AJ91">
        <v>1</v>
      </c>
      <c r="AK91">
        <v>0</v>
      </c>
      <c r="AL91">
        <v>0</v>
      </c>
    </row>
    <row r="92" spans="1:38" hidden="1" x14ac:dyDescent="0.2">
      <c r="A92" t="s">
        <v>233</v>
      </c>
      <c r="B92" t="s">
        <v>234</v>
      </c>
      <c r="C92" t="s">
        <v>234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4.9000000000000004</v>
      </c>
      <c r="AE92">
        <v>453</v>
      </c>
      <c r="AF92">
        <v>9.2631578947368443</v>
      </c>
      <c r="AG92">
        <v>10.142857142857141</v>
      </c>
      <c r="AH92">
        <f>13.0504162476976*1</f>
        <v>13.0504162476976</v>
      </c>
      <c r="AI92">
        <f>3.26260406192441*1</f>
        <v>3.2626040619244101</v>
      </c>
      <c r="AJ92">
        <v>1</v>
      </c>
      <c r="AK92">
        <v>0</v>
      </c>
      <c r="AL92">
        <v>0</v>
      </c>
    </row>
    <row r="93" spans="1:38" hidden="1" x14ac:dyDescent="0.2">
      <c r="A93" t="s">
        <v>235</v>
      </c>
      <c r="B93" t="s">
        <v>236</v>
      </c>
      <c r="C93" t="s">
        <v>236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4.5</v>
      </c>
      <c r="AE93">
        <v>472</v>
      </c>
      <c r="AF93">
        <v>10.199999999999999</v>
      </c>
      <c r="AG93">
        <v>10.133333333333329</v>
      </c>
      <c r="AH93">
        <f>13.6575295126073*1</f>
        <v>13.657529512607301</v>
      </c>
      <c r="AI93">
        <f>3.41438237815183*1</f>
        <v>3.4143823781518301</v>
      </c>
      <c r="AJ93">
        <v>1</v>
      </c>
      <c r="AK93">
        <v>0</v>
      </c>
      <c r="AL93">
        <v>0</v>
      </c>
    </row>
    <row r="94" spans="1:38" hidden="1" x14ac:dyDescent="0.2">
      <c r="A94" t="s">
        <v>237</v>
      </c>
      <c r="B94" t="s">
        <v>238</v>
      </c>
      <c r="C94" t="s">
        <v>238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4.9000000000000004</v>
      </c>
      <c r="AE94">
        <v>473</v>
      </c>
      <c r="AF94">
        <v>11.08816988450682</v>
      </c>
      <c r="AG94">
        <v>11.48648648648649</v>
      </c>
      <c r="AH94">
        <f>15.1708712987495*1</f>
        <v>15.1708712987495</v>
      </c>
      <c r="AI94">
        <f>3.28637397327283*1</f>
        <v>3.2863739732728301</v>
      </c>
      <c r="AJ94">
        <v>1</v>
      </c>
      <c r="AK94">
        <v>0</v>
      </c>
      <c r="AL94">
        <v>0</v>
      </c>
    </row>
    <row r="95" spans="1:38" hidden="1" x14ac:dyDescent="0.2">
      <c r="A95" t="s">
        <v>239</v>
      </c>
      <c r="B95" t="s">
        <v>240</v>
      </c>
      <c r="C95" t="s">
        <v>240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4.9000000000000004</v>
      </c>
      <c r="AE95">
        <v>482</v>
      </c>
      <c r="AF95">
        <v>18.12034901056558</v>
      </c>
      <c r="AG95">
        <v>17.625</v>
      </c>
      <c r="AH95">
        <f>17.4202986573533*1</f>
        <v>17.4202986573533</v>
      </c>
      <c r="AI95">
        <f>3.078197147061*1</f>
        <v>3.0781971470610001</v>
      </c>
      <c r="AJ95">
        <v>1</v>
      </c>
      <c r="AK95">
        <v>0</v>
      </c>
      <c r="AL95">
        <v>0</v>
      </c>
    </row>
    <row r="96" spans="1:38" hidden="1" x14ac:dyDescent="0.2">
      <c r="A96" t="s">
        <v>241</v>
      </c>
      <c r="B96" t="s">
        <v>242</v>
      </c>
      <c r="C96" t="s">
        <v>242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483</v>
      </c>
      <c r="AF96">
        <v>19.499999999999989</v>
      </c>
      <c r="AG96">
        <v>17.88461538461538</v>
      </c>
      <c r="AH96">
        <f>18.2403607379111*1</f>
        <v>18.2403607379111</v>
      </c>
      <c r="AI96">
        <f>3.04006012298519*1</f>
        <v>3.04006012298519</v>
      </c>
      <c r="AJ96">
        <v>1</v>
      </c>
      <c r="AK96">
        <v>0</v>
      </c>
      <c r="AL96">
        <v>0</v>
      </c>
    </row>
    <row r="97" spans="1:38" hidden="1" x14ac:dyDescent="0.2">
      <c r="A97" t="s">
        <v>243</v>
      </c>
      <c r="B97" t="s">
        <v>244</v>
      </c>
      <c r="C97" t="s">
        <v>245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6.9</v>
      </c>
      <c r="AE97">
        <v>484</v>
      </c>
      <c r="AF97">
        <v>23.4</v>
      </c>
      <c r="AG97">
        <v>18.69230769230769</v>
      </c>
      <c r="AH97">
        <f>20.593041123161*1</f>
        <v>20.593041123161001</v>
      </c>
      <c r="AI97">
        <f>3.43217352052684*1</f>
        <v>3.43217352052684</v>
      </c>
      <c r="AJ97">
        <v>1</v>
      </c>
      <c r="AK97">
        <v>0</v>
      </c>
      <c r="AL97">
        <v>0</v>
      </c>
    </row>
    <row r="98" spans="1:38" hidden="1" x14ac:dyDescent="0.2">
      <c r="A98" t="s">
        <v>246</v>
      </c>
      <c r="B98" t="s">
        <v>247</v>
      </c>
      <c r="C98" t="s">
        <v>246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6.5</v>
      </c>
      <c r="AE98">
        <v>485</v>
      </c>
      <c r="AF98">
        <v>23.750000000000011</v>
      </c>
      <c r="AG98">
        <v>20.902440778720639</v>
      </c>
      <c r="AH98">
        <f>21.8041287980407*1</f>
        <v>21.804128798040701</v>
      </c>
      <c r="AI98">
        <f>3.63401429564503*1</f>
        <v>3.6340142956450299</v>
      </c>
      <c r="AJ98">
        <v>1</v>
      </c>
      <c r="AK98">
        <v>0</v>
      </c>
      <c r="AL98">
        <v>0</v>
      </c>
    </row>
    <row r="99" spans="1:38" hidden="1" x14ac:dyDescent="0.2">
      <c r="A99" t="s">
        <v>248</v>
      </c>
      <c r="B99" t="s">
        <v>249</v>
      </c>
      <c r="C99" t="s">
        <v>250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5.5</v>
      </c>
      <c r="AE99">
        <v>492</v>
      </c>
      <c r="AF99">
        <v>23.33684210526318</v>
      </c>
      <c r="AG99">
        <v>20.721854304635759</v>
      </c>
      <c r="AH99">
        <f>21.5104416626738*1</f>
        <v>21.510441662673799</v>
      </c>
      <c r="AI99">
        <f>3.58507361044563*1</f>
        <v>3.58507361044563</v>
      </c>
      <c r="AJ99">
        <v>1</v>
      </c>
      <c r="AK99">
        <v>0</v>
      </c>
      <c r="AL99">
        <v>0</v>
      </c>
    </row>
    <row r="100" spans="1:38" hidden="1" x14ac:dyDescent="0.2">
      <c r="A100" t="s">
        <v>251</v>
      </c>
      <c r="B100" t="s">
        <v>252</v>
      </c>
      <c r="C100" t="s">
        <v>252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8</v>
      </c>
      <c r="AE100">
        <v>493</v>
      </c>
      <c r="AF100">
        <v>29.695925787273421</v>
      </c>
      <c r="AG100">
        <v>24.46062143511319</v>
      </c>
      <c r="AH100">
        <f>26.4794368080074*1</f>
        <v>26.479436808007399</v>
      </c>
      <c r="AI100">
        <f>4.41323946787567*1</f>
        <v>4.4132394678756697</v>
      </c>
      <c r="AJ100">
        <v>1</v>
      </c>
      <c r="AK100">
        <v>0</v>
      </c>
      <c r="AL100">
        <v>0</v>
      </c>
    </row>
    <row r="101" spans="1:38" x14ac:dyDescent="0.2">
      <c r="A101" t="s">
        <v>56</v>
      </c>
      <c r="B101" t="s">
        <v>57</v>
      </c>
      <c r="C101" t="s">
        <v>57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11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5.6</v>
      </c>
      <c r="AE101">
        <v>18</v>
      </c>
      <c r="AF101">
        <v>21.02272424374026</v>
      </c>
      <c r="AG101">
        <v>18.00277406850612</v>
      </c>
      <c r="AH101">
        <f>18.2425729018706*1</f>
        <v>18.242572901870599</v>
      </c>
      <c r="AI101">
        <f>3.76119696348446*1</f>
        <v>3.7611969634844602</v>
      </c>
      <c r="AJ101">
        <v>1</v>
      </c>
      <c r="AK101">
        <v>1</v>
      </c>
      <c r="AL101">
        <v>1</v>
      </c>
    </row>
    <row r="102" spans="1:38" hidden="1" x14ac:dyDescent="0.2">
      <c r="A102" t="s">
        <v>255</v>
      </c>
      <c r="B102" t="s">
        <v>256</v>
      </c>
      <c r="C102" t="s">
        <v>255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5.6</v>
      </c>
      <c r="AE102">
        <v>502</v>
      </c>
      <c r="AF102">
        <v>16.381387754777339</v>
      </c>
      <c r="AG102">
        <v>17.589743589743591</v>
      </c>
      <c r="AH102">
        <f>16.5232419962853*1</f>
        <v>16.5232419962853</v>
      </c>
      <c r="AI102">
        <f>2.49065431332137*1</f>
        <v>2.4906543133213699</v>
      </c>
      <c r="AJ102">
        <v>1</v>
      </c>
      <c r="AK102">
        <v>0</v>
      </c>
      <c r="AL102">
        <v>0</v>
      </c>
    </row>
    <row r="103" spans="1:38" hidden="1" x14ac:dyDescent="0.2">
      <c r="A103" t="s">
        <v>257</v>
      </c>
      <c r="B103" t="s">
        <v>258</v>
      </c>
      <c r="C103" t="s">
        <v>258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506</v>
      </c>
      <c r="AF103">
        <v>22.6993006993007</v>
      </c>
      <c r="AG103">
        <v>21.391415056856221</v>
      </c>
      <c r="AH103">
        <f>21.5008147723177*1</f>
        <v>21.5008147723177</v>
      </c>
      <c r="AI103">
        <f>3.59836131872694*1</f>
        <v>3.5983613187269401</v>
      </c>
      <c r="AJ103">
        <v>1</v>
      </c>
      <c r="AK103">
        <v>0</v>
      </c>
      <c r="AL103">
        <v>0</v>
      </c>
    </row>
    <row r="104" spans="1:38" hidden="1" x14ac:dyDescent="0.2">
      <c r="A104" t="s">
        <v>259</v>
      </c>
      <c r="B104" t="s">
        <v>260</v>
      </c>
      <c r="C104" t="s">
        <v>260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4.8</v>
      </c>
      <c r="AE104">
        <v>508</v>
      </c>
      <c r="AF104">
        <v>16.428440502646382</v>
      </c>
      <c r="AG104">
        <v>17.95368872180893</v>
      </c>
      <c r="AH104">
        <f>16.7173146590325*1</f>
        <v>16.7173146590325</v>
      </c>
      <c r="AI104">
        <f>3.85589149625243*1</f>
        <v>3.85589149625243</v>
      </c>
      <c r="AJ104">
        <v>1</v>
      </c>
      <c r="AK104">
        <v>0</v>
      </c>
      <c r="AL104">
        <v>0</v>
      </c>
    </row>
    <row r="105" spans="1:38" hidden="1" x14ac:dyDescent="0.2">
      <c r="A105" t="s">
        <v>261</v>
      </c>
      <c r="B105" t="s">
        <v>262</v>
      </c>
      <c r="C105" t="s">
        <v>263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8.1999999999999993</v>
      </c>
      <c r="AE105">
        <v>516</v>
      </c>
      <c r="AF105">
        <v>20.377358490566039</v>
      </c>
      <c r="AG105">
        <v>22.21037432204632</v>
      </c>
      <c r="AH105">
        <f>26.6184158348134*1</f>
        <v>26.618415834813401</v>
      </c>
      <c r="AI105">
        <f>5.32365412942382*1</f>
        <v>5.3236541294238204</v>
      </c>
      <c r="AJ105">
        <v>1</v>
      </c>
      <c r="AK105">
        <v>0</v>
      </c>
      <c r="AL105">
        <v>0</v>
      </c>
    </row>
    <row r="106" spans="1:38" hidden="1" x14ac:dyDescent="0.2">
      <c r="A106" t="s">
        <v>264</v>
      </c>
      <c r="B106" t="s">
        <v>265</v>
      </c>
      <c r="C106" t="s">
        <v>265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4.8</v>
      </c>
      <c r="AE106">
        <v>524</v>
      </c>
      <c r="AF106">
        <v>12.638888888888889</v>
      </c>
      <c r="AG106">
        <v>11.78571428571429</v>
      </c>
      <c r="AH106">
        <f>12.2070195572381*1</f>
        <v>12.2070195572381</v>
      </c>
      <c r="AI106">
        <f>2.44140391144761*1</f>
        <v>2.44140391144761</v>
      </c>
      <c r="AJ106">
        <v>1</v>
      </c>
      <c r="AK106">
        <v>0</v>
      </c>
      <c r="AL106">
        <v>0</v>
      </c>
    </row>
    <row r="107" spans="1:38" hidden="1" x14ac:dyDescent="0.2">
      <c r="A107" t="s">
        <v>266</v>
      </c>
      <c r="B107" t="s">
        <v>267</v>
      </c>
      <c r="C107" t="s">
        <v>267</v>
      </c>
      <c r="D107" t="s">
        <v>6</v>
      </c>
      <c r="E107">
        <v>0</v>
      </c>
      <c r="F107">
        <v>0</v>
      </c>
      <c r="G107">
        <v>0</v>
      </c>
      <c r="H107">
        <v>1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6.4</v>
      </c>
      <c r="AE107">
        <v>531</v>
      </c>
      <c r="AF107">
        <v>13.269733387063299</v>
      </c>
      <c r="AG107">
        <v>18.77717391304348</v>
      </c>
      <c r="AH107">
        <f>0*0</f>
        <v>0</v>
      </c>
      <c r="AI107">
        <f>5.33217530327136*0</f>
        <v>0</v>
      </c>
      <c r="AJ107">
        <v>0</v>
      </c>
      <c r="AK107">
        <v>0</v>
      </c>
      <c r="AL107">
        <v>0</v>
      </c>
    </row>
    <row r="108" spans="1:38" hidden="1" x14ac:dyDescent="0.2">
      <c r="A108" t="s">
        <v>268</v>
      </c>
      <c r="B108" t="s">
        <v>269</v>
      </c>
      <c r="C108" t="s">
        <v>269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4.5999999999999996</v>
      </c>
      <c r="AE108">
        <v>533</v>
      </c>
      <c r="AF108">
        <v>12.964285714285699</v>
      </c>
      <c r="AG108">
        <v>13.288288288288291</v>
      </c>
      <c r="AH108">
        <f>15.1140035448209*1</f>
        <v>15.1140035448209</v>
      </c>
      <c r="AI108">
        <f>3.02280070896418*1</f>
        <v>3.02280070896418</v>
      </c>
      <c r="AJ108">
        <v>1</v>
      </c>
      <c r="AK108">
        <v>0</v>
      </c>
      <c r="AL108">
        <v>0</v>
      </c>
    </row>
    <row r="109" spans="1:38" hidden="1" x14ac:dyDescent="0.2">
      <c r="A109" t="s">
        <v>101</v>
      </c>
      <c r="B109" t="s">
        <v>270</v>
      </c>
      <c r="C109" t="s">
        <v>270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8.4</v>
      </c>
      <c r="AE109">
        <v>536</v>
      </c>
      <c r="AF109">
        <v>23.322171290791271</v>
      </c>
      <c r="AG109">
        <v>22.179145524179681</v>
      </c>
      <c r="AH109">
        <f>23.4578100275071*1</f>
        <v>23.457810027507101</v>
      </c>
      <c r="AI109">
        <f>4.56194458045913*1</f>
        <v>4.5619445804591301</v>
      </c>
      <c r="AJ109">
        <v>1</v>
      </c>
      <c r="AK109">
        <v>0</v>
      </c>
      <c r="AL109">
        <v>0</v>
      </c>
    </row>
    <row r="110" spans="1:38" hidden="1" x14ac:dyDescent="0.2">
      <c r="A110" t="s">
        <v>261</v>
      </c>
      <c r="B110" t="s">
        <v>271</v>
      </c>
      <c r="C110" t="s">
        <v>272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5.8</v>
      </c>
      <c r="AE110">
        <v>558</v>
      </c>
      <c r="AF110">
        <v>16.307692307692321</v>
      </c>
      <c r="AG110">
        <v>17.495601567402201</v>
      </c>
      <c r="AH110">
        <f>14.8526472552298*1</f>
        <v>14.852647255229799</v>
      </c>
      <c r="AI110">
        <f>2.9705294510454*1</f>
        <v>2.9705294510454001</v>
      </c>
      <c r="AJ110">
        <v>1</v>
      </c>
      <c r="AK110">
        <v>0</v>
      </c>
      <c r="AL110">
        <v>0</v>
      </c>
    </row>
    <row r="111" spans="1:38" x14ac:dyDescent="0.2">
      <c r="A111" t="s">
        <v>266</v>
      </c>
      <c r="B111" t="s">
        <v>273</v>
      </c>
      <c r="C111" t="s">
        <v>273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6.1</v>
      </c>
      <c r="AE111">
        <v>564</v>
      </c>
      <c r="AF111">
        <v>21.097959687051109</v>
      </c>
      <c r="AG111">
        <v>13.22368421052632</v>
      </c>
      <c r="AH111">
        <f>18.6315026599899*1</f>
        <v>18.631502659989899</v>
      </c>
      <c r="AI111">
        <f>3.72630053199799*1</f>
        <v>3.7263005319979898</v>
      </c>
      <c r="AJ111">
        <v>1</v>
      </c>
      <c r="AK111">
        <v>1</v>
      </c>
      <c r="AL111">
        <v>1</v>
      </c>
    </row>
    <row r="112" spans="1:38" hidden="1" x14ac:dyDescent="0.2">
      <c r="A112" t="s">
        <v>274</v>
      </c>
      <c r="B112" t="s">
        <v>275</v>
      </c>
      <c r="C112" t="s">
        <v>275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7.6</v>
      </c>
      <c r="AE112">
        <v>567</v>
      </c>
      <c r="AF112">
        <v>23.24324324324326</v>
      </c>
      <c r="AG112">
        <v>21.099607320004061</v>
      </c>
      <c r="AH112">
        <f>20.9312893577337*1</f>
        <v>20.9312893577337</v>
      </c>
      <c r="AI112">
        <f>4.18618857518671*1</f>
        <v>4.1861885751867103</v>
      </c>
      <c r="AJ112">
        <v>1</v>
      </c>
      <c r="AK112">
        <v>0</v>
      </c>
      <c r="AL112">
        <v>0</v>
      </c>
    </row>
    <row r="113" spans="1:38" hidden="1" x14ac:dyDescent="0.2">
      <c r="A113" t="s">
        <v>276</v>
      </c>
      <c r="B113" t="s">
        <v>277</v>
      </c>
      <c r="C113" t="s">
        <v>278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5.8</v>
      </c>
      <c r="AE113">
        <v>568</v>
      </c>
      <c r="AF113">
        <v>15.24565566934573</v>
      </c>
      <c r="AG113">
        <v>13.43220338983051</v>
      </c>
      <c r="AH113">
        <f>13.7039228619236*1</f>
        <v>13.7039228619236</v>
      </c>
      <c r="AI113">
        <f>2.74078457238472*1</f>
        <v>2.7407845723847202</v>
      </c>
      <c r="AJ113">
        <v>1</v>
      </c>
      <c r="AK113">
        <v>0</v>
      </c>
      <c r="AL113">
        <v>0</v>
      </c>
    </row>
    <row r="114" spans="1:38" hidden="1" x14ac:dyDescent="0.2">
      <c r="A114" t="s">
        <v>279</v>
      </c>
      <c r="B114" t="s">
        <v>280</v>
      </c>
      <c r="C114" t="s">
        <v>280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4.8</v>
      </c>
      <c r="AE114">
        <v>573</v>
      </c>
      <c r="AF114">
        <v>11.7578125</v>
      </c>
      <c r="AG114">
        <v>13.01980198019802</v>
      </c>
      <c r="AH114">
        <f>10.7338917141295*1</f>
        <v>10.7338917141295</v>
      </c>
      <c r="AI114">
        <f>2.14677834282591*1</f>
        <v>2.1467783428259102</v>
      </c>
      <c r="AJ114">
        <v>1</v>
      </c>
      <c r="AK114">
        <v>0</v>
      </c>
      <c r="AL114">
        <v>0</v>
      </c>
    </row>
    <row r="115" spans="1:38" hidden="1" x14ac:dyDescent="0.2">
      <c r="A115" t="s">
        <v>281</v>
      </c>
      <c r="B115" t="s">
        <v>282</v>
      </c>
      <c r="C115" t="s">
        <v>282</v>
      </c>
      <c r="D115" t="s">
        <v>3</v>
      </c>
      <c r="E115">
        <v>1</v>
      </c>
      <c r="F115">
        <v>0</v>
      </c>
      <c r="G115">
        <v>0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5.3</v>
      </c>
      <c r="AE115">
        <v>576</v>
      </c>
      <c r="AF115">
        <v>20.684931506849331</v>
      </c>
      <c r="AG115">
        <v>18.194873077534769</v>
      </c>
      <c r="AH115">
        <f>18.591308776418*1</f>
        <v>18.591308776418</v>
      </c>
      <c r="AI115">
        <f>3.71813536572134*1</f>
        <v>3.7181353657213401</v>
      </c>
      <c r="AJ115">
        <v>1</v>
      </c>
      <c r="AK115">
        <v>0</v>
      </c>
      <c r="AL115">
        <v>0</v>
      </c>
    </row>
    <row r="116" spans="1:38" hidden="1" x14ac:dyDescent="0.2">
      <c r="A116" t="s">
        <v>283</v>
      </c>
      <c r="B116" t="s">
        <v>284</v>
      </c>
      <c r="C116" t="s">
        <v>284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5.2</v>
      </c>
      <c r="AE116">
        <v>579</v>
      </c>
      <c r="AF116">
        <v>15.883862330143669</v>
      </c>
      <c r="AG116">
        <v>15.267857142857141</v>
      </c>
      <c r="AH116">
        <f>14.3566080334449*1</f>
        <v>14.3566080334449</v>
      </c>
      <c r="AI116">
        <f>0.670230346618832*1</f>
        <v>0.67023034661883196</v>
      </c>
      <c r="AJ116">
        <v>1</v>
      </c>
      <c r="AK116">
        <v>0</v>
      </c>
      <c r="AL116">
        <v>0</v>
      </c>
    </row>
    <row r="117" spans="1:38" hidden="1" x14ac:dyDescent="0.2">
      <c r="A117" t="s">
        <v>285</v>
      </c>
      <c r="B117" t="s">
        <v>286</v>
      </c>
      <c r="C117" t="s">
        <v>286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6.7</v>
      </c>
      <c r="AE117">
        <v>582</v>
      </c>
      <c r="AF117">
        <v>25.221641351247769</v>
      </c>
      <c r="AG117">
        <v>19.05797101449275</v>
      </c>
      <c r="AH117">
        <f>22.4747617063027*1</f>
        <v>22.474761706302701</v>
      </c>
      <c r="AI117">
        <f>5.20770734530019*1</f>
        <v>5.2077073453001903</v>
      </c>
      <c r="AJ117">
        <v>1</v>
      </c>
      <c r="AK117">
        <v>0</v>
      </c>
      <c r="AL117">
        <v>0</v>
      </c>
    </row>
    <row r="118" spans="1:38" hidden="1" x14ac:dyDescent="0.2">
      <c r="A118" t="s">
        <v>287</v>
      </c>
      <c r="B118" t="s">
        <v>288</v>
      </c>
      <c r="C118" t="s">
        <v>288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7.8</v>
      </c>
      <c r="AE118">
        <v>585</v>
      </c>
      <c r="AF118">
        <v>22.682119205298019</v>
      </c>
      <c r="AG118">
        <v>19.811982236839832</v>
      </c>
      <c r="AH118">
        <f>20.3776850570494*1</f>
        <v>20.377685057049401</v>
      </c>
      <c r="AI118">
        <f>4.06741911829691*1</f>
        <v>4.0674191182969102</v>
      </c>
      <c r="AJ118">
        <v>1</v>
      </c>
      <c r="AK118">
        <v>0</v>
      </c>
      <c r="AL118">
        <v>0</v>
      </c>
    </row>
    <row r="119" spans="1:38" hidden="1" x14ac:dyDescent="0.2">
      <c r="A119" t="s">
        <v>289</v>
      </c>
      <c r="B119" t="s">
        <v>290</v>
      </c>
      <c r="C119" t="s">
        <v>290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3.9</v>
      </c>
      <c r="AE119">
        <v>598</v>
      </c>
      <c r="AF119">
        <v>12.352941176470591</v>
      </c>
      <c r="AG119">
        <v>13.95833333333333</v>
      </c>
      <c r="AH119">
        <f>18.0951510256276*1</f>
        <v>18.095151025627601</v>
      </c>
      <c r="AI119">
        <f>3.61903020512553*1</f>
        <v>3.6190302051255299</v>
      </c>
      <c r="AJ119">
        <v>1</v>
      </c>
      <c r="AK119">
        <v>0</v>
      </c>
      <c r="AL119">
        <v>0</v>
      </c>
    </row>
    <row r="120" spans="1:38" hidden="1" x14ac:dyDescent="0.2">
      <c r="A120" t="s">
        <v>266</v>
      </c>
      <c r="B120" t="s">
        <v>291</v>
      </c>
      <c r="C120" t="s">
        <v>291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5.0999999999999996</v>
      </c>
      <c r="AE120">
        <v>600</v>
      </c>
      <c r="AF120">
        <v>20.837132320825781</v>
      </c>
      <c r="AG120">
        <v>13.01136363636363</v>
      </c>
      <c r="AH120">
        <f>26.3204504379785*1</f>
        <v>26.320450437978501</v>
      </c>
      <c r="AI120">
        <f>5.28683400312894*1</f>
        <v>5.2868340031289396</v>
      </c>
      <c r="AJ120">
        <v>1</v>
      </c>
      <c r="AK120">
        <v>0</v>
      </c>
      <c r="AL120">
        <v>0</v>
      </c>
    </row>
    <row r="121" spans="1:38" hidden="1" x14ac:dyDescent="0.2">
      <c r="A121" t="s">
        <v>292</v>
      </c>
      <c r="B121" t="s">
        <v>293</v>
      </c>
      <c r="C121" t="s">
        <v>293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5.7</v>
      </c>
      <c r="AE121">
        <v>614</v>
      </c>
      <c r="AF121">
        <v>17.764314918039851</v>
      </c>
      <c r="AG121">
        <v>13.84375</v>
      </c>
      <c r="AH121">
        <f>23.5366626836917*1</f>
        <v>23.536662683691699</v>
      </c>
      <c r="AI121">
        <f>4.70733253673834*1</f>
        <v>4.7073325367383401</v>
      </c>
      <c r="AJ121">
        <v>1</v>
      </c>
      <c r="AK121">
        <v>0</v>
      </c>
      <c r="AL121">
        <v>0</v>
      </c>
    </row>
    <row r="122" spans="1:38" hidden="1" x14ac:dyDescent="0.2">
      <c r="A122" t="s">
        <v>294</v>
      </c>
      <c r="B122" t="s">
        <v>295</v>
      </c>
      <c r="C122" t="s">
        <v>295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4.4000000000000004</v>
      </c>
      <c r="AE122">
        <v>631</v>
      </c>
      <c r="AF122">
        <v>10.3125</v>
      </c>
      <c r="AG122">
        <v>12.70833333333333</v>
      </c>
      <c r="AH122">
        <f>15.5273868310479*1</f>
        <v>15.527386831047901</v>
      </c>
      <c r="AI122">
        <f>3.10547736620958*1</f>
        <v>3.10547736620958</v>
      </c>
      <c r="AJ122">
        <v>1</v>
      </c>
      <c r="AK122">
        <v>0</v>
      </c>
      <c r="AL122">
        <v>0</v>
      </c>
    </row>
    <row r="123" spans="1:38" hidden="1" x14ac:dyDescent="0.2">
      <c r="A123" t="s">
        <v>296</v>
      </c>
      <c r="B123" t="s">
        <v>297</v>
      </c>
      <c r="C123" t="s">
        <v>297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5</v>
      </c>
      <c r="AE123">
        <v>634</v>
      </c>
      <c r="AF123">
        <v>16.793067035552799</v>
      </c>
      <c r="AG123">
        <v>16.267857142857139</v>
      </c>
      <c r="AH123">
        <f>23.5189630260723*1</f>
        <v>23.518963026072299</v>
      </c>
      <c r="AI123">
        <f>4.35687948548242*1</f>
        <v>4.3568794854824198</v>
      </c>
      <c r="AJ123">
        <v>1</v>
      </c>
      <c r="AK123">
        <v>0</v>
      </c>
      <c r="AL123">
        <v>0</v>
      </c>
    </row>
    <row r="124" spans="1:38" hidden="1" x14ac:dyDescent="0.2">
      <c r="A124" t="s">
        <v>298</v>
      </c>
      <c r="B124" t="s">
        <v>299</v>
      </c>
      <c r="C124" t="s">
        <v>298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4.5</v>
      </c>
      <c r="AE124">
        <v>641</v>
      </c>
      <c r="AF124">
        <v>10</v>
      </c>
      <c r="AG124">
        <v>11.85072486123949</v>
      </c>
      <c r="AH124">
        <f>14.8683404038596*1</f>
        <v>14.8683404038596</v>
      </c>
      <c r="AI124">
        <f>2.97632675294517*1</f>
        <v>2.97632675294517</v>
      </c>
      <c r="AJ124">
        <v>1</v>
      </c>
      <c r="AK124">
        <v>0</v>
      </c>
      <c r="AL124">
        <v>0</v>
      </c>
    </row>
    <row r="125" spans="1:38" hidden="1" x14ac:dyDescent="0.2">
      <c r="A125" t="s">
        <v>300</v>
      </c>
      <c r="B125" t="s">
        <v>301</v>
      </c>
      <c r="C125" t="s">
        <v>301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4.4000000000000004</v>
      </c>
      <c r="AE125">
        <v>654</v>
      </c>
      <c r="AF125">
        <v>11.290316337775989</v>
      </c>
      <c r="AG125">
        <v>12.04545454545455</v>
      </c>
      <c r="AH125">
        <f>13.0294792431607*1</f>
        <v>13.029479243160701</v>
      </c>
      <c r="AI125">
        <f>2.61211344762214*1</f>
        <v>2.6121134476221401</v>
      </c>
      <c r="AJ125">
        <v>1</v>
      </c>
      <c r="AK125">
        <v>0</v>
      </c>
      <c r="AL125">
        <v>0</v>
      </c>
    </row>
    <row r="126" spans="1:38" hidden="1" x14ac:dyDescent="0.2">
      <c r="A126" t="s">
        <v>136</v>
      </c>
      <c r="B126" t="s">
        <v>302</v>
      </c>
      <c r="C126" t="s">
        <v>302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4.4000000000000004</v>
      </c>
      <c r="AE126">
        <v>655</v>
      </c>
      <c r="AF126">
        <v>16.143904093689219</v>
      </c>
      <c r="AG126">
        <v>12.83333333333333</v>
      </c>
      <c r="AH126">
        <f>16.8387736670782*1</f>
        <v>16.8387736670782</v>
      </c>
      <c r="AI126">
        <f>2.04601126232633*1</f>
        <v>2.04601126232633</v>
      </c>
      <c r="AJ126">
        <v>1</v>
      </c>
      <c r="AK126">
        <v>0</v>
      </c>
      <c r="AL126">
        <v>0</v>
      </c>
    </row>
    <row r="127" spans="1:38" hidden="1" x14ac:dyDescent="0.2">
      <c r="A127" t="s">
        <v>303</v>
      </c>
      <c r="B127" t="s">
        <v>304</v>
      </c>
      <c r="C127" t="s">
        <v>304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5</v>
      </c>
      <c r="AE127">
        <v>684</v>
      </c>
      <c r="AF127">
        <v>14.25</v>
      </c>
      <c r="AG127">
        <v>14.66666666666667</v>
      </c>
      <c r="AH127">
        <f>16.2261277517624*1</f>
        <v>16.226127751762402</v>
      </c>
      <c r="AI127">
        <f>3.2452255503525*1</f>
        <v>3.2452255503525</v>
      </c>
      <c r="AJ127">
        <v>1</v>
      </c>
      <c r="AK127">
        <v>0</v>
      </c>
      <c r="AL127">
        <v>0</v>
      </c>
    </row>
    <row r="128" spans="1:38" hidden="1" x14ac:dyDescent="0.2">
      <c r="A128" t="s">
        <v>305</v>
      </c>
      <c r="B128" t="s">
        <v>306</v>
      </c>
      <c r="C128" t="s">
        <v>306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5.8</v>
      </c>
      <c r="AE128">
        <v>692</v>
      </c>
      <c r="AF128">
        <v>12.642857142857149</v>
      </c>
      <c r="AG128">
        <v>11.54545454545454</v>
      </c>
      <c r="AH128">
        <f>14.8290237372906*1</f>
        <v>14.8290237372906</v>
      </c>
      <c r="AI128">
        <f>3.70725593432267*1</f>
        <v>3.7072559343226699</v>
      </c>
      <c r="AJ128">
        <v>1</v>
      </c>
      <c r="AK128">
        <v>0</v>
      </c>
      <c r="AL128">
        <v>0</v>
      </c>
    </row>
    <row r="129" spans="1:38" x14ac:dyDescent="0.2">
      <c r="A129" t="s">
        <v>153</v>
      </c>
      <c r="B129" t="s">
        <v>154</v>
      </c>
      <c r="C129" t="s">
        <v>154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5.8</v>
      </c>
      <c r="AE129">
        <v>275</v>
      </c>
      <c r="AF129">
        <v>27.456964687987689</v>
      </c>
      <c r="AG129">
        <v>10.5</v>
      </c>
      <c r="AH129">
        <f>13.655668228844*1</f>
        <v>13.655668228844</v>
      </c>
      <c r="AI129">
        <f>3.41391705721102*1</f>
        <v>3.41391705721102</v>
      </c>
      <c r="AJ129">
        <v>1</v>
      </c>
      <c r="AK129">
        <v>1</v>
      </c>
      <c r="AL129">
        <v>1</v>
      </c>
    </row>
    <row r="130" spans="1:38" hidden="1" x14ac:dyDescent="0.2">
      <c r="A130" t="s">
        <v>309</v>
      </c>
      <c r="B130" t="s">
        <v>310</v>
      </c>
      <c r="C130" t="s">
        <v>311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5.9</v>
      </c>
      <c r="AE130">
        <v>708</v>
      </c>
      <c r="AF130">
        <v>15.888888888888889</v>
      </c>
      <c r="AG130">
        <v>13.071428571428569</v>
      </c>
      <c r="AH130">
        <f>16.6950554219554*1</f>
        <v>16.695055421955399</v>
      </c>
      <c r="AI130">
        <f>4.17376385548886*1</f>
        <v>4.1737638554888603</v>
      </c>
      <c r="AJ130">
        <v>1</v>
      </c>
      <c r="AK130">
        <v>0</v>
      </c>
      <c r="AL130">
        <v>0</v>
      </c>
    </row>
    <row r="131" spans="1:38" hidden="1" x14ac:dyDescent="0.2">
      <c r="A131" t="s">
        <v>312</v>
      </c>
      <c r="B131" t="s">
        <v>313</v>
      </c>
      <c r="C131" t="s">
        <v>312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7</v>
      </c>
      <c r="AE131">
        <v>710</v>
      </c>
      <c r="AF131">
        <v>15.581395348837219</v>
      </c>
      <c r="AG131">
        <v>15.715505938891109</v>
      </c>
      <c r="AH131">
        <f>20.2821407606837*1</f>
        <v>20.282140760683699</v>
      </c>
      <c r="AI131">
        <f>5.07053519017091*1</f>
        <v>5.0705351901709097</v>
      </c>
      <c r="AJ131">
        <v>1</v>
      </c>
      <c r="AK131">
        <v>0</v>
      </c>
      <c r="AL131">
        <v>0</v>
      </c>
    </row>
    <row r="132" spans="1:38" hidden="1" x14ac:dyDescent="0.2">
      <c r="A132" t="s">
        <v>314</v>
      </c>
      <c r="B132" t="s">
        <v>315</v>
      </c>
      <c r="C132" t="s">
        <v>315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4.9000000000000004</v>
      </c>
      <c r="AE132">
        <v>712</v>
      </c>
      <c r="AF132">
        <v>12.19047619047619</v>
      </c>
      <c r="AG132">
        <v>11.387755102040821</v>
      </c>
      <c r="AH132">
        <f>14.6431550345867*1</f>
        <v>14.6431550345867</v>
      </c>
      <c r="AI132">
        <f>3.66078875864668*1</f>
        <v>3.6607887586466799</v>
      </c>
      <c r="AJ132">
        <v>1</v>
      </c>
      <c r="AK132">
        <v>0</v>
      </c>
      <c r="AL132">
        <v>0</v>
      </c>
    </row>
    <row r="133" spans="1:38" hidden="1" x14ac:dyDescent="0.2">
      <c r="A133" t="s">
        <v>316</v>
      </c>
      <c r="B133" t="s">
        <v>317</v>
      </c>
      <c r="C133" t="s">
        <v>317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4.4000000000000004</v>
      </c>
      <c r="AE133">
        <v>714</v>
      </c>
      <c r="AF133">
        <v>9.2413793103448238</v>
      </c>
      <c r="AG133">
        <v>9.6363636363636367</v>
      </c>
      <c r="AH133">
        <f>12.4551650421401*1</f>
        <v>12.4551650421401</v>
      </c>
      <c r="AI133">
        <f>3.11379126053504*1</f>
        <v>3.1137912605350402</v>
      </c>
      <c r="AJ133">
        <v>1</v>
      </c>
      <c r="AK133">
        <v>0</v>
      </c>
      <c r="AL133">
        <v>0</v>
      </c>
    </row>
    <row r="134" spans="1:38" hidden="1" x14ac:dyDescent="0.2">
      <c r="A134" t="s">
        <v>318</v>
      </c>
      <c r="B134" t="s">
        <v>319</v>
      </c>
      <c r="C134" t="s">
        <v>318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9.6999999999999993</v>
      </c>
      <c r="AE134">
        <v>717</v>
      </c>
      <c r="AF134">
        <v>20.8</v>
      </c>
      <c r="AG134">
        <v>19.756133365355939</v>
      </c>
      <c r="AH134">
        <f>0*0</f>
        <v>0</v>
      </c>
      <c r="AI134">
        <f>6.35615666035724*0</f>
        <v>0</v>
      </c>
      <c r="AJ134">
        <v>0</v>
      </c>
      <c r="AK134">
        <v>0</v>
      </c>
      <c r="AL134">
        <v>0</v>
      </c>
    </row>
    <row r="135" spans="1:38" hidden="1" x14ac:dyDescent="0.2">
      <c r="A135" t="s">
        <v>320</v>
      </c>
      <c r="B135" t="s">
        <v>321</v>
      </c>
      <c r="C135" t="s">
        <v>321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4.8</v>
      </c>
      <c r="AE135">
        <v>720</v>
      </c>
      <c r="AF135">
        <v>20.120349515344319</v>
      </c>
      <c r="AG135">
        <v>11.43330030335326</v>
      </c>
      <c r="AH135">
        <f>14.2316846974218*1</f>
        <v>14.2316846974218</v>
      </c>
      <c r="AI135">
        <f>3.32785107589121*1</f>
        <v>3.3278510758912101</v>
      </c>
      <c r="AJ135">
        <v>1</v>
      </c>
      <c r="AK135">
        <v>0</v>
      </c>
      <c r="AL135">
        <v>0</v>
      </c>
    </row>
    <row r="136" spans="1:38" hidden="1" x14ac:dyDescent="0.2">
      <c r="A136" t="s">
        <v>322</v>
      </c>
      <c r="B136" t="s">
        <v>323</v>
      </c>
      <c r="C136" t="s">
        <v>323</v>
      </c>
      <c r="D136" t="s">
        <v>3</v>
      </c>
      <c r="E136">
        <v>1</v>
      </c>
      <c r="F136">
        <v>0</v>
      </c>
      <c r="G136">
        <v>0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5.3</v>
      </c>
      <c r="AE136">
        <v>721</v>
      </c>
      <c r="AF136">
        <v>10.62966061376234</v>
      </c>
      <c r="AG136">
        <v>12.125</v>
      </c>
      <c r="AH136">
        <f>15.7313123809653*1</f>
        <v>15.731312380965299</v>
      </c>
      <c r="AI136">
        <f>3.93159960257057*1</f>
        <v>3.9315996025705702</v>
      </c>
      <c r="AJ136">
        <v>1</v>
      </c>
      <c r="AK136">
        <v>1</v>
      </c>
      <c r="AL136">
        <v>0</v>
      </c>
    </row>
    <row r="137" spans="1:38" hidden="1" x14ac:dyDescent="0.2">
      <c r="A137" t="s">
        <v>324</v>
      </c>
      <c r="B137" t="s">
        <v>325</v>
      </c>
      <c r="C137" t="s">
        <v>325</v>
      </c>
      <c r="D137" t="s">
        <v>3</v>
      </c>
      <c r="E137">
        <v>1</v>
      </c>
      <c r="F137">
        <v>0</v>
      </c>
      <c r="G137">
        <v>0</v>
      </c>
      <c r="H137">
        <v>0</v>
      </c>
      <c r="I137" t="s">
        <v>29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4.2</v>
      </c>
      <c r="AE137">
        <v>736</v>
      </c>
      <c r="AF137">
        <v>17.068965517241381</v>
      </c>
      <c r="AG137">
        <v>15.790042412584141</v>
      </c>
      <c r="AH137">
        <f>18.7756084965336*1</f>
        <v>18.7756084965336</v>
      </c>
      <c r="AI137">
        <f>3.75271319263662*1</f>
        <v>3.75271319263662</v>
      </c>
      <c r="AJ137">
        <v>1</v>
      </c>
      <c r="AK137">
        <v>0</v>
      </c>
      <c r="AL137">
        <v>0</v>
      </c>
    </row>
    <row r="138" spans="1:38" x14ac:dyDescent="0.2">
      <c r="A138" t="s">
        <v>174</v>
      </c>
      <c r="B138" t="s">
        <v>175</v>
      </c>
      <c r="C138" t="s">
        <v>175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19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4.5999999999999996</v>
      </c>
      <c r="AE138">
        <v>344</v>
      </c>
      <c r="AF138">
        <v>15.80320088999102</v>
      </c>
      <c r="AG138">
        <v>13.67021276595745</v>
      </c>
      <c r="AH138">
        <f>14.8957676275638*1</f>
        <v>14.895767627563799</v>
      </c>
      <c r="AI138">
        <f>2.54478225474376*1</f>
        <v>2.54478225474376</v>
      </c>
      <c r="AJ138">
        <v>1</v>
      </c>
      <c r="AK138">
        <v>1</v>
      </c>
      <c r="AL138">
        <v>1</v>
      </c>
    </row>
    <row r="139" spans="1:38" hidden="1" x14ac:dyDescent="0.2">
      <c r="A139" t="s">
        <v>328</v>
      </c>
      <c r="B139" t="s">
        <v>329</v>
      </c>
      <c r="C139" t="s">
        <v>329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4.5999999999999996</v>
      </c>
      <c r="AE139">
        <v>740</v>
      </c>
      <c r="AF139">
        <v>15</v>
      </c>
      <c r="AG139">
        <v>15.291637980022021</v>
      </c>
      <c r="AH139">
        <f>17.8896831135341*1</f>
        <v>17.889683113534101</v>
      </c>
      <c r="AI139">
        <f>3.42247619642499*1</f>
        <v>3.4224761964249901</v>
      </c>
      <c r="AJ139">
        <v>1</v>
      </c>
      <c r="AK139">
        <v>0</v>
      </c>
      <c r="AL139">
        <v>0</v>
      </c>
    </row>
    <row r="140" spans="1:38" hidden="1" x14ac:dyDescent="0.2">
      <c r="A140" t="s">
        <v>330</v>
      </c>
      <c r="B140" t="s">
        <v>331</v>
      </c>
      <c r="C140" t="s">
        <v>330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4.5999999999999996</v>
      </c>
      <c r="AE140">
        <v>744</v>
      </c>
      <c r="AF140">
        <v>10.043460317048311</v>
      </c>
      <c r="AG140">
        <v>11.71296296296296</v>
      </c>
      <c r="AH140">
        <f>13.4258234937373*1</f>
        <v>13.425823493737299</v>
      </c>
      <c r="AI140">
        <f>2.6848269894163*1</f>
        <v>2.6848269894163002</v>
      </c>
      <c r="AJ140">
        <v>1</v>
      </c>
      <c r="AK140">
        <v>0</v>
      </c>
      <c r="AL140">
        <v>0</v>
      </c>
    </row>
    <row r="141" spans="1:38" hidden="1" x14ac:dyDescent="0.2">
      <c r="A141" t="s">
        <v>71</v>
      </c>
      <c r="B141" t="s">
        <v>332</v>
      </c>
      <c r="C141" t="s">
        <v>333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6</v>
      </c>
      <c r="AE141">
        <v>751</v>
      </c>
      <c r="AF141">
        <v>17.72727272727273</v>
      </c>
      <c r="AG141">
        <v>15.808823529411759</v>
      </c>
      <c r="AH141">
        <f>18.9202234238939*1</f>
        <v>18.920223423893901</v>
      </c>
      <c r="AI141">
        <f>3.78404468477878*1</f>
        <v>3.7840446847787801</v>
      </c>
      <c r="AJ141">
        <v>1</v>
      </c>
      <c r="AK141">
        <v>0</v>
      </c>
      <c r="AL141">
        <v>0</v>
      </c>
    </row>
    <row r="142" spans="1:38" hidden="1" x14ac:dyDescent="0.2">
      <c r="A142" t="s">
        <v>334</v>
      </c>
      <c r="B142" t="s">
        <v>335</v>
      </c>
      <c r="C142" t="s">
        <v>335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4.9000000000000004</v>
      </c>
      <c r="AE142">
        <v>753</v>
      </c>
      <c r="AF142">
        <v>17.72176459250921</v>
      </c>
      <c r="AG142">
        <v>16.09375</v>
      </c>
      <c r="AH142">
        <f>19.1989344213169*1</f>
        <v>19.198934421316899</v>
      </c>
      <c r="AI142">
        <f>3.75008191469517*1</f>
        <v>3.75008191469517</v>
      </c>
      <c r="AJ142">
        <v>1</v>
      </c>
      <c r="AK142">
        <v>0</v>
      </c>
      <c r="AL142">
        <v>0</v>
      </c>
    </row>
    <row r="143" spans="1:38" hidden="1" x14ac:dyDescent="0.2">
      <c r="A143" t="s">
        <v>336</v>
      </c>
      <c r="B143" t="s">
        <v>337</v>
      </c>
      <c r="C143" t="s">
        <v>337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4.5</v>
      </c>
      <c r="AE143">
        <v>755</v>
      </c>
      <c r="AF143">
        <v>15.95359756406781</v>
      </c>
      <c r="AG143">
        <v>15.747863247863251</v>
      </c>
      <c r="AH143">
        <f>18.5204170606952*1</f>
        <v>18.520417060695198</v>
      </c>
      <c r="AI143">
        <f>3.77914140707804*1</f>
        <v>3.7791414070780398</v>
      </c>
      <c r="AJ143">
        <v>1</v>
      </c>
      <c r="AK143">
        <v>0</v>
      </c>
      <c r="AL143">
        <v>0</v>
      </c>
    </row>
    <row r="144" spans="1:38" hidden="1" x14ac:dyDescent="0.2">
      <c r="A144" t="s">
        <v>338</v>
      </c>
      <c r="B144" t="s">
        <v>339</v>
      </c>
      <c r="C144" t="s">
        <v>244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5</v>
      </c>
      <c r="AE144">
        <v>757</v>
      </c>
      <c r="AF144">
        <v>10.27777777777778</v>
      </c>
      <c r="AG144">
        <v>11.34615384615385</v>
      </c>
      <c r="AH144">
        <f>13.1105672254549*1</f>
        <v>13.110567225454901</v>
      </c>
      <c r="AI144">
        <f>2.62211344509098*1</f>
        <v>2.6221134450909802</v>
      </c>
      <c r="AJ144">
        <v>1</v>
      </c>
      <c r="AK144">
        <v>0</v>
      </c>
      <c r="AL144">
        <v>0</v>
      </c>
    </row>
    <row r="145" spans="1:38" hidden="1" x14ac:dyDescent="0.2">
      <c r="A145" t="s">
        <v>136</v>
      </c>
      <c r="B145" t="s">
        <v>340</v>
      </c>
      <c r="C145" t="s">
        <v>340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6</v>
      </c>
      <c r="AE145">
        <v>759</v>
      </c>
      <c r="AF145">
        <v>20.392136076932129</v>
      </c>
      <c r="AG145">
        <v>16.88741721854305</v>
      </c>
      <c r="AH145">
        <f>20.4900436368464*1</f>
        <v>20.490043636846401</v>
      </c>
      <c r="AI145">
        <f>4.21645806509797*1</f>
        <v>4.2164580650979699</v>
      </c>
      <c r="AJ145">
        <v>1</v>
      </c>
      <c r="AK145">
        <v>0</v>
      </c>
      <c r="AL145">
        <v>0</v>
      </c>
    </row>
    <row r="146" spans="1:38" hidden="1" x14ac:dyDescent="0.2">
      <c r="A146" t="s">
        <v>341</v>
      </c>
      <c r="B146" t="s">
        <v>342</v>
      </c>
      <c r="C146" t="s">
        <v>342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6.8</v>
      </c>
      <c r="AE146">
        <v>761</v>
      </c>
      <c r="AF146">
        <v>23.82352941176471</v>
      </c>
      <c r="AG146">
        <v>19.657833403589599</v>
      </c>
      <c r="AH146">
        <f>23.8679653191495*1</f>
        <v>23.867965319149501</v>
      </c>
      <c r="AI146">
        <f>4.77359162118926*1</f>
        <v>4.7735916211892597</v>
      </c>
      <c r="AJ146">
        <v>1</v>
      </c>
      <c r="AK146">
        <v>0</v>
      </c>
      <c r="AL146">
        <v>0</v>
      </c>
    </row>
    <row r="147" spans="1:38" hidden="1" x14ac:dyDescent="0.2">
      <c r="A147" t="s">
        <v>343</v>
      </c>
      <c r="B147" t="s">
        <v>344</v>
      </c>
      <c r="C147" t="s">
        <v>344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30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4.5</v>
      </c>
      <c r="AE147">
        <v>773</v>
      </c>
      <c r="AF147">
        <v>18.610120024546418</v>
      </c>
      <c r="AG147">
        <v>13.95</v>
      </c>
      <c r="AH147">
        <f>20.2037751949424*1</f>
        <v>20.203775194942398</v>
      </c>
      <c r="AI147">
        <f>4.11089633680403*1</f>
        <v>4.1108963368040303</v>
      </c>
      <c r="AJ147">
        <v>1</v>
      </c>
      <c r="AK147">
        <v>0</v>
      </c>
      <c r="AL147">
        <v>0</v>
      </c>
    </row>
    <row r="148" spans="1:38" hidden="1" x14ac:dyDescent="0.2">
      <c r="A148" t="s">
        <v>345</v>
      </c>
      <c r="B148" t="s">
        <v>346</v>
      </c>
      <c r="C148" t="s">
        <v>347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5.6</v>
      </c>
      <c r="AE148">
        <v>778</v>
      </c>
      <c r="AF148">
        <v>32.131937659858643</v>
      </c>
      <c r="AG148">
        <v>14.58333333333333</v>
      </c>
      <c r="AH148">
        <f>22.9658333712977*1</f>
        <v>22.965833371297698</v>
      </c>
      <c r="AI148">
        <f>4.55236161588036*1</f>
        <v>4.5523616158803604</v>
      </c>
      <c r="AJ148">
        <v>1</v>
      </c>
      <c r="AK148">
        <v>0</v>
      </c>
      <c r="AL148">
        <v>0</v>
      </c>
    </row>
    <row r="149" spans="1:38" hidden="1" x14ac:dyDescent="0.2">
      <c r="A149" t="s">
        <v>348</v>
      </c>
      <c r="B149" t="s">
        <v>349</v>
      </c>
      <c r="C149" t="s">
        <v>349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4.5</v>
      </c>
      <c r="AE149">
        <v>783</v>
      </c>
      <c r="AF149">
        <v>15.321100917431179</v>
      </c>
      <c r="AG149">
        <v>15.17441860465116</v>
      </c>
      <c r="AH149">
        <f>21.260760305046*1</f>
        <v>21.260760305045999</v>
      </c>
      <c r="AI149">
        <f>4.25215206100921*1</f>
        <v>4.2521520610092098</v>
      </c>
      <c r="AJ149">
        <v>1</v>
      </c>
      <c r="AK149">
        <v>0</v>
      </c>
      <c r="AL149">
        <v>0</v>
      </c>
    </row>
    <row r="150" spans="1:38" hidden="1" x14ac:dyDescent="0.2">
      <c r="A150" t="s">
        <v>350</v>
      </c>
      <c r="B150" t="s">
        <v>351</v>
      </c>
      <c r="C150" t="s">
        <v>352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4.9000000000000004</v>
      </c>
      <c r="AE150">
        <v>785</v>
      </c>
      <c r="AF150">
        <v>11.25</v>
      </c>
      <c r="AG150">
        <v>12.57575757575758</v>
      </c>
      <c r="AH150">
        <f>17.4091758895863*1</f>
        <v>17.409175889586301</v>
      </c>
      <c r="AI150">
        <f>3.48183517791727*1</f>
        <v>3.48183517791727</v>
      </c>
      <c r="AJ150">
        <v>1</v>
      </c>
      <c r="AK150">
        <v>0</v>
      </c>
      <c r="AL150">
        <v>0</v>
      </c>
    </row>
    <row r="151" spans="1:38" hidden="1" x14ac:dyDescent="0.2">
      <c r="A151" t="s">
        <v>353</v>
      </c>
      <c r="B151" t="s">
        <v>354</v>
      </c>
      <c r="C151" t="s">
        <v>355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5</v>
      </c>
      <c r="AE151">
        <v>788</v>
      </c>
      <c r="AF151">
        <v>19.71116182104101</v>
      </c>
      <c r="AG151">
        <v>17.321428571428569</v>
      </c>
      <c r="AH151">
        <f>24.5923180689465*1</f>
        <v>24.592318068946501</v>
      </c>
      <c r="AI151">
        <f>4.96566292548982*1</f>
        <v>4.9656629254898199</v>
      </c>
      <c r="AJ151">
        <v>1</v>
      </c>
      <c r="AK151">
        <v>0</v>
      </c>
      <c r="AL151">
        <v>0</v>
      </c>
    </row>
    <row r="152" spans="1:38" hidden="1" x14ac:dyDescent="0.2">
      <c r="A152" t="s">
        <v>356</v>
      </c>
      <c r="B152" t="s">
        <v>357</v>
      </c>
      <c r="C152" t="s">
        <v>357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4.7</v>
      </c>
      <c r="AE152">
        <v>789</v>
      </c>
      <c r="AF152">
        <v>28.253779627645411</v>
      </c>
      <c r="AG152">
        <v>11.875</v>
      </c>
      <c r="AH152">
        <f>19.0047801504539*1</f>
        <v>19.0047801504539</v>
      </c>
      <c r="AI152">
        <f>3.79511847816563*1</f>
        <v>3.7951184781656302</v>
      </c>
      <c r="AJ152">
        <v>1</v>
      </c>
      <c r="AK152">
        <v>0</v>
      </c>
      <c r="AL152">
        <v>0</v>
      </c>
    </row>
    <row r="153" spans="1:38" hidden="1" x14ac:dyDescent="0.2">
      <c r="A153" t="s">
        <v>358</v>
      </c>
      <c r="B153" t="s">
        <v>359</v>
      </c>
      <c r="C153" t="s">
        <v>360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4.5</v>
      </c>
      <c r="AE153">
        <v>791</v>
      </c>
      <c r="AF153">
        <v>14.070796460177</v>
      </c>
      <c r="AG153">
        <v>14.831460674157301</v>
      </c>
      <c r="AH153">
        <f>20.6486858661485*1</f>
        <v>20.648685866148501</v>
      </c>
      <c r="AI153">
        <f>4.12973717322971*1</f>
        <v>4.1297371732297101</v>
      </c>
      <c r="AJ153">
        <v>1</v>
      </c>
      <c r="AK153">
        <v>0</v>
      </c>
      <c r="AL153">
        <v>0</v>
      </c>
    </row>
    <row r="154" spans="1:38" hidden="1" x14ac:dyDescent="0.2">
      <c r="A154" t="s">
        <v>361</v>
      </c>
      <c r="B154" t="s">
        <v>362</v>
      </c>
      <c r="C154" t="s">
        <v>363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4.4000000000000004</v>
      </c>
      <c r="AE154">
        <v>792</v>
      </c>
      <c r="AF154">
        <v>12.25</v>
      </c>
      <c r="AG154">
        <v>12.41935483870968</v>
      </c>
      <c r="AH154">
        <f>17.358546207319*1</f>
        <v>17.358546207319002</v>
      </c>
      <c r="AI154">
        <f>3.4717092414638*1</f>
        <v>3.4717092414638002</v>
      </c>
      <c r="AJ154">
        <v>1</v>
      </c>
      <c r="AK154">
        <v>0</v>
      </c>
      <c r="AL154">
        <v>0</v>
      </c>
    </row>
    <row r="155" spans="1:38" x14ac:dyDescent="0.2">
      <c r="A155" t="s">
        <v>150</v>
      </c>
      <c r="B155" t="s">
        <v>151</v>
      </c>
      <c r="C155" t="s">
        <v>152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17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273</v>
      </c>
      <c r="AF155">
        <v>10.712484012578731</v>
      </c>
      <c r="AG155">
        <v>12.833454236133459</v>
      </c>
      <c r="AH155">
        <f>10.115279002061*1</f>
        <v>10.115279002061</v>
      </c>
      <c r="AI155">
        <f>2.53814197515667*1</f>
        <v>2.5381419751566701</v>
      </c>
      <c r="AJ155">
        <v>1</v>
      </c>
      <c r="AK155">
        <v>1</v>
      </c>
      <c r="AL155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2024-02-02T20:44:10Z</dcterms:created>
  <dcterms:modified xsi:type="dcterms:W3CDTF">2024-02-02T21:06:33Z</dcterms:modified>
</cp:coreProperties>
</file>