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Calibrations/2023-24/"/>
    </mc:Choice>
  </mc:AlternateContent>
  <xr:revisionPtr revIDLastSave="0" documentId="13_ncr:1_{DF29A0B8-788C-094A-8D2F-7AF7386EA874}" xr6:coauthVersionLast="47" xr6:coauthVersionMax="47" xr10:uidLastSave="{00000000-0000-0000-0000-000000000000}"/>
  <bookViews>
    <workbookView xWindow="4260" yWindow="2020" windowWidth="16100" windowHeight="9660" firstSheet="12" activeTab="19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0" l="1"/>
  <c r="F10" i="20" s="1"/>
  <c r="D9" i="20"/>
  <c r="F9" i="20" s="1"/>
  <c r="F8" i="20"/>
  <c r="D8" i="20"/>
  <c r="D7" i="20"/>
  <c r="F7" i="20" s="1"/>
  <c r="D6" i="20"/>
  <c r="F6" i="20" s="1"/>
  <c r="D5" i="20"/>
  <c r="I5" i="20" s="1"/>
  <c r="D4" i="20"/>
  <c r="F4" i="20" s="1"/>
  <c r="D3" i="20"/>
  <c r="F3" i="20" s="1"/>
  <c r="F2" i="20"/>
  <c r="D2" i="20"/>
  <c r="F8" i="19"/>
  <c r="D8" i="19"/>
  <c r="D7" i="19"/>
  <c r="F7" i="19" s="1"/>
  <c r="D6" i="19"/>
  <c r="F6" i="19" s="1"/>
  <c r="F5" i="19"/>
  <c r="D5" i="19"/>
  <c r="I5" i="19" s="1"/>
  <c r="F4" i="19"/>
  <c r="D4" i="19"/>
  <c r="F3" i="19"/>
  <c r="D3" i="19"/>
  <c r="F2" i="19"/>
  <c r="D2" i="19"/>
  <c r="F11" i="18"/>
  <c r="D11" i="18"/>
  <c r="F10" i="18"/>
  <c r="D10" i="18"/>
  <c r="F9" i="18"/>
  <c r="D9" i="18"/>
  <c r="F8" i="18"/>
  <c r="D8" i="18"/>
  <c r="D7" i="18"/>
  <c r="F7" i="18" s="1"/>
  <c r="D6" i="18"/>
  <c r="F6" i="18" s="1"/>
  <c r="F5" i="18"/>
  <c r="D5" i="18"/>
  <c r="I5" i="18" s="1"/>
  <c r="F4" i="18"/>
  <c r="D4" i="18"/>
  <c r="F3" i="18"/>
  <c r="D3" i="18"/>
  <c r="F2" i="18"/>
  <c r="D2" i="18"/>
  <c r="D6" i="17"/>
  <c r="F6" i="17" s="1"/>
  <c r="I5" i="17"/>
  <c r="F5" i="17"/>
  <c r="D5" i="17"/>
  <c r="F4" i="17"/>
  <c r="D4" i="17"/>
  <c r="F3" i="17"/>
  <c r="D3" i="17"/>
  <c r="F2" i="17"/>
  <c r="D2" i="17"/>
  <c r="I5" i="16"/>
  <c r="F4" i="16"/>
  <c r="D4" i="16"/>
  <c r="F3" i="16"/>
  <c r="D3" i="16"/>
  <c r="D2" i="16"/>
  <c r="F2" i="16" s="1"/>
  <c r="I7" i="16" s="1"/>
  <c r="D10" i="15"/>
  <c r="F10" i="15" s="1"/>
  <c r="D9" i="15"/>
  <c r="F9" i="15" s="1"/>
  <c r="F8" i="15"/>
  <c r="D8" i="15"/>
  <c r="D7" i="15"/>
  <c r="F7" i="15" s="1"/>
  <c r="F6" i="15"/>
  <c r="D6" i="15"/>
  <c r="D5" i="15"/>
  <c r="F5" i="15" s="1"/>
  <c r="F4" i="15"/>
  <c r="D4" i="15"/>
  <c r="F3" i="15"/>
  <c r="D3" i="15"/>
  <c r="D2" i="15"/>
  <c r="F2" i="15" s="1"/>
  <c r="D8" i="14"/>
  <c r="F8" i="14" s="1"/>
  <c r="F7" i="14"/>
  <c r="D7" i="14"/>
  <c r="D6" i="14"/>
  <c r="F6" i="14" s="1"/>
  <c r="F5" i="14"/>
  <c r="D5" i="14"/>
  <c r="I5" i="14" s="1"/>
  <c r="D4" i="14"/>
  <c r="F4" i="14" s="1"/>
  <c r="D3" i="14"/>
  <c r="F3" i="14" s="1"/>
  <c r="F2" i="14"/>
  <c r="D2" i="14"/>
  <c r="F11" i="13"/>
  <c r="D11" i="13"/>
  <c r="F10" i="13"/>
  <c r="D10" i="13"/>
  <c r="D9" i="13"/>
  <c r="F9" i="13" s="1"/>
  <c r="D8" i="13"/>
  <c r="F8" i="13" s="1"/>
  <c r="D7" i="13"/>
  <c r="F7" i="13" s="1"/>
  <c r="D6" i="13"/>
  <c r="F6" i="13" s="1"/>
  <c r="I5" i="13"/>
  <c r="D5" i="13"/>
  <c r="F5" i="13" s="1"/>
  <c r="D4" i="13"/>
  <c r="F4" i="13" s="1"/>
  <c r="F3" i="13"/>
  <c r="I7" i="13" s="1"/>
  <c r="D3" i="13"/>
  <c r="F2" i="13"/>
  <c r="D2" i="13"/>
  <c r="F7" i="12"/>
  <c r="D7" i="12"/>
  <c r="D6" i="12"/>
  <c r="F6" i="12" s="1"/>
  <c r="I5" i="12"/>
  <c r="F5" i="12"/>
  <c r="D5" i="12"/>
  <c r="D4" i="12"/>
  <c r="F4" i="12" s="1"/>
  <c r="F3" i="12"/>
  <c r="D3" i="12"/>
  <c r="D2" i="12"/>
  <c r="F2" i="12" s="1"/>
  <c r="D15" i="11"/>
  <c r="F15" i="11" s="1"/>
  <c r="F14" i="11"/>
  <c r="D14" i="11"/>
  <c r="D13" i="11"/>
  <c r="F13" i="11" s="1"/>
  <c r="F12" i="11"/>
  <c r="D12" i="11"/>
  <c r="D11" i="11"/>
  <c r="F11" i="11" s="1"/>
  <c r="D10" i="11"/>
  <c r="F10" i="11" s="1"/>
  <c r="F9" i="11"/>
  <c r="D9" i="11"/>
  <c r="D8" i="11"/>
  <c r="F8" i="11" s="1"/>
  <c r="F7" i="11"/>
  <c r="D7" i="11"/>
  <c r="D6" i="11"/>
  <c r="F6" i="11" s="1"/>
  <c r="I5" i="11"/>
  <c r="F5" i="11"/>
  <c r="D5" i="11"/>
  <c r="D4" i="11"/>
  <c r="F4" i="11" s="1"/>
  <c r="F3" i="11"/>
  <c r="D3" i="11"/>
  <c r="D2" i="11"/>
  <c r="F2" i="11" s="1"/>
  <c r="D12" i="10"/>
  <c r="F12" i="10" s="1"/>
  <c r="F11" i="10"/>
  <c r="D11" i="10"/>
  <c r="D10" i="10"/>
  <c r="F10" i="10" s="1"/>
  <c r="F9" i="10"/>
  <c r="D9" i="10"/>
  <c r="D8" i="10"/>
  <c r="F8" i="10" s="1"/>
  <c r="F7" i="10"/>
  <c r="D7" i="10"/>
  <c r="F6" i="10"/>
  <c r="D6" i="10"/>
  <c r="I5" i="10"/>
  <c r="F5" i="10"/>
  <c r="D5" i="10"/>
  <c r="D4" i="10"/>
  <c r="F4" i="10" s="1"/>
  <c r="D3" i="10"/>
  <c r="F3" i="10" s="1"/>
  <c r="F2" i="10"/>
  <c r="D2" i="10"/>
  <c r="D12" i="9"/>
  <c r="F12" i="9" s="1"/>
  <c r="F11" i="9"/>
  <c r="D11" i="9"/>
  <c r="D10" i="9"/>
  <c r="F10" i="9" s="1"/>
  <c r="D9" i="9"/>
  <c r="F9" i="9" s="1"/>
  <c r="F8" i="9"/>
  <c r="D8" i="9"/>
  <c r="D7" i="9"/>
  <c r="F7" i="9" s="1"/>
  <c r="F6" i="9"/>
  <c r="D6" i="9"/>
  <c r="D5" i="9"/>
  <c r="I5" i="9" s="1"/>
  <c r="F4" i="9"/>
  <c r="D4" i="9"/>
  <c r="D3" i="9"/>
  <c r="F3" i="9" s="1"/>
  <c r="F2" i="9"/>
  <c r="D2" i="9"/>
  <c r="D7" i="8"/>
  <c r="F7" i="8" s="1"/>
  <c r="F6" i="8"/>
  <c r="D6" i="8"/>
  <c r="D5" i="8"/>
  <c r="I5" i="8" s="1"/>
  <c r="D4" i="8"/>
  <c r="F4" i="8" s="1"/>
  <c r="D3" i="8"/>
  <c r="F3" i="8" s="1"/>
  <c r="D2" i="8"/>
  <c r="F2" i="8" s="1"/>
  <c r="F9" i="7"/>
  <c r="D9" i="7"/>
  <c r="D8" i="7"/>
  <c r="F8" i="7" s="1"/>
  <c r="F7" i="7"/>
  <c r="D7" i="7"/>
  <c r="D6" i="7"/>
  <c r="F6" i="7" s="1"/>
  <c r="I5" i="7"/>
  <c r="F5" i="7"/>
  <c r="D5" i="7"/>
  <c r="D4" i="7"/>
  <c r="F4" i="7" s="1"/>
  <c r="D3" i="7"/>
  <c r="F3" i="7" s="1"/>
  <c r="D2" i="7"/>
  <c r="F2" i="7" s="1"/>
  <c r="I5" i="6"/>
  <c r="F5" i="6"/>
  <c r="D5" i="6"/>
  <c r="D4" i="6"/>
  <c r="F4" i="6" s="1"/>
  <c r="D3" i="6"/>
  <c r="F3" i="6" s="1"/>
  <c r="D2" i="6"/>
  <c r="F2" i="6" s="1"/>
  <c r="F8" i="5"/>
  <c r="D8" i="5"/>
  <c r="F7" i="5"/>
  <c r="D7" i="5"/>
  <c r="F6" i="5"/>
  <c r="D6" i="5"/>
  <c r="I5" i="5"/>
  <c r="D5" i="5"/>
  <c r="F5" i="5" s="1"/>
  <c r="D4" i="5"/>
  <c r="F4" i="5" s="1"/>
  <c r="F3" i="5"/>
  <c r="D3" i="5"/>
  <c r="D2" i="5"/>
  <c r="F2" i="5" s="1"/>
  <c r="D10" i="4"/>
  <c r="F10" i="4" s="1"/>
  <c r="D9" i="4"/>
  <c r="F9" i="4" s="1"/>
  <c r="D8" i="4"/>
  <c r="F8" i="4" s="1"/>
  <c r="D7" i="4"/>
  <c r="F7" i="4" s="1"/>
  <c r="F6" i="4"/>
  <c r="D6" i="4"/>
  <c r="I5" i="4"/>
  <c r="D5" i="4"/>
  <c r="F5" i="4" s="1"/>
  <c r="D4" i="4"/>
  <c r="F4" i="4" s="1"/>
  <c r="F3" i="4"/>
  <c r="D3" i="4"/>
  <c r="D2" i="4"/>
  <c r="F2" i="4" s="1"/>
  <c r="I7" i="4" s="1"/>
  <c r="F7" i="3"/>
  <c r="D7" i="3"/>
  <c r="D6" i="3"/>
  <c r="F6" i="3" s="1"/>
  <c r="I5" i="3"/>
  <c r="F5" i="3"/>
  <c r="D5" i="3"/>
  <c r="D4" i="3"/>
  <c r="F4" i="3" s="1"/>
  <c r="D3" i="3"/>
  <c r="F3" i="3" s="1"/>
  <c r="F2" i="3"/>
  <c r="D2" i="3"/>
  <c r="D10" i="2"/>
  <c r="F10" i="2" s="1"/>
  <c r="F9" i="2"/>
  <c r="D9" i="2"/>
  <c r="D8" i="2"/>
  <c r="F8" i="2" s="1"/>
  <c r="F7" i="2"/>
  <c r="D7" i="2"/>
  <c r="D6" i="2"/>
  <c r="F6" i="2" s="1"/>
  <c r="I5" i="2"/>
  <c r="F5" i="2"/>
  <c r="D5" i="2"/>
  <c r="D4" i="2"/>
  <c r="F4" i="2" s="1"/>
  <c r="D3" i="2"/>
  <c r="F3" i="2" s="1"/>
  <c r="F2" i="2"/>
  <c r="D2" i="2"/>
  <c r="D13" i="1"/>
  <c r="F13" i="1" s="1"/>
  <c r="F12" i="1"/>
  <c r="D12" i="1"/>
  <c r="D11" i="1"/>
  <c r="F11" i="1" s="1"/>
  <c r="D10" i="1"/>
  <c r="F10" i="1" s="1"/>
  <c r="F9" i="1"/>
  <c r="D9" i="1"/>
  <c r="D8" i="1"/>
  <c r="F8" i="1" s="1"/>
  <c r="D7" i="1"/>
  <c r="F7" i="1" s="1"/>
  <c r="F6" i="1"/>
  <c r="D6" i="1"/>
  <c r="I5" i="1"/>
  <c r="F5" i="1"/>
  <c r="D5" i="1"/>
  <c r="D4" i="1"/>
  <c r="F4" i="1" s="1"/>
  <c r="F3" i="1"/>
  <c r="D3" i="1"/>
  <c r="D2" i="1"/>
  <c r="F2" i="1" s="1"/>
  <c r="F5" i="20" l="1"/>
  <c r="I7" i="7"/>
  <c r="I7" i="6"/>
  <c r="I7" i="12"/>
  <c r="I7" i="15"/>
  <c r="I7" i="17"/>
  <c r="I7" i="19"/>
  <c r="I7" i="20"/>
  <c r="I7" i="1"/>
  <c r="I7" i="9"/>
  <c r="I7" i="14"/>
  <c r="I7" i="18"/>
  <c r="I7" i="5"/>
  <c r="I7" i="10"/>
  <c r="I7" i="2"/>
  <c r="I7" i="3"/>
  <c r="I7" i="11"/>
  <c r="F5" i="9"/>
  <c r="I5" i="15"/>
  <c r="F5" i="8"/>
  <c r="I7" i="8" s="1"/>
</calcChain>
</file>

<file path=xl/sharedStrings.xml><?xml version="1.0" encoding="utf-8"?>
<sst xmlns="http://schemas.openxmlformats.org/spreadsheetml/2006/main" count="363" uniqueCount="171">
  <si>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</si>
  <si>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</si>
  <si>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</si>
  <si>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</si>
  <si>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</si>
  <si>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</si>
  <si>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</si>
  <si>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</si>
  <si>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</si>
  <si>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</si>
  <si>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</si>
  <si>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</si>
  <si>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</si>
  <si>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</si>
  <si>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</si>
  <si>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</si>
  <si>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</si>
  <si>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</si>
  <si>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</si>
  <si>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</si>
  <si>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</si>
  <si>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</si>
  <si>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Digne</t>
  </si>
  <si>
    <t>Tielemans</t>
  </si>
  <si>
    <t>Douglas Luiz</t>
  </si>
  <si>
    <t>McGinn</t>
  </si>
  <si>
    <t>Konsa</t>
  </si>
  <si>
    <t>Watkins</t>
  </si>
  <si>
    <t>Bailey</t>
  </si>
  <si>
    <t>Martinez</t>
  </si>
  <si>
    <t>Diaby</t>
  </si>
  <si>
    <t>Smith</t>
  </si>
  <si>
    <t>Solanke</t>
  </si>
  <si>
    <t>Tavernier</t>
  </si>
  <si>
    <t>Senesi</t>
  </si>
  <si>
    <t>Neto</t>
  </si>
  <si>
    <t>Semenyo</t>
  </si>
  <si>
    <t>Maupay</t>
  </si>
  <si>
    <t>Nørgaard</t>
  </si>
  <si>
    <t>Janelt</t>
  </si>
  <si>
    <t>Mbeumo</t>
  </si>
  <si>
    <t>Wissa</t>
  </si>
  <si>
    <t>Jensen</t>
  </si>
  <si>
    <t>Collins</t>
  </si>
  <si>
    <t>Lewis-Potter</t>
  </si>
  <si>
    <t>Flekken</t>
  </si>
  <si>
    <t>Dunk</t>
  </si>
  <si>
    <t>Gross</t>
  </si>
  <si>
    <t>Welbeck</t>
  </si>
  <si>
    <t>Gilmour</t>
  </si>
  <si>
    <t>João Pedro</t>
  </si>
  <si>
    <t>Mitoma</t>
  </si>
  <si>
    <t>Buonanotte</t>
  </si>
  <si>
    <t>Berge</t>
  </si>
  <si>
    <t>Brownhill</t>
  </si>
  <si>
    <t>Trafford</t>
  </si>
  <si>
    <t>Amdouni</t>
  </si>
  <si>
    <t>Sterling</t>
  </si>
  <si>
    <t>Gallagher</t>
  </si>
  <si>
    <t>Palmer</t>
  </si>
  <si>
    <t>T.Silva</t>
  </si>
  <si>
    <t>Colwill</t>
  </si>
  <si>
    <t>Mudryk</t>
  </si>
  <si>
    <t>Enzo</t>
  </si>
  <si>
    <t>N.Jackson</t>
  </si>
  <si>
    <t>J.Ayew</t>
  </si>
  <si>
    <t>Eze</t>
  </si>
  <si>
    <t>Johnstone</t>
  </si>
  <si>
    <t>Mateta</t>
  </si>
  <si>
    <t>Edouard</t>
  </si>
  <si>
    <t>Lerma</t>
  </si>
  <si>
    <t>A.Doucoure</t>
  </si>
  <si>
    <t>Tarkowski</t>
  </si>
  <si>
    <t>Pickford</t>
  </si>
  <si>
    <t>Young</t>
  </si>
  <si>
    <t>Calvert-Lewin</t>
  </si>
  <si>
    <t>McNeil</t>
  </si>
  <si>
    <t>Garner</t>
  </si>
  <si>
    <t>Branthwaite</t>
  </si>
  <si>
    <t>Harrison</t>
  </si>
  <si>
    <t>Mykolenko</t>
  </si>
  <si>
    <t>Onana</t>
  </si>
  <si>
    <t>Raúl</t>
  </si>
  <si>
    <t>Cairney</t>
  </si>
  <si>
    <t>Iwobi</t>
  </si>
  <si>
    <t>Leno</t>
  </si>
  <si>
    <t>Wilson</t>
  </si>
  <si>
    <t>Castagne</t>
  </si>
  <si>
    <t>Robinson</t>
  </si>
  <si>
    <t>J.Palhinha</t>
  </si>
  <si>
    <t>Andreas</t>
  </si>
  <si>
    <t>De Cordova-Reid</t>
  </si>
  <si>
    <t>Willian</t>
  </si>
  <si>
    <t>A.Becker</t>
  </si>
  <si>
    <t>Salah</t>
  </si>
  <si>
    <t>Alexander-Arnold</t>
  </si>
  <si>
    <t>Virgil</t>
  </si>
  <si>
    <t>Elliott</t>
  </si>
  <si>
    <t>Jones</t>
  </si>
  <si>
    <t>Mac Allister</t>
  </si>
  <si>
    <t>Konaté</t>
  </si>
  <si>
    <t>Luis Díaz</t>
  </si>
  <si>
    <t>Darwin</t>
  </si>
  <si>
    <t>Diogo J.</t>
  </si>
  <si>
    <t>Gakpo</t>
  </si>
  <si>
    <t>Szoboszlai</t>
  </si>
  <si>
    <t>Gomez</t>
  </si>
  <si>
    <t>Barkley</t>
  </si>
  <si>
    <t>Kaminski</t>
  </si>
  <si>
    <t>Adebayo</t>
  </si>
  <si>
    <t>Ogbene</t>
  </si>
  <si>
    <t>Doughty</t>
  </si>
  <si>
    <t>Morris</t>
  </si>
  <si>
    <t>Ederson M.</t>
  </si>
  <si>
    <t>Walker</t>
  </si>
  <si>
    <t>Aké</t>
  </si>
  <si>
    <t>Foden</t>
  </si>
  <si>
    <t>Rodrigo</t>
  </si>
  <si>
    <t>Haaland</t>
  </si>
  <si>
    <t>Bernardo</t>
  </si>
  <si>
    <t>J.Alvarez</t>
  </si>
  <si>
    <t>Rúben</t>
  </si>
  <si>
    <t>Akanji</t>
  </si>
  <si>
    <t>Rashford</t>
  </si>
  <si>
    <t>McTominay</t>
  </si>
  <si>
    <t>Lindelof</t>
  </si>
  <si>
    <t>B.Fernandes</t>
  </si>
  <si>
    <t>Dalot</t>
  </si>
  <si>
    <t>Garnacho</t>
  </si>
  <si>
    <t>Trippier</t>
  </si>
  <si>
    <t>Schär</t>
  </si>
  <si>
    <t>Longstaff</t>
  </si>
  <si>
    <t>Burn</t>
  </si>
  <si>
    <t>Gordon</t>
  </si>
  <si>
    <t>Bruno G.</t>
  </si>
  <si>
    <t>Almirón</t>
  </si>
  <si>
    <t>Isak</t>
  </si>
  <si>
    <t>Wood</t>
  </si>
  <si>
    <t>Gibbs-White</t>
  </si>
  <si>
    <t>Elanga</t>
  </si>
  <si>
    <t>Archer</t>
  </si>
  <si>
    <t>McAtee</t>
  </si>
  <si>
    <t>Vini Souza</t>
  </si>
  <si>
    <t>Foderingham</t>
  </si>
  <si>
    <t>Hamer</t>
  </si>
  <si>
    <t>Maddison</t>
  </si>
  <si>
    <t>Richarlison</t>
  </si>
  <si>
    <t>Romero</t>
  </si>
  <si>
    <t>Kulusevski</t>
  </si>
  <si>
    <t>Johnson</t>
  </si>
  <si>
    <t>Son</t>
  </si>
  <si>
    <t>Sarr</t>
  </si>
  <si>
    <t>Pedro Porro</t>
  </si>
  <si>
    <t>Udogie</t>
  </si>
  <si>
    <t>Vicario</t>
  </si>
  <si>
    <t>Ward-Prowse</t>
  </si>
  <si>
    <t>Emerson</t>
  </si>
  <si>
    <t>Bowen</t>
  </si>
  <si>
    <t>Areola</t>
  </si>
  <si>
    <t>L.Paquetá</t>
  </si>
  <si>
    <t>Coufal</t>
  </si>
  <si>
    <t>Souček</t>
  </si>
  <si>
    <t>Mario Jr.</t>
  </si>
  <si>
    <t>Kilman</t>
  </si>
  <si>
    <t>Dawson</t>
  </si>
  <si>
    <t>José Sá</t>
  </si>
  <si>
    <t>Toti</t>
  </si>
  <si>
    <t>Hee Chan</t>
  </si>
  <si>
    <t>Cunha</t>
  </si>
  <si>
    <t>Sarabia</t>
  </si>
  <si>
    <t>João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</si>
</sst>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F13" totalsRowShown="0">
  <autoFilter ref="A1:F13" xr:uid="{00000000-0009-0000-0100-000001000000}"/>
  <tableColumns count="6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PP">
      <calculatedColumnFormula>TableARS[[#This Row],[ARIMAPP]]*$I$2+TableARS[[#This Row],[LSTMPP]]*$I$3</calculatedColumnFormula>
    </tableColumn>
    <tableColumn id="5" xr3:uid="{00000000-0010-0000-0000-000005000000}" name="AP"/>
    <tableColumn id="6" xr3:uid="{00000000-0010-0000-0000-000006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FUL" displayName="TableFUL" ref="A1:F12" totalsRowShown="0">
  <autoFilter ref="A1:F12" xr:uid="{00000000-0009-0000-0100-00000A000000}"/>
  <tableColumns count="6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PP">
      <calculatedColumnFormula>TableFUL[[#This Row],[ARIMAPP]]*$I$2+TableFUL[[#This Row],[LSTMPP]]*$I$3</calculatedColumnFormula>
    </tableColumn>
    <tableColumn id="5" xr3:uid="{00000000-0010-0000-0900-000005000000}" name="AP"/>
    <tableColumn id="6" xr3:uid="{00000000-0010-0000-0900-000006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LIV" displayName="TableLIV" ref="A1:F15" totalsRowShown="0">
  <autoFilter ref="A1:F15" xr:uid="{00000000-0009-0000-0100-00000B000000}"/>
  <tableColumns count="6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PP">
      <calculatedColumnFormula>TableLIV[[#This Row],[ARIMAPP]]*$I$2+TableLIV[[#This Row],[LSTMPP]]*$I$3</calculatedColumnFormula>
    </tableColumn>
    <tableColumn id="5" xr3:uid="{00000000-0010-0000-0A00-000005000000}" name="AP"/>
    <tableColumn id="6" xr3:uid="{00000000-0010-0000-0A00-000006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LUT" displayName="TableLUT" ref="A1:F7" totalsRowShown="0">
  <autoFilter ref="A1:F7" xr:uid="{00000000-0009-0000-0100-00000C000000}"/>
  <tableColumns count="6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PP">
      <calculatedColumnFormula>TableLUT[[#This Row],[ARIMAPP]]*$I$2+TableLUT[[#This Row],[LSTMPP]]*$I$3</calculatedColumnFormula>
    </tableColumn>
    <tableColumn id="5" xr3:uid="{00000000-0010-0000-0B00-000005000000}" name="AP"/>
    <tableColumn id="6" xr3:uid="{00000000-0010-0000-0B00-000006000000}" name="DIFF">
      <calculatedColumnFormula>ABS(TableLUT[[#This Row],[PP]]-TableLUT[[#This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MCI" displayName="TableMCI" ref="A1:F11" totalsRowShown="0">
  <autoFilter ref="A1:F11" xr:uid="{00000000-0009-0000-0100-00000D000000}"/>
  <tableColumns count="6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PP">
      <calculatedColumnFormula>TableMCI[[#This Row],[ARIMAPP]]*$I$2+TableMCI[[#This Row],[LSTMPP]]*$I$3</calculatedColumnFormula>
    </tableColumn>
    <tableColumn id="5" xr3:uid="{00000000-0010-0000-0C00-000005000000}" name="AP"/>
    <tableColumn id="6" xr3:uid="{00000000-0010-0000-0C00-000006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MUN" displayName="TableMUN" ref="A1:F8" totalsRowShown="0">
  <autoFilter ref="A1:F8" xr:uid="{00000000-0009-0000-0100-00000E000000}"/>
  <tableColumns count="6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PP">
      <calculatedColumnFormula>TableMUN[[#This Row],[ARIMAPP]]*$I$2+TableMUN[[#This Row],[LSTMPP]]*$I$3</calculatedColumnFormula>
    </tableColumn>
    <tableColumn id="5" xr3:uid="{00000000-0010-0000-0D00-000005000000}" name="AP"/>
    <tableColumn id="6" xr3:uid="{00000000-0010-0000-0D00-000006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NEW" displayName="TableNEW" ref="A1:F10" totalsRowShown="0">
  <autoFilter ref="A1:F10" xr:uid="{00000000-0009-0000-0100-00000F000000}"/>
  <tableColumns count="6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PP">
      <calculatedColumnFormula>TableNEW[[#This Row],[ARIMAPP]]*$I$2+TableNEW[[#This Row],[LSTMPP]]*$I$3</calculatedColumnFormula>
    </tableColumn>
    <tableColumn id="5" xr3:uid="{00000000-0010-0000-0E00-000005000000}" name="AP"/>
    <tableColumn id="6" xr3:uid="{00000000-0010-0000-0E00-000006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NFO" displayName="TableNFO" ref="A1:F4" totalsRowShown="0">
  <autoFilter ref="A1:F4" xr:uid="{00000000-0009-0000-0100-000010000000}"/>
  <tableColumns count="6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PP">
      <calculatedColumnFormula>TableNFO[[#This Row],[ARIMAPP]]*$I$2+TableNFO[[#This Row],[LSTMPP]]*$I$3</calculatedColumnFormula>
    </tableColumn>
    <tableColumn id="5" xr3:uid="{00000000-0010-0000-0F00-000005000000}" name="AP"/>
    <tableColumn id="6" xr3:uid="{00000000-0010-0000-0F00-000006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SHU" displayName="TableSHU" ref="A1:F6" totalsRowShown="0">
  <autoFilter ref="A1:F6" xr:uid="{00000000-0009-0000-0100-000011000000}"/>
  <tableColumns count="6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PP">
      <calculatedColumnFormula>TableSHU[[#This Row],[ARIMAPP]]*$I$2+TableSHU[[#This Row],[LSTMPP]]*$I$3</calculatedColumnFormula>
    </tableColumn>
    <tableColumn id="5" xr3:uid="{00000000-0010-0000-1000-000005000000}" name="AP"/>
    <tableColumn id="6" xr3:uid="{00000000-0010-0000-1000-000006000000}" name="DIFF">
      <calculatedColumnFormula>ABS(TableSHU[[#This Row],[PP]]-TableSHU[[#This Row],[AP]])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TOT" displayName="TableTOT" ref="A1:F11" totalsRowShown="0">
  <autoFilter ref="A1:F11" xr:uid="{00000000-0009-0000-0100-000012000000}"/>
  <tableColumns count="6">
    <tableColumn id="1" xr3:uid="{00000000-0010-0000-1100-000001000000}" name="Name"/>
    <tableColumn id="2" xr3:uid="{00000000-0010-0000-1100-000002000000}" name="ARIMAPP"/>
    <tableColumn id="3" xr3:uid="{00000000-0010-0000-1100-000003000000}" name="LSTMPP"/>
    <tableColumn id="4" xr3:uid="{00000000-0010-0000-1100-000004000000}" name="PP">
      <calculatedColumnFormula>TableTOT[[#This Row],[ARIMAPP]]*$I$2+TableTOT[[#This Row],[LSTMPP]]*$I$3</calculatedColumnFormula>
    </tableColumn>
    <tableColumn id="5" xr3:uid="{00000000-0010-0000-1100-000005000000}" name="AP"/>
    <tableColumn id="6" xr3:uid="{00000000-0010-0000-1100-000006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WHU" displayName="TableWHU" ref="A1:F8" totalsRowShown="0">
  <autoFilter ref="A1:F8" xr:uid="{00000000-0009-0000-0100-000013000000}"/>
  <tableColumns count="6">
    <tableColumn id="1" xr3:uid="{00000000-0010-0000-1200-000001000000}" name="Name"/>
    <tableColumn id="2" xr3:uid="{00000000-0010-0000-1200-000002000000}" name="ARIMAPP"/>
    <tableColumn id="3" xr3:uid="{00000000-0010-0000-1200-000003000000}" name="LSTMPP"/>
    <tableColumn id="4" xr3:uid="{00000000-0010-0000-1200-000004000000}" name="PP">
      <calculatedColumnFormula>TableWHU[[#This Row],[ARIMAPP]]*$I$2+TableWHU[[#This Row],[LSTMPP]]*$I$3</calculatedColumnFormula>
    </tableColumn>
    <tableColumn id="5" xr3:uid="{00000000-0010-0000-1200-000005000000}" name="AP"/>
    <tableColumn id="6" xr3:uid="{00000000-0010-0000-1200-000006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F10" totalsRowShown="0">
  <autoFilter ref="A1:F10" xr:uid="{00000000-0009-0000-0100-000002000000}"/>
  <tableColumns count="6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PP">
      <calculatedColumnFormula>TableAVL[[#This Row],[ARIMAPP]]*$I$2+TableAVL[[#This Row],[LSTMPP]]*$I$3</calculatedColumnFormula>
    </tableColumn>
    <tableColumn id="5" xr3:uid="{00000000-0010-0000-0100-000005000000}" name="AP"/>
    <tableColumn id="6" xr3:uid="{00000000-0010-0000-0100-000006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WOL" displayName="TableWOL" ref="A1:F10" totalsRowShown="0">
  <autoFilter ref="A1:F10" xr:uid="{00000000-0009-0000-0100-000014000000}"/>
  <tableColumns count="6">
    <tableColumn id="1" xr3:uid="{00000000-0010-0000-1300-000001000000}" name="Name"/>
    <tableColumn id="2" xr3:uid="{00000000-0010-0000-1300-000002000000}" name="ARIMAPP"/>
    <tableColumn id="3" xr3:uid="{00000000-0010-0000-1300-000003000000}" name="LSTMPP"/>
    <tableColumn id="4" xr3:uid="{00000000-0010-0000-1300-000004000000}" name="PP">
      <calculatedColumnFormula>TableWOL[[#This Row],[ARIMAPP]]*$I$2+TableWOL[[#This Row],[LSTMPP]]*$I$3</calculatedColumnFormula>
    </tableColumn>
    <tableColumn id="5" xr3:uid="{00000000-0010-0000-1300-000005000000}" name="AP"/>
    <tableColumn id="6" xr3:uid="{00000000-0010-0000-1300-000006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F7" totalsRowShown="0">
  <autoFilter ref="A1:F7" xr:uid="{00000000-0009-0000-0100-000003000000}"/>
  <tableColumns count="6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PP">
      <calculatedColumnFormula>TableBOU[[#This Row],[ARIMAPP]]*$I$2+TableBOU[[#This Row],[LSTMPP]]*$I$3</calculatedColumnFormula>
    </tableColumn>
    <tableColumn id="5" xr3:uid="{00000000-0010-0000-0200-000005000000}" name="AP"/>
    <tableColumn id="6" xr3:uid="{00000000-0010-0000-0200-000006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F10" totalsRowShown="0">
  <autoFilter ref="A1:F10" xr:uid="{00000000-0009-0000-0100-000004000000}"/>
  <tableColumns count="6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PP">
      <calculatedColumnFormula>TableBRE[[#This Row],[ARIMAPP]]*$I$2+TableBRE[[#This Row],[LSTMPP]]*$I$3</calculatedColumnFormula>
    </tableColumn>
    <tableColumn id="5" xr3:uid="{00000000-0010-0000-0300-000005000000}" name="AP"/>
    <tableColumn id="6" xr3:uid="{00000000-0010-0000-0300-000006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F8" totalsRowShown="0">
  <autoFilter ref="A1:F8" xr:uid="{00000000-0009-0000-0100-000005000000}"/>
  <tableColumns count="6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PP">
      <calculatedColumnFormula>TableBHA[[#This Row],[ARIMAPP]]*$I$2+TableBHA[[#This Row],[LSTMPP]]*$I$3</calculatedColumnFormula>
    </tableColumn>
    <tableColumn id="5" xr3:uid="{00000000-0010-0000-0400-000005000000}" name="AP"/>
    <tableColumn id="6" xr3:uid="{00000000-0010-0000-0400-000006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UR" displayName="TableBUR" ref="A1:F5" totalsRowShown="0">
  <autoFilter ref="A1:F5" xr:uid="{00000000-0009-0000-0100-000006000000}"/>
  <tableColumns count="6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PP">
      <calculatedColumnFormula>TableBUR[[#This Row],[ARIMAPP]]*$I$2+TableBUR[[#This Row],[LSTMPP]]*$I$3</calculatedColumnFormula>
    </tableColumn>
    <tableColumn id="5" xr3:uid="{00000000-0010-0000-0500-000005000000}" name="AP"/>
    <tableColumn id="6" xr3:uid="{00000000-0010-0000-0500-000006000000}" name="DIFF">
      <calculatedColumnFormula>ABS(TableBUR[[#This Row],[PP]]-TableBUR[[#This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HE" displayName="TableCHE" ref="A1:F9" totalsRowShown="0">
  <autoFilter ref="A1:F9" xr:uid="{00000000-0009-0000-0100-000007000000}"/>
  <tableColumns count="6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PP">
      <calculatedColumnFormula>TableCHE[[#This Row],[ARIMAPP]]*$I$2+TableCHE[[#This Row],[LSTMPP]]*$I$3</calculatedColumnFormula>
    </tableColumn>
    <tableColumn id="5" xr3:uid="{00000000-0010-0000-0600-000005000000}" name="AP"/>
    <tableColumn id="6" xr3:uid="{00000000-0010-0000-0600-000006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CRY" displayName="TableCRY" ref="A1:F7" totalsRowShown="0">
  <autoFilter ref="A1:F7" xr:uid="{00000000-0009-0000-0100-000008000000}"/>
  <tableColumns count="6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PP">
      <calculatedColumnFormula>TableCRY[[#This Row],[ARIMAPP]]*$I$2+TableCRY[[#This Row],[LSTMPP]]*$I$3</calculatedColumnFormula>
    </tableColumn>
    <tableColumn id="5" xr3:uid="{00000000-0010-0000-0700-000005000000}" name="AP"/>
    <tableColumn id="6" xr3:uid="{00000000-0010-0000-0700-000006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EVE" displayName="TableEVE" ref="A1:F12" totalsRowShown="0">
  <autoFilter ref="A1:F12" xr:uid="{00000000-0009-0000-0100-000009000000}"/>
  <tableColumns count="6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PP">
      <calculatedColumnFormula>TableEVE[[#This Row],[ARIMAPP]]*$I$2+TableEVE[[#This Row],[LSTMPP]]*$I$3</calculatedColumnFormula>
    </tableColumn>
    <tableColumn id="5" xr3:uid="{00000000-0010-0000-0800-000005000000}" name="AP"/>
    <tableColumn id="6" xr3:uid="{00000000-0010-0000-0800-000006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</v>
      </c>
      <c r="B2">
        <v>27.96832784588911</v>
      </c>
      <c r="C2">
        <v>28.099999999999991</v>
      </c>
      <c r="D2">
        <f>TableARS[[#This Row],[ARIMAPP]]*$I$2+TableARS[[#This Row],[LSTMPP]]*$I$3</f>
        <v>33.178583757327935</v>
      </c>
      <c r="E2">
        <v>38</v>
      </c>
      <c r="F2">
        <f>ABS(TableARS[[#This Row],[PP]]-TableARS[[#This Row],[AP]])</f>
        <v>4.8214162426720648</v>
      </c>
      <c r="H2" t="s">
        <v>0</v>
      </c>
      <c r="I2">
        <v>0.3442089149</v>
      </c>
    </row>
    <row r="3" spans="1:9" x14ac:dyDescent="0.2">
      <c r="A3" t="s">
        <v>11</v>
      </c>
      <c r="B3">
        <v>40.408163265306143</v>
      </c>
      <c r="C3">
        <v>40.691646277871193</v>
      </c>
      <c r="D3">
        <f>TableARS[[#This Row],[ARIMAPP]]*$I$2+TableARS[[#This Row],[LSTMPP]]*$I$3</f>
        <v>48.01400449609757</v>
      </c>
      <c r="E3">
        <v>45</v>
      </c>
      <c r="F3">
        <f>ABS(TableARS[[#This Row],[PP]]-TableARS[[#This Row],[AP]])</f>
        <v>3.01400449609757</v>
      </c>
      <c r="H3" t="s">
        <v>1</v>
      </c>
      <c r="I3">
        <v>0.83813651167000003</v>
      </c>
    </row>
    <row r="4" spans="1:9" x14ac:dyDescent="0.2">
      <c r="A4" t="s">
        <v>12</v>
      </c>
      <c r="B4">
        <v>33.434343434343432</v>
      </c>
      <c r="C4">
        <v>31.25488204405594</v>
      </c>
      <c r="D4">
        <f>TableARS[[#This Row],[ARIMAPP]]*$I$2+TableARS[[#This Row],[LSTMPP]]*$I$3</f>
        <v>37.704256882991658</v>
      </c>
      <c r="E4">
        <v>41</v>
      </c>
      <c r="F4">
        <f>ABS(TableARS[[#This Row],[PP]]-TableARS[[#This Row],[AP]])</f>
        <v>3.2957431170083424</v>
      </c>
    </row>
    <row r="5" spans="1:9" x14ac:dyDescent="0.2">
      <c r="A5" t="s">
        <v>13</v>
      </c>
      <c r="B5">
        <v>57.520119402263809</v>
      </c>
      <c r="C5">
        <v>41.215375039336791</v>
      </c>
      <c r="D5">
        <f>TableARS[[#This Row],[ARIMAPP]]*$I$2+TableARS[[#This Row],[LSTMPP]]*$I$3</f>
        <v>54.343048547012188</v>
      </c>
      <c r="E5">
        <v>67</v>
      </c>
      <c r="F5">
        <f>ABS(TableARS[[#This Row],[PP]]-TableARS[[#This Row],[AP]])</f>
        <v>12.656951452987812</v>
      </c>
      <c r="H5" t="s">
        <v>2</v>
      </c>
      <c r="I5">
        <f>SUM(ABS(TableARS[[#This Row],[PP]]-TableARS[[#This Row],[AP]]))</f>
        <v>12.656951452987812</v>
      </c>
    </row>
    <row r="6" spans="1:9" x14ac:dyDescent="0.2">
      <c r="A6" t="s">
        <v>14</v>
      </c>
      <c r="B6">
        <v>38.471956281576666</v>
      </c>
      <c r="C6">
        <v>34.692982456140349</v>
      </c>
      <c r="D6">
        <f>TableARS[[#This Row],[ARIMAPP]]*$I$2+TableARS[[#This Row],[LSTMPP]]*$I$3</f>
        <v>42.31984562097972</v>
      </c>
      <c r="E6">
        <v>42</v>
      </c>
      <c r="F6">
        <f>ABS(TableARS[[#This Row],[PP]]-TableARS[[#This Row],[AP]])</f>
        <v>0.31984562097972002</v>
      </c>
    </row>
    <row r="7" spans="1:9" x14ac:dyDescent="0.2">
      <c r="A7" t="s">
        <v>15</v>
      </c>
      <c r="B7">
        <v>31.500000000000021</v>
      </c>
      <c r="C7">
        <v>34.496289740873863</v>
      </c>
      <c r="D7">
        <f>TableARS[[#This Row],[ARIMAPP]]*$I$2+TableARS[[#This Row],[LSTMPP]]*$I$3</f>
        <v>39.755180768323633</v>
      </c>
      <c r="E7">
        <v>43</v>
      </c>
      <c r="F7">
        <f>ABS(TableARS[[#This Row],[PP]]-TableARS[[#This Row],[AP]])</f>
        <v>3.2448192316763667</v>
      </c>
      <c r="H7" t="s">
        <v>3</v>
      </c>
      <c r="I7">
        <f>AVERAGE(TableARS[DIFF])/10</f>
        <v>0.63885497347033682</v>
      </c>
    </row>
    <row r="8" spans="1:9" x14ac:dyDescent="0.2">
      <c r="A8" t="s">
        <v>16</v>
      </c>
      <c r="B8">
        <v>55.301500880432677</v>
      </c>
      <c r="C8">
        <v>45.724064468234587</v>
      </c>
      <c r="D8">
        <f>TableARS[[#This Row],[ARIMAPP]]*$I$2+TableARS[[#This Row],[LSTMPP]]*$I$3</f>
        <v>57.358277503175458</v>
      </c>
      <c r="E8">
        <v>48</v>
      </c>
      <c r="F8">
        <f>ABS(TableARS[[#This Row],[PP]]-TableARS[[#This Row],[AP]])</f>
        <v>9.3582775031754579</v>
      </c>
    </row>
    <row r="9" spans="1:9" x14ac:dyDescent="0.2">
      <c r="A9" t="s">
        <v>17</v>
      </c>
      <c r="B9">
        <v>41.428571428571423</v>
      </c>
      <c r="C9">
        <v>35.217554811177031</v>
      </c>
      <c r="D9">
        <f>TableARS[[#This Row],[ARIMAPP]]*$I$2+TableARS[[#This Row],[LSTMPP]]*$I$3</f>
        <v>43.777202156272651</v>
      </c>
      <c r="E9">
        <v>41</v>
      </c>
      <c r="F9">
        <f>ABS(TableARS[[#This Row],[PP]]-TableARS[[#This Row],[AP]])</f>
        <v>2.7772021562726508</v>
      </c>
    </row>
    <row r="10" spans="1:9" x14ac:dyDescent="0.2">
      <c r="A10" t="s">
        <v>18</v>
      </c>
      <c r="B10">
        <v>44.831895735549068</v>
      </c>
      <c r="C10">
        <v>38.922991164567698</v>
      </c>
      <c r="D10">
        <f>TableARS[[#This Row],[ARIMAPP]]*$I$2+TableARS[[#This Row],[LSTMPP]]*$I$3</f>
        <v>48.054318222476283</v>
      </c>
      <c r="E10">
        <v>39</v>
      </c>
      <c r="F10">
        <f>ABS(TableARS[[#This Row],[PP]]-TableARS[[#This Row],[AP]])</f>
        <v>9.054318222476283</v>
      </c>
    </row>
    <row r="11" spans="1:9" x14ac:dyDescent="0.2">
      <c r="A11" t="s">
        <v>19</v>
      </c>
      <c r="B11">
        <v>41.200000000000017</v>
      </c>
      <c r="C11">
        <v>33.25</v>
      </c>
      <c r="D11">
        <f>TableARS[[#This Row],[ARIMAPP]]*$I$2+TableARS[[#This Row],[LSTMPP]]*$I$3</f>
        <v>42.049446306907505</v>
      </c>
      <c r="E11">
        <v>34</v>
      </c>
      <c r="F11">
        <f>ABS(TableARS[[#This Row],[PP]]-TableARS[[#This Row],[AP]])</f>
        <v>8.0494463069075053</v>
      </c>
    </row>
    <row r="12" spans="1:9" x14ac:dyDescent="0.2">
      <c r="A12" t="s">
        <v>20</v>
      </c>
      <c r="B12">
        <v>48.510638297872333</v>
      </c>
      <c r="C12">
        <v>40.135135135135137</v>
      </c>
      <c r="D12">
        <f>TableARS[[#This Row],[ARIMAPP]]*$I$2+TableARS[[#This Row],[LSTMPP]]*$I$3</f>
        <v>50.33651632718324</v>
      </c>
      <c r="E12">
        <v>47</v>
      </c>
      <c r="F12">
        <f>ABS(TableARS[[#This Row],[PP]]-TableARS[[#This Row],[AP]])</f>
        <v>3.3365163271832401</v>
      </c>
    </row>
    <row r="13" spans="1:9" x14ac:dyDescent="0.2">
      <c r="A13" t="s">
        <v>21</v>
      </c>
      <c r="B13">
        <v>35.306122448979593</v>
      </c>
      <c r="C13">
        <v>32.349457857984497</v>
      </c>
      <c r="D13">
        <f>TableARS[[#This Row],[ARIMAPP]]*$I$2+TableARS[[#This Row],[LSTMPP]]*$I$3</f>
        <v>39.265943860996593</v>
      </c>
      <c r="E13">
        <v>56</v>
      </c>
      <c r="F13">
        <f>ABS(TableARS[[#This Row],[PP]]-TableARS[[#This Row],[AP]])</f>
        <v>16.734056139003407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82</v>
      </c>
      <c r="B2">
        <v>14.183270176153069</v>
      </c>
      <c r="C2">
        <v>41.832081068102731</v>
      </c>
      <c r="D2">
        <f>TableFUL[[#This Row],[ARIMAPP]]*$I$2+TableFUL[[#This Row],[LSTMPP]]*$I$3</f>
        <v>42.710987113457143</v>
      </c>
      <c r="E2">
        <v>42</v>
      </c>
      <c r="F2">
        <f>ABS(TableFUL[[#This Row],[PP]]-TableFUL[[#This Row],[AP]])</f>
        <v>0.71098711345714349</v>
      </c>
      <c r="H2" t="s">
        <v>0</v>
      </c>
      <c r="I2">
        <v>0</v>
      </c>
    </row>
    <row r="3" spans="1:9" x14ac:dyDescent="0.2">
      <c r="A3" t="s">
        <v>83</v>
      </c>
      <c r="B3">
        <v>22.44364302700351</v>
      </c>
      <c r="C3">
        <v>23.880597014925371</v>
      </c>
      <c r="D3">
        <f>TableFUL[[#This Row],[ARIMAPP]]*$I$2+TableFUL[[#This Row],[LSTMPP]]*$I$3</f>
        <v>24.382336362985072</v>
      </c>
      <c r="E3">
        <v>28</v>
      </c>
      <c r="F3">
        <f>ABS(TableFUL[[#This Row],[PP]]-TableFUL[[#This Row],[AP]])</f>
        <v>3.6176636370149282</v>
      </c>
      <c r="H3" t="s">
        <v>1</v>
      </c>
      <c r="I3">
        <v>1.0210103352</v>
      </c>
    </row>
    <row r="4" spans="1:9" x14ac:dyDescent="0.2">
      <c r="A4" t="s">
        <v>84</v>
      </c>
      <c r="B4">
        <v>26.415094339622641</v>
      </c>
      <c r="C4">
        <v>27.874015748031489</v>
      </c>
      <c r="D4">
        <f>TableFUL[[#This Row],[ARIMAPP]]*$I$2+TableFUL[[#This Row],[LSTMPP]]*$I$3</f>
        <v>28.459658162267708</v>
      </c>
      <c r="E4">
        <v>41</v>
      </c>
      <c r="F4">
        <f>ABS(TableFUL[[#This Row],[PP]]-TableFUL[[#This Row],[AP]])</f>
        <v>12.540341837732292</v>
      </c>
    </row>
    <row r="5" spans="1:9" x14ac:dyDescent="0.2">
      <c r="A5" t="s">
        <v>85</v>
      </c>
      <c r="B5">
        <v>36.292140765945653</v>
      </c>
      <c r="C5">
        <v>32.863247863247857</v>
      </c>
      <c r="D5">
        <f>TableFUL[[#This Row],[ARIMAPP]]*$I$2+TableFUL[[#This Row],[LSTMPP]]*$I$3</f>
        <v>33.553715716615379</v>
      </c>
      <c r="E5">
        <v>29</v>
      </c>
      <c r="F5">
        <f>ABS(TableFUL[[#This Row],[PP]]-TableFUL[[#This Row],[AP]])</f>
        <v>4.553715716615379</v>
      </c>
      <c r="H5" t="s">
        <v>2</v>
      </c>
      <c r="I5">
        <f>SUM(ABS(TableFUL[[#This Row],[PP]]-TableFUL[[#This Row],[AP]]))</f>
        <v>4.553715716615379</v>
      </c>
    </row>
    <row r="6" spans="1:9" x14ac:dyDescent="0.2">
      <c r="A6" t="s">
        <v>86</v>
      </c>
      <c r="B6">
        <v>25.2112676056338</v>
      </c>
      <c r="C6">
        <v>26.964285714285719</v>
      </c>
      <c r="D6">
        <f>TableFUL[[#This Row],[ARIMAPP]]*$I$2+TableFUL[[#This Row],[LSTMPP]]*$I$3</f>
        <v>27.530814395571433</v>
      </c>
      <c r="E6">
        <v>27</v>
      </c>
      <c r="F6">
        <f>ABS(TableFUL[[#This Row],[PP]]-TableFUL[[#This Row],[AP]])</f>
        <v>0.53081439557143284</v>
      </c>
    </row>
    <row r="7" spans="1:9" x14ac:dyDescent="0.2">
      <c r="A7" t="s">
        <v>87</v>
      </c>
      <c r="B7">
        <v>32.052241460958967</v>
      </c>
      <c r="C7">
        <v>30.519480519480521</v>
      </c>
      <c r="D7">
        <f>TableFUL[[#This Row],[ARIMAPP]]*$I$2+TableFUL[[#This Row],[LSTMPP]]*$I$3</f>
        <v>31.160705035324675</v>
      </c>
      <c r="E7">
        <v>22</v>
      </c>
      <c r="F7">
        <f>ABS(TableFUL[[#This Row],[PP]]-TableFUL[[#This Row],[AP]])</f>
        <v>9.1607050353246748</v>
      </c>
      <c r="H7" t="s">
        <v>3</v>
      </c>
      <c r="I7">
        <f>AVERAGE(TableFUL[DIFF])/10</f>
        <v>0.48408305431111209</v>
      </c>
    </row>
    <row r="8" spans="1:9" x14ac:dyDescent="0.2">
      <c r="A8" t="s">
        <v>88</v>
      </c>
      <c r="B8">
        <v>23.7837837837838</v>
      </c>
      <c r="C8">
        <v>26.610169491525429</v>
      </c>
      <c r="D8">
        <f>TableFUL[[#This Row],[ARIMAPP]]*$I$2+TableFUL[[#This Row],[LSTMPP]]*$I$3</f>
        <v>27.169258072271191</v>
      </c>
      <c r="E8">
        <v>31</v>
      </c>
      <c r="F8">
        <f>ABS(TableFUL[[#This Row],[PP]]-TableFUL[[#This Row],[AP]])</f>
        <v>3.8307419277288091</v>
      </c>
    </row>
    <row r="9" spans="1:9" x14ac:dyDescent="0.2">
      <c r="A9" t="s">
        <v>89</v>
      </c>
      <c r="B9">
        <v>25.777777777777779</v>
      </c>
      <c r="C9">
        <v>26.388888888888889</v>
      </c>
      <c r="D9">
        <f>TableFUL[[#This Row],[ARIMAPP]]*$I$2+TableFUL[[#This Row],[LSTMPP]]*$I$3</f>
        <v>26.94332829</v>
      </c>
      <c r="E9">
        <v>26</v>
      </c>
      <c r="F9">
        <f>ABS(TableFUL[[#This Row],[PP]]-TableFUL[[#This Row],[AP]])</f>
        <v>0.94332829000000018</v>
      </c>
    </row>
    <row r="10" spans="1:9" x14ac:dyDescent="0.2">
      <c r="A10" t="s">
        <v>90</v>
      </c>
      <c r="B10">
        <v>32.913494242823973</v>
      </c>
      <c r="C10">
        <v>33.108108108108112</v>
      </c>
      <c r="D10">
        <f>TableFUL[[#This Row],[ARIMAPP]]*$I$2+TableFUL[[#This Row],[LSTMPP]]*$I$3</f>
        <v>33.803720557297297</v>
      </c>
      <c r="E10">
        <v>25</v>
      </c>
      <c r="F10">
        <f>ABS(TableFUL[[#This Row],[PP]]-TableFUL[[#This Row],[AP]])</f>
        <v>8.8037205572972965</v>
      </c>
    </row>
    <row r="11" spans="1:9" x14ac:dyDescent="0.2">
      <c r="A11" t="s">
        <v>91</v>
      </c>
      <c r="B11">
        <v>24.39612223711752</v>
      </c>
      <c r="C11">
        <v>26.621621621621621</v>
      </c>
      <c r="D11">
        <f>TableFUL[[#This Row],[ARIMAPP]]*$I$2+TableFUL[[#This Row],[LSTMPP]]*$I$3</f>
        <v>27.180950815459457</v>
      </c>
      <c r="E11">
        <v>34</v>
      </c>
      <c r="F11">
        <f>ABS(TableFUL[[#This Row],[PP]]-TableFUL[[#This Row],[AP]])</f>
        <v>6.8190491845405425</v>
      </c>
    </row>
    <row r="12" spans="1:9" x14ac:dyDescent="0.2">
      <c r="A12" t="s">
        <v>92</v>
      </c>
      <c r="B12">
        <v>38.378378378378393</v>
      </c>
      <c r="C12">
        <v>40.41284431560392</v>
      </c>
      <c r="D12">
        <f>TableFUL[[#This Row],[ARIMAPP]]*$I$2+TableFUL[[#This Row],[LSTMPP]]*$I$3</f>
        <v>41.261931721060172</v>
      </c>
      <c r="E12">
        <v>43</v>
      </c>
      <c r="F12">
        <f>ABS(TableFUL[[#This Row],[PP]]-TableFUL[[#This Row],[AP]])</f>
        <v>1.7380682789398278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5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93</v>
      </c>
      <c r="B2">
        <v>44.733168337584942</v>
      </c>
      <c r="C2">
        <v>40.181757859237472</v>
      </c>
      <c r="D2">
        <f>TableLIV[[#This Row],[ARIMAPP]]*$I$2+TableLIV[[#This Row],[LSTMPP]]*$I$3</f>
        <v>46.986932137035751</v>
      </c>
      <c r="E2">
        <v>38</v>
      </c>
      <c r="F2">
        <f>ABS(TableLIV[[#This Row],[PP]]-TableLIV[[#This Row],[AP]])</f>
        <v>8.9869321370357511</v>
      </c>
      <c r="H2" t="s">
        <v>0</v>
      </c>
      <c r="I2">
        <v>0</v>
      </c>
    </row>
    <row r="3" spans="1:9" x14ac:dyDescent="0.2">
      <c r="A3" t="s">
        <v>94</v>
      </c>
      <c r="B3">
        <v>68.907103825136588</v>
      </c>
      <c r="C3">
        <v>68.677842748864535</v>
      </c>
      <c r="D3">
        <f>TableLIV[[#This Row],[ARIMAPP]]*$I$2+TableLIV[[#This Row],[LSTMPP]]*$I$3</f>
        <v>80.309108124722258</v>
      </c>
      <c r="E3">
        <v>82</v>
      </c>
      <c r="F3">
        <f>ABS(TableLIV[[#This Row],[PP]]-TableLIV[[#This Row],[AP]])</f>
        <v>1.6908918752777424</v>
      </c>
      <c r="H3" t="s">
        <v>1</v>
      </c>
      <c r="I3">
        <v>1.1693597951000001</v>
      </c>
    </row>
    <row r="4" spans="1:9" x14ac:dyDescent="0.2">
      <c r="A4" t="s">
        <v>95</v>
      </c>
      <c r="B4">
        <v>52.914775325573672</v>
      </c>
      <c r="C4">
        <v>48.526209646272619</v>
      </c>
      <c r="D4">
        <f>TableLIV[[#This Row],[ARIMAPP]]*$I$2+TableLIV[[#This Row],[LSTMPP]]*$I$3</f>
        <v>56.744598568945001</v>
      </c>
      <c r="E4">
        <v>57</v>
      </c>
      <c r="F4">
        <f>ABS(TableLIV[[#This Row],[PP]]-TableLIV[[#This Row],[AP]])</f>
        <v>0.2554014310549988</v>
      </c>
    </row>
    <row r="5" spans="1:9" x14ac:dyDescent="0.2">
      <c r="A5" t="s">
        <v>96</v>
      </c>
      <c r="B5">
        <v>48.531239421819627</v>
      </c>
      <c r="C5">
        <v>42.706744918147969</v>
      </c>
      <c r="D5">
        <f>TableLIV[[#This Row],[ARIMAPP]]*$I$2+TableLIV[[#This Row],[LSTMPP]]*$I$3</f>
        <v>49.939550486873479</v>
      </c>
      <c r="E5">
        <v>37</v>
      </c>
      <c r="F5">
        <f>ABS(TableLIV[[#This Row],[PP]]-TableLIV[[#This Row],[AP]])</f>
        <v>12.939550486873479</v>
      </c>
      <c r="H5" t="s">
        <v>2</v>
      </c>
      <c r="I5">
        <f>SUM(ABS(TableLIV[[#This Row],[PP]]-TableLIV[[#This Row],[AP]]))</f>
        <v>12.939550486873479</v>
      </c>
    </row>
    <row r="6" spans="1:9" x14ac:dyDescent="0.2">
      <c r="A6" t="s">
        <v>97</v>
      </c>
      <c r="B6">
        <v>17.843137254901961</v>
      </c>
      <c r="C6">
        <v>22.875</v>
      </c>
      <c r="D6">
        <f>TableLIV[[#This Row],[ARIMAPP]]*$I$2+TableLIV[[#This Row],[LSTMPP]]*$I$3</f>
        <v>26.749105312912501</v>
      </c>
      <c r="E6">
        <v>37</v>
      </c>
      <c r="F6">
        <f>ABS(TableLIV[[#This Row],[PP]]-TableLIV[[#This Row],[AP]])</f>
        <v>10.250894687087499</v>
      </c>
    </row>
    <row r="7" spans="1:9" x14ac:dyDescent="0.2">
      <c r="A7" t="s">
        <v>98</v>
      </c>
      <c r="B7">
        <v>21.64179104477612</v>
      </c>
      <c r="C7">
        <v>24.90566037735849</v>
      </c>
      <c r="D7">
        <f>TableLIV[[#This Row],[ARIMAPP]]*$I$2+TableLIV[[#This Row],[LSTMPP]]*$I$3</f>
        <v>29.123677915698117</v>
      </c>
      <c r="E7">
        <v>27</v>
      </c>
      <c r="F7">
        <f>ABS(TableLIV[[#This Row],[PP]]-TableLIV[[#This Row],[AP]])</f>
        <v>2.1236779156981171</v>
      </c>
      <c r="H7" t="s">
        <v>3</v>
      </c>
      <c r="I7">
        <f>AVERAGE(TableLIV[DIFF])/10</f>
        <v>0.76549282919898287</v>
      </c>
    </row>
    <row r="8" spans="1:9" x14ac:dyDescent="0.2">
      <c r="A8" t="s">
        <v>99</v>
      </c>
      <c r="B8">
        <v>28.383838383838381</v>
      </c>
      <c r="C8">
        <v>29.050632911392398</v>
      </c>
      <c r="D8">
        <f>TableLIV[[#This Row],[ARIMAPP]]*$I$2+TableLIV[[#This Row],[LSTMPP]]*$I$3</f>
        <v>33.970642148791136</v>
      </c>
      <c r="E8">
        <v>32</v>
      </c>
      <c r="F8">
        <f>ABS(TableLIV[[#This Row],[PP]]-TableLIV[[#This Row],[AP]])</f>
        <v>1.9706421487911356</v>
      </c>
    </row>
    <row r="9" spans="1:9" x14ac:dyDescent="0.2">
      <c r="A9" t="s">
        <v>100</v>
      </c>
      <c r="B9">
        <v>29.142857142857139</v>
      </c>
      <c r="C9">
        <v>29.464285714285719</v>
      </c>
      <c r="D9">
        <f>TableLIV[[#This Row],[ARIMAPP]]*$I$2+TableLIV[[#This Row],[LSTMPP]]*$I$3</f>
        <v>34.454351105625008</v>
      </c>
      <c r="E9">
        <v>23</v>
      </c>
      <c r="F9">
        <f>ABS(TableLIV[[#This Row],[PP]]-TableLIV[[#This Row],[AP]])</f>
        <v>11.454351105625008</v>
      </c>
    </row>
    <row r="10" spans="1:9" x14ac:dyDescent="0.2">
      <c r="A10" t="s">
        <v>101</v>
      </c>
      <c r="B10">
        <v>33.500000000000007</v>
      </c>
      <c r="C10">
        <v>30.9375</v>
      </c>
      <c r="D10">
        <f>TableLIV[[#This Row],[ARIMAPP]]*$I$2+TableLIV[[#This Row],[LSTMPP]]*$I$3</f>
        <v>36.177068660906251</v>
      </c>
      <c r="E10">
        <v>47</v>
      </c>
      <c r="F10">
        <f>ABS(TableLIV[[#This Row],[PP]]-TableLIV[[#This Row],[AP]])</f>
        <v>10.822931339093749</v>
      </c>
    </row>
    <row r="11" spans="1:9" x14ac:dyDescent="0.2">
      <c r="A11" t="s">
        <v>102</v>
      </c>
      <c r="B11">
        <v>38.536585365853668</v>
      </c>
      <c r="C11">
        <v>32.5</v>
      </c>
      <c r="D11">
        <f>TableLIV[[#This Row],[ARIMAPP]]*$I$2+TableLIV[[#This Row],[LSTMPP]]*$I$3</f>
        <v>38.004193340750007</v>
      </c>
      <c r="E11">
        <v>41</v>
      </c>
      <c r="F11">
        <f>ABS(TableLIV[[#This Row],[PP]]-TableLIV[[#This Row],[AP]])</f>
        <v>2.9958066592499932</v>
      </c>
    </row>
    <row r="12" spans="1:9" x14ac:dyDescent="0.2">
      <c r="A12" t="s">
        <v>103</v>
      </c>
      <c r="B12">
        <v>36.071428571428569</v>
      </c>
      <c r="C12">
        <v>34.090909090909093</v>
      </c>
      <c r="D12">
        <f>TableLIV[[#This Row],[ARIMAPP]]*$I$2+TableLIV[[#This Row],[LSTMPP]]*$I$3</f>
        <v>39.864538469318191</v>
      </c>
      <c r="E12">
        <v>65</v>
      </c>
      <c r="F12">
        <f>ABS(TableLIV[[#This Row],[PP]]-TableLIV[[#This Row],[AP]])</f>
        <v>25.135461530681809</v>
      </c>
    </row>
    <row r="13" spans="1:9" x14ac:dyDescent="0.2">
      <c r="A13" t="s">
        <v>104</v>
      </c>
      <c r="B13">
        <v>34.363590314031249</v>
      </c>
      <c r="C13">
        <v>32.761992266877208</v>
      </c>
      <c r="D13">
        <f>TableLIV[[#This Row],[ARIMAPP]]*$I$2+TableLIV[[#This Row],[LSTMPP]]*$I$3</f>
        <v>38.310556564263322</v>
      </c>
      <c r="E13">
        <v>27</v>
      </c>
      <c r="F13">
        <f>ABS(TableLIV[[#This Row],[PP]]-TableLIV[[#This Row],[AP]])</f>
        <v>11.310556564263322</v>
      </c>
    </row>
    <row r="14" spans="1:9" x14ac:dyDescent="0.2">
      <c r="A14" t="s">
        <v>105</v>
      </c>
      <c r="B14">
        <v>42.727272727272727</v>
      </c>
      <c r="C14">
        <v>31.25</v>
      </c>
      <c r="D14">
        <f>TableLIV[[#This Row],[ARIMAPP]]*$I$2+TableLIV[[#This Row],[LSTMPP]]*$I$3</f>
        <v>36.542493596875005</v>
      </c>
      <c r="E14">
        <v>35</v>
      </c>
      <c r="F14">
        <f>ABS(TableLIV[[#This Row],[PP]]-TableLIV[[#This Row],[AP]])</f>
        <v>1.5424935968750049</v>
      </c>
    </row>
    <row r="15" spans="1:9" x14ac:dyDescent="0.2">
      <c r="A15" t="s">
        <v>106</v>
      </c>
      <c r="B15">
        <v>21.818181818181809</v>
      </c>
      <c r="C15">
        <v>22.5</v>
      </c>
      <c r="D15">
        <f>TableLIV[[#This Row],[ARIMAPP]]*$I$2+TableLIV[[#This Row],[LSTMPP]]*$I$3</f>
        <v>26.310595389750002</v>
      </c>
      <c r="E15">
        <v>32</v>
      </c>
      <c r="F15">
        <f>ABS(TableLIV[[#This Row],[PP]]-TableLIV[[#This Row],[AP]])</f>
        <v>5.6894046102499978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107</v>
      </c>
      <c r="B2">
        <v>28.307943816167651</v>
      </c>
      <c r="C2">
        <v>28.91304347826086</v>
      </c>
      <c r="D2">
        <f>TableLUT[[#This Row],[ARIMAPP]]*$I$2+TableLUT[[#This Row],[LSTMPP]]*$I$3</f>
        <v>45.380782959826071</v>
      </c>
      <c r="E2">
        <v>47</v>
      </c>
      <c r="F2">
        <f>ABS(TableLUT[[#This Row],[PP]]-TableLUT[[#This Row],[AP]])</f>
        <v>1.619217040173929</v>
      </c>
      <c r="H2" t="s">
        <v>0</v>
      </c>
      <c r="I2">
        <v>0</v>
      </c>
    </row>
    <row r="3" spans="1:9" x14ac:dyDescent="0.2">
      <c r="A3" t="s">
        <v>108</v>
      </c>
      <c r="B3">
        <v>21.53846150629445</v>
      </c>
      <c r="C3">
        <v>24.5</v>
      </c>
      <c r="D3">
        <f>TableLUT[[#This Row],[ARIMAPP]]*$I$2+TableLUT[[#This Row],[LSTMPP]]*$I$3</f>
        <v>38.454242402799999</v>
      </c>
      <c r="E3">
        <v>27</v>
      </c>
      <c r="F3">
        <f>ABS(TableLUT[[#This Row],[PP]]-TableLUT[[#This Row],[AP]])</f>
        <v>11.454242402799999</v>
      </c>
      <c r="H3" t="s">
        <v>1</v>
      </c>
      <c r="I3">
        <v>1.5695609144</v>
      </c>
    </row>
    <row r="4" spans="1:9" x14ac:dyDescent="0.2">
      <c r="A4" t="s">
        <v>109</v>
      </c>
      <c r="B4">
        <v>20.833333333333339</v>
      </c>
      <c r="C4">
        <v>26.111111111111111</v>
      </c>
      <c r="D4">
        <f>TableLUT[[#This Row],[ARIMAPP]]*$I$2+TableLUT[[#This Row],[LSTMPP]]*$I$3</f>
        <v>40.982979431555556</v>
      </c>
      <c r="E4">
        <v>54</v>
      </c>
      <c r="F4">
        <f>ABS(TableLUT[[#This Row],[PP]]-TableLUT[[#This Row],[AP]])</f>
        <v>13.017020568444444</v>
      </c>
    </row>
    <row r="5" spans="1:9" x14ac:dyDescent="0.2">
      <c r="A5" t="s">
        <v>110</v>
      </c>
      <c r="B5">
        <v>24.166666666666671</v>
      </c>
      <c r="C5">
        <v>24.444444444444439</v>
      </c>
      <c r="D5">
        <f>TableLUT[[#This Row],[ARIMAPP]]*$I$2+TableLUT[[#This Row],[LSTMPP]]*$I$3</f>
        <v>38.367044574222213</v>
      </c>
      <c r="E5">
        <v>31</v>
      </c>
      <c r="F5">
        <f>ABS(TableLUT[[#This Row],[PP]]-TableLUT[[#This Row],[AP]])</f>
        <v>7.3670445742222128</v>
      </c>
      <c r="H5" t="s">
        <v>2</v>
      </c>
      <c r="I5">
        <f>SUM(ABS(TableLUT[[#This Row],[PP]]-TableLUT[[#This Row],[AP]]))</f>
        <v>7.3670445742222128</v>
      </c>
    </row>
    <row r="6" spans="1:9" x14ac:dyDescent="0.2">
      <c r="A6" t="s">
        <v>111</v>
      </c>
      <c r="B6">
        <v>14.166666666666661</v>
      </c>
      <c r="C6">
        <v>19.444444444444439</v>
      </c>
      <c r="D6">
        <f>TableLUT[[#This Row],[ARIMAPP]]*$I$2+TableLUT[[#This Row],[LSTMPP]]*$I$3</f>
        <v>30.519240002222215</v>
      </c>
      <c r="E6">
        <v>48</v>
      </c>
      <c r="F6">
        <f>ABS(TableLUT[[#This Row],[PP]]-TableLUT[[#This Row],[AP]])</f>
        <v>17.480759997777785</v>
      </c>
    </row>
    <row r="7" spans="1:9" x14ac:dyDescent="0.2">
      <c r="A7" t="s">
        <v>112</v>
      </c>
      <c r="B7">
        <v>33.846153846153861</v>
      </c>
      <c r="C7">
        <v>31.499999999999989</v>
      </c>
      <c r="D7">
        <f>TableLUT[[#This Row],[ARIMAPP]]*$I$2+TableLUT[[#This Row],[LSTMPP]]*$I$3</f>
        <v>49.441168803599986</v>
      </c>
      <c r="E7">
        <v>41</v>
      </c>
      <c r="F7">
        <f>ABS(TableLUT[[#This Row],[PP]]-TableLUT[[#This Row],[AP]])</f>
        <v>8.4411688035999859</v>
      </c>
      <c r="H7" t="s">
        <v>3</v>
      </c>
      <c r="I7">
        <f>AVERAGE(TableLUT[DIFF])/10</f>
        <v>0.98965755645030584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113</v>
      </c>
      <c r="B2">
        <v>39.508196721311513</v>
      </c>
      <c r="C2">
        <v>34.688977469205852</v>
      </c>
      <c r="D2">
        <f>TableMCI[[#This Row],[ARIMAPP]]*$I$2+TableMCI[[#This Row],[LSTMPP]]*$I$3</f>
        <v>40.852259358474264</v>
      </c>
      <c r="E2">
        <v>31</v>
      </c>
      <c r="F2">
        <f>ABS(TableMCI[[#This Row],[PP]]-TableMCI[[#This Row],[AP]])</f>
        <v>9.8522593584742637</v>
      </c>
      <c r="H2" t="s">
        <v>0</v>
      </c>
      <c r="I2">
        <v>1.0340198381000001</v>
      </c>
    </row>
    <row r="3" spans="1:9" x14ac:dyDescent="0.2">
      <c r="A3" t="s">
        <v>114</v>
      </c>
      <c r="B3">
        <v>38.308823529411747</v>
      </c>
      <c r="C3">
        <v>36.42210478492219</v>
      </c>
      <c r="D3">
        <f>TableMCI[[#This Row],[ARIMAPP]]*$I$2+TableMCI[[#This Row],[LSTMPP]]*$I$3</f>
        <v>39.612083693811726</v>
      </c>
      <c r="E3">
        <v>28</v>
      </c>
      <c r="F3">
        <f>ABS(TableMCI[[#This Row],[PP]]-TableMCI[[#This Row],[AP]])</f>
        <v>11.612083693811726</v>
      </c>
      <c r="H3" t="s">
        <v>1</v>
      </c>
      <c r="I3">
        <v>5.2201244953E-9</v>
      </c>
    </row>
    <row r="4" spans="1:9" x14ac:dyDescent="0.2">
      <c r="A4" t="s">
        <v>115</v>
      </c>
      <c r="B4">
        <v>32.880000000000031</v>
      </c>
      <c r="C4">
        <v>29.750000000000011</v>
      </c>
      <c r="D4">
        <f>TableMCI[[#This Row],[ARIMAPP]]*$I$2+TableMCI[[#This Row],[LSTMPP]]*$I$3</f>
        <v>33.998572432026741</v>
      </c>
      <c r="E4">
        <v>33</v>
      </c>
      <c r="F4">
        <f>ABS(TableMCI[[#This Row],[PP]]-TableMCI[[#This Row],[AP]])</f>
        <v>0.99857243202674084</v>
      </c>
    </row>
    <row r="5" spans="1:9" x14ac:dyDescent="0.2">
      <c r="A5" t="s">
        <v>116</v>
      </c>
      <c r="B5">
        <v>46.902891844955768</v>
      </c>
      <c r="C5">
        <v>40.906417763432827</v>
      </c>
      <c r="D5">
        <f>TableMCI[[#This Row],[ARIMAPP]]*$I$2+TableMCI[[#This Row],[LSTMPP]]*$I$3</f>
        <v>48.498520845479575</v>
      </c>
      <c r="E5">
        <v>64</v>
      </c>
      <c r="F5">
        <f>ABS(TableMCI[[#This Row],[PP]]-TableMCI[[#This Row],[AP]])</f>
        <v>15.501479154520425</v>
      </c>
      <c r="H5" t="s">
        <v>2</v>
      </c>
      <c r="I5">
        <f>SUM(ABS(TableMCI[[#This Row],[PP]]-TableMCI[[#This Row],[AP]]))</f>
        <v>15.501479154520425</v>
      </c>
    </row>
    <row r="6" spans="1:9" x14ac:dyDescent="0.2">
      <c r="A6" t="s">
        <v>117</v>
      </c>
      <c r="B6">
        <v>30.63829787234042</v>
      </c>
      <c r="C6">
        <v>30.086200943179541</v>
      </c>
      <c r="D6">
        <f>TableMCI[[#This Row],[ARIMAPP]]*$I$2+TableMCI[[#This Row],[LSTMPP]]*$I$3</f>
        <v>31.680607962670734</v>
      </c>
      <c r="E6">
        <v>38</v>
      </c>
      <c r="F6">
        <f>ABS(TableMCI[[#This Row],[PP]]-TableMCI[[#This Row],[AP]])</f>
        <v>6.3193920373292656</v>
      </c>
    </row>
    <row r="7" spans="1:9" x14ac:dyDescent="0.2">
      <c r="A7" t="s">
        <v>118</v>
      </c>
      <c r="B7">
        <v>81.194203032139043</v>
      </c>
      <c r="C7">
        <v>78.237783215908465</v>
      </c>
      <c r="D7">
        <f>TableMCI[[#This Row],[ARIMAPP]]*$I$2+TableMCI[[#This Row],[LSTMPP]]*$I$3</f>
        <v>83.956417082361924</v>
      </c>
      <c r="E7">
        <v>76</v>
      </c>
      <c r="F7">
        <f>ABS(TableMCI[[#This Row],[PP]]-TableMCI[[#This Row],[AP]])</f>
        <v>7.9564170823619236</v>
      </c>
      <c r="H7" t="s">
        <v>3</v>
      </c>
      <c r="I7">
        <f>AVERAGE(TableMCI[DIFF])/10</f>
        <v>0.84284598158390056</v>
      </c>
    </row>
    <row r="8" spans="1:9" x14ac:dyDescent="0.2">
      <c r="A8" t="s">
        <v>119</v>
      </c>
      <c r="B8">
        <v>35.822676876688533</v>
      </c>
      <c r="C8">
        <v>29.6875</v>
      </c>
      <c r="D8">
        <f>TableMCI[[#This Row],[ARIMAPP]]*$I$2+TableMCI[[#This Row],[LSTMPP]]*$I$3</f>
        <v>37.041358699314543</v>
      </c>
      <c r="E8">
        <v>45</v>
      </c>
      <c r="F8">
        <f>ABS(TableMCI[[#This Row],[PP]]-TableMCI[[#This Row],[AP]])</f>
        <v>7.9586413006854571</v>
      </c>
    </row>
    <row r="9" spans="1:9" x14ac:dyDescent="0.2">
      <c r="A9" t="s">
        <v>120</v>
      </c>
      <c r="B9">
        <v>36.279069767441882</v>
      </c>
      <c r="C9">
        <v>30.29411764705883</v>
      </c>
      <c r="D9">
        <f>TableMCI[[#This Row],[ARIMAPP]]*$I$2+TableMCI[[#This Row],[LSTMPP]]*$I$3</f>
        <v>37.513278005487926</v>
      </c>
      <c r="E9">
        <v>48</v>
      </c>
      <c r="F9">
        <f>ABS(TableMCI[[#This Row],[PP]]-TableMCI[[#This Row],[AP]])</f>
        <v>10.486721994512074</v>
      </c>
    </row>
    <row r="10" spans="1:9" x14ac:dyDescent="0.2">
      <c r="A10" t="s">
        <v>121</v>
      </c>
      <c r="B10">
        <v>30.882352941176482</v>
      </c>
      <c r="C10">
        <v>29.64394665556614</v>
      </c>
      <c r="D10">
        <f>TableMCI[[#This Row],[ARIMAPP]]*$I$2+TableMCI[[#This Row],[LSTMPP]]*$I$3</f>
        <v>31.932965743127458</v>
      </c>
      <c r="E10">
        <v>24</v>
      </c>
      <c r="F10">
        <f>ABS(TableMCI[[#This Row],[PP]]-TableMCI[[#This Row],[AP]])</f>
        <v>7.9329657431274576</v>
      </c>
    </row>
    <row r="11" spans="1:9" x14ac:dyDescent="0.2">
      <c r="A11" t="s">
        <v>122</v>
      </c>
      <c r="B11">
        <v>30.30303030303028</v>
      </c>
      <c r="C11">
        <v>28.84615384615384</v>
      </c>
      <c r="D11">
        <f>TableMCI[[#This Row],[ARIMAPP]]*$I$2+TableMCI[[#This Row],[LSTMPP]]*$I$3</f>
        <v>31.333934638459283</v>
      </c>
      <c r="E11">
        <v>37</v>
      </c>
      <c r="F11">
        <f>ABS(TableMCI[[#This Row],[PP]]-TableMCI[[#This Row],[AP]])</f>
        <v>5.666065361540717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123</v>
      </c>
      <c r="B2">
        <v>45.013439615043282</v>
      </c>
      <c r="C2">
        <v>36.807692307692299</v>
      </c>
      <c r="D2">
        <f>TableMUN[[#This Row],[ARIMAPP]]*$I$2+TableMUN[[#This Row],[LSTMPP]]*$I$3</f>
        <v>34.613846541792689</v>
      </c>
      <c r="E2">
        <v>35</v>
      </c>
      <c r="F2">
        <f>ABS(TableMUN[[#This Row],[PP]]-TableMUN[[#This Row],[AP]])</f>
        <v>0.38615345820731051</v>
      </c>
      <c r="H2" t="s">
        <v>0</v>
      </c>
      <c r="I2">
        <v>0</v>
      </c>
    </row>
    <row r="3" spans="1:9" x14ac:dyDescent="0.2">
      <c r="A3" t="s">
        <v>124</v>
      </c>
      <c r="B3">
        <v>37.711683400776479</v>
      </c>
      <c r="C3">
        <v>27.028301886792448</v>
      </c>
      <c r="D3">
        <f>TableMUN[[#This Row],[ARIMAPP]]*$I$2+TableMUN[[#This Row],[LSTMPP]]*$I$3</f>
        <v>25.417336299541979</v>
      </c>
      <c r="E3">
        <v>27</v>
      </c>
      <c r="F3">
        <f>ABS(TableMUN[[#This Row],[PP]]-TableMUN[[#This Row],[AP]])</f>
        <v>1.5826637004580206</v>
      </c>
      <c r="H3" t="s">
        <v>1</v>
      </c>
      <c r="I3">
        <v>0.94039708473000005</v>
      </c>
    </row>
    <row r="4" spans="1:9" x14ac:dyDescent="0.2">
      <c r="A4" t="s">
        <v>125</v>
      </c>
      <c r="B4">
        <v>30.41608358573766</v>
      </c>
      <c r="C4">
        <v>31.259230502863101</v>
      </c>
      <c r="D4">
        <f>TableMUN[[#This Row],[ARIMAPP]]*$I$2+TableMUN[[#This Row],[LSTMPP]]*$I$3</f>
        <v>29.396089235795554</v>
      </c>
      <c r="E4">
        <v>34</v>
      </c>
      <c r="F4">
        <f>ABS(TableMUN[[#This Row],[PP]]-TableMUN[[#This Row],[AP]])</f>
        <v>4.6039107642044463</v>
      </c>
    </row>
    <row r="5" spans="1:9" x14ac:dyDescent="0.2">
      <c r="A5" t="s">
        <v>126</v>
      </c>
      <c r="B5">
        <v>45.462544788537578</v>
      </c>
      <c r="C5">
        <v>42.132343220440283</v>
      </c>
      <c r="D5">
        <f>TableMUN[[#This Row],[ARIMAPP]]*$I$2+TableMUN[[#This Row],[LSTMPP]]*$I$3</f>
        <v>39.621132737345825</v>
      </c>
      <c r="E5">
        <v>22</v>
      </c>
      <c r="F5">
        <f>ABS(TableMUN[[#This Row],[PP]]-TableMUN[[#This Row],[AP]])</f>
        <v>17.621132737345825</v>
      </c>
      <c r="H5" t="s">
        <v>2</v>
      </c>
      <c r="I5">
        <f>SUM(ABS(TableMUN[[#This Row],[PP]]-TableMUN[[#This Row],[AP]]))</f>
        <v>17.621132737345825</v>
      </c>
    </row>
    <row r="6" spans="1:9" x14ac:dyDescent="0.2">
      <c r="A6" t="s">
        <v>127</v>
      </c>
      <c r="B6">
        <v>38.918918918918941</v>
      </c>
      <c r="C6">
        <v>31.896551724137929</v>
      </c>
      <c r="D6">
        <f>TableMUN[[#This Row],[ARIMAPP]]*$I$2+TableMUN[[#This Row],[LSTMPP]]*$I$3</f>
        <v>29.995424254318966</v>
      </c>
      <c r="E6">
        <v>23</v>
      </c>
      <c r="F6">
        <f>ABS(TableMUN[[#This Row],[PP]]-TableMUN[[#This Row],[AP]])</f>
        <v>6.9954242543189658</v>
      </c>
    </row>
    <row r="7" spans="1:9" x14ac:dyDescent="0.2">
      <c r="A7" t="s">
        <v>128</v>
      </c>
      <c r="B7">
        <v>21.72413793103447</v>
      </c>
      <c r="C7">
        <v>22.39130434782609</v>
      </c>
      <c r="D7">
        <f>TableMUN[[#This Row],[ARIMAPP]]*$I$2+TableMUN[[#This Row],[LSTMPP]]*$I$3</f>
        <v>21.056717331997831</v>
      </c>
      <c r="E7">
        <v>51</v>
      </c>
      <c r="F7">
        <f>ABS(TableMUN[[#This Row],[PP]]-TableMUN[[#This Row],[AP]])</f>
        <v>29.943282668002169</v>
      </c>
      <c r="H7" t="s">
        <v>3</v>
      </c>
      <c r="I7">
        <f>AVERAGE(TableMUN[DIFF])/10</f>
        <v>0.91542035085083684</v>
      </c>
    </row>
    <row r="8" spans="1:9" x14ac:dyDescent="0.2">
      <c r="A8" t="s">
        <v>81</v>
      </c>
      <c r="B8">
        <v>40.425043904219621</v>
      </c>
      <c r="C8">
        <v>31.9579287419918</v>
      </c>
      <c r="D8">
        <f>TableMUN[[#This Row],[ARIMAPP]]*$I$2+TableMUN[[#This Row],[LSTMPP]]*$I$3</f>
        <v>30.053143022978166</v>
      </c>
      <c r="E8">
        <v>33</v>
      </c>
      <c r="F8">
        <f>ABS(TableMUN[[#This Row],[PP]]-TableMUN[[#This Row],[AP]])</f>
        <v>2.9468569770218345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86</v>
      </c>
      <c r="B2">
        <v>45.734265734265733</v>
      </c>
      <c r="C2">
        <v>43.884045149621357</v>
      </c>
      <c r="D2">
        <f>TableNEW[[#This Row],[ARIMAPP]]*$I$2+TableNEW[[#This Row],[LSTMPP]]*$I$3</f>
        <v>37.131352161554027</v>
      </c>
      <c r="E2">
        <v>33</v>
      </c>
      <c r="F2">
        <f>ABS(TableNEW[[#This Row],[PP]]-TableNEW[[#This Row],[AP]])</f>
        <v>4.1313521615540267</v>
      </c>
      <c r="H2" t="s">
        <v>0</v>
      </c>
      <c r="I2">
        <v>0.52573599587999997</v>
      </c>
    </row>
    <row r="3" spans="1:9" x14ac:dyDescent="0.2">
      <c r="A3" t="s">
        <v>129</v>
      </c>
      <c r="B3">
        <v>48.818022551171261</v>
      </c>
      <c r="C3">
        <v>37.96875</v>
      </c>
      <c r="D3">
        <f>TableNEW[[#This Row],[ARIMAPP]]*$I$2+TableNEW[[#This Row],[LSTMPP]]*$I$3</f>
        <v>36.988520990179197</v>
      </c>
      <c r="E3">
        <v>37</v>
      </c>
      <c r="F3">
        <f>ABS(TableNEW[[#This Row],[PP]]-TableNEW[[#This Row],[AP]])</f>
        <v>1.1479009820803299E-2</v>
      </c>
      <c r="H3" t="s">
        <v>1</v>
      </c>
      <c r="I3">
        <v>0.29822233514000002</v>
      </c>
    </row>
    <row r="4" spans="1:9" x14ac:dyDescent="0.2">
      <c r="A4" t="s">
        <v>130</v>
      </c>
      <c r="B4">
        <v>34.546396290105953</v>
      </c>
      <c r="C4">
        <v>30.694444444444439</v>
      </c>
      <c r="D4">
        <f>TableNEW[[#This Row],[ARIMAPP]]*$I$2+TableNEW[[#This Row],[LSTMPP]]*$I$3</f>
        <v>27.316052955691212</v>
      </c>
      <c r="E4">
        <v>31</v>
      </c>
      <c r="F4">
        <f>ABS(TableNEW[[#This Row],[PP]]-TableNEW[[#This Row],[AP]])</f>
        <v>3.6839470443087876</v>
      </c>
    </row>
    <row r="5" spans="1:9" x14ac:dyDescent="0.2">
      <c r="A5" t="s">
        <v>131</v>
      </c>
      <c r="B5">
        <v>28.37914696971189</v>
      </c>
      <c r="C5">
        <v>25.677083333333329</v>
      </c>
      <c r="D5">
        <f>TableNEW[[#This Row],[ARIMAPP]]*$I$2+TableNEW[[#This Row],[LSTMPP]]*$I$3</f>
        <v>22.577418845597403</v>
      </c>
      <c r="E5">
        <v>33</v>
      </c>
      <c r="F5">
        <f>ABS(TableNEW[[#This Row],[PP]]-TableNEW[[#This Row],[AP]])</f>
        <v>10.422581154402597</v>
      </c>
      <c r="H5" t="s">
        <v>2</v>
      </c>
      <c r="I5">
        <f>SUM(ABS(TableNEW[[#This Row],[PP]]-TableNEW[[#This Row],[AP]]))</f>
        <v>10.422581154402597</v>
      </c>
    </row>
    <row r="6" spans="1:9" x14ac:dyDescent="0.2">
      <c r="A6" t="s">
        <v>132</v>
      </c>
      <c r="B6">
        <v>29.696969696969681</v>
      </c>
      <c r="C6">
        <v>29.904761904761909</v>
      </c>
      <c r="D6">
        <f>TableNEW[[#This Row],[ARIMAPP]]*$I$2+TableNEW[[#This Row],[LSTMPP]]*$I$3</f>
        <v>24.531033865298348</v>
      </c>
      <c r="E6">
        <v>25</v>
      </c>
      <c r="F6">
        <f>ABS(TableNEW[[#This Row],[PP]]-TableNEW[[#This Row],[AP]])</f>
        <v>0.46896613470165249</v>
      </c>
    </row>
    <row r="7" spans="1:9" x14ac:dyDescent="0.2">
      <c r="A7" t="s">
        <v>133</v>
      </c>
      <c r="B7">
        <v>59.119513117221722</v>
      </c>
      <c r="C7">
        <v>25.845070422535201</v>
      </c>
      <c r="D7">
        <f>TableNEW[[#This Row],[ARIMAPP]]*$I$2+TableNEW[[#This Row],[LSTMPP]]*$I$3</f>
        <v>38.788833357889473</v>
      </c>
      <c r="E7">
        <v>38</v>
      </c>
      <c r="F7">
        <f>ABS(TableNEW[[#This Row],[PP]]-TableNEW[[#This Row],[AP]])</f>
        <v>0.78883335788947306</v>
      </c>
      <c r="H7" t="s">
        <v>3</v>
      </c>
      <c r="I7">
        <f>AVERAGE(TableNEW[DIFF])/10</f>
        <v>0.53086009464657979</v>
      </c>
    </row>
    <row r="8" spans="1:9" x14ac:dyDescent="0.2">
      <c r="A8" t="s">
        <v>134</v>
      </c>
      <c r="B8">
        <v>33.275862068965523</v>
      </c>
      <c r="C8">
        <v>33.931314185470313</v>
      </c>
      <c r="D8">
        <f>TableNEW[[#This Row],[ARIMAPP]]*$I$2+TableNEW[[#This Row],[LSTMPP]]*$I$3</f>
        <v>27.61339423435307</v>
      </c>
      <c r="E8">
        <v>41</v>
      </c>
      <c r="F8">
        <f>ABS(TableNEW[[#This Row],[PP]]-TableNEW[[#This Row],[AP]])</f>
        <v>13.38660576564693</v>
      </c>
    </row>
    <row r="9" spans="1:9" x14ac:dyDescent="0.2">
      <c r="A9" t="s">
        <v>135</v>
      </c>
      <c r="B9">
        <v>42.016597196778719</v>
      </c>
      <c r="C9">
        <v>44.109928504361662</v>
      </c>
      <c r="D9">
        <f>TableNEW[[#This Row],[ARIMAPP]]*$I$2+TableNEW[[#This Row],[LSTMPP]]*$I$3</f>
        <v>35.24420345216646</v>
      </c>
      <c r="E9">
        <v>23</v>
      </c>
      <c r="F9">
        <f>ABS(TableNEW[[#This Row],[PP]]-TableNEW[[#This Row],[AP]])</f>
        <v>12.24420345216646</v>
      </c>
    </row>
    <row r="10" spans="1:9" x14ac:dyDescent="0.2">
      <c r="A10" t="s">
        <v>136</v>
      </c>
      <c r="B10">
        <v>50.370370370370381</v>
      </c>
      <c r="C10">
        <v>40.767984740253681</v>
      </c>
      <c r="D10">
        <f>TableNEW[[#This Row],[ARIMAPP]]*$I$2+TableNEW[[#This Row],[LSTMPP]]*$I$3</f>
        <v>38.639440437701452</v>
      </c>
      <c r="E10">
        <v>36</v>
      </c>
      <c r="F10">
        <f>ABS(TableNEW[[#This Row],[PP]]-TableNEW[[#This Row],[AP]])</f>
        <v>2.6394404377014524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137</v>
      </c>
      <c r="B2">
        <v>33.510623285976699</v>
      </c>
      <c r="C2">
        <v>33.120300751879697</v>
      </c>
      <c r="D2">
        <f>TableNFO[[#This Row],[ARIMAPP]]*$I$2+TableNFO[[#This Row],[LSTMPP]]*$I$3</f>
        <v>45.986560096966251</v>
      </c>
      <c r="E2">
        <v>46</v>
      </c>
      <c r="F2">
        <f>ABS(TableNFO[[#This Row],[PP]]-TableNFO[[#This Row],[AP]])</f>
        <v>1.343990303374909E-2</v>
      </c>
      <c r="H2" t="s">
        <v>0</v>
      </c>
      <c r="I2">
        <v>6.6106080947E-3</v>
      </c>
    </row>
    <row r="3" spans="1:9" x14ac:dyDescent="0.2">
      <c r="A3" t="s">
        <v>138</v>
      </c>
      <c r="B3">
        <v>39.316158428668267</v>
      </c>
      <c r="C3">
        <v>26.84210526315789</v>
      </c>
      <c r="D3">
        <f>TableNFO[[#This Row],[ARIMAPP]]*$I$2+TableNFO[[#This Row],[LSTMPP]]*$I$3</f>
        <v>37.349840869055789</v>
      </c>
      <c r="E3">
        <v>29</v>
      </c>
      <c r="F3">
        <f>ABS(TableNFO[[#This Row],[PP]]-TableNFO[[#This Row],[AP]])</f>
        <v>8.3498408690557895</v>
      </c>
      <c r="H3" t="s">
        <v>1</v>
      </c>
      <c r="I3">
        <v>1.3817819724</v>
      </c>
    </row>
    <row r="4" spans="1:9" x14ac:dyDescent="0.2">
      <c r="A4" t="s">
        <v>139</v>
      </c>
      <c r="B4">
        <v>37.015666733842657</v>
      </c>
      <c r="C4">
        <v>25.256410256410259</v>
      </c>
      <c r="D4">
        <f>TableNFO[[#This Row],[ARIMAPP]]*$I$2+TableNFO[[#This Row],[LSTMPP]]*$I$3</f>
        <v>35.143548445987612</v>
      </c>
      <c r="E4">
        <v>44</v>
      </c>
      <c r="F4">
        <f>ABS(TableNFO[[#This Row],[PP]]-TableNFO[[#This Row],[AP]])</f>
        <v>8.8564515540123878</v>
      </c>
    </row>
    <row r="5" spans="1:9" x14ac:dyDescent="0.2">
      <c r="H5" t="s">
        <v>2</v>
      </c>
      <c r="I5" t="e">
        <f>SUM(ABS(TableNFO[[#This Row],[PP]]-TableNFO[[#This Row],[AP]]))</f>
        <v>#VALUE!</v>
      </c>
    </row>
    <row r="7" spans="1:9" x14ac:dyDescent="0.2">
      <c r="H7" t="s">
        <v>3</v>
      </c>
      <c r="I7">
        <f>AVERAGE(TableNFO[DIFF])/10</f>
        <v>0.57399107753673095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140</v>
      </c>
      <c r="B2">
        <v>21.42857142857142</v>
      </c>
      <c r="C2">
        <v>22.8125</v>
      </c>
      <c r="D2">
        <f>TableSHU[[#This Row],[ARIMAPP]]*$I$2+TableSHU[[#This Row],[LSTMPP]]*$I$3</f>
        <v>26.440233266632855</v>
      </c>
      <c r="E2">
        <v>30</v>
      </c>
      <c r="F2">
        <f>ABS(TableSHU[[#This Row],[PP]]-TableSHU[[#This Row],[AP]])</f>
        <v>3.5597667333671446</v>
      </c>
      <c r="H2" t="s">
        <v>0</v>
      </c>
      <c r="I2">
        <v>8.6409916018999992E-9</v>
      </c>
    </row>
    <row r="3" spans="1:9" x14ac:dyDescent="0.2">
      <c r="A3" t="s">
        <v>141</v>
      </c>
      <c r="B3">
        <v>17.84849936390226</v>
      </c>
      <c r="C3">
        <v>24</v>
      </c>
      <c r="D3">
        <f>TableSHU[[#This Row],[ARIMAPP]]*$I$2+TableSHU[[#This Row],[LSTMPP]]*$I$3</f>
        <v>27.816574135828734</v>
      </c>
      <c r="E3">
        <v>37</v>
      </c>
      <c r="F3">
        <f>ABS(TableSHU[[#This Row],[PP]]-TableSHU[[#This Row],[AP]])</f>
        <v>9.1834258641712658</v>
      </c>
      <c r="H3" t="s">
        <v>1</v>
      </c>
      <c r="I3">
        <v>1.1590239159</v>
      </c>
    </row>
    <row r="4" spans="1:9" x14ac:dyDescent="0.2">
      <c r="A4" t="s">
        <v>142</v>
      </c>
      <c r="B4">
        <v>16.428571422197461</v>
      </c>
      <c r="C4">
        <v>23.181818181818191</v>
      </c>
      <c r="D4">
        <f>TableSHU[[#This Row],[ARIMAPP]]*$I$2+TableSHU[[#This Row],[LSTMPP]]*$I$3</f>
        <v>26.868281828731885</v>
      </c>
      <c r="E4">
        <v>32</v>
      </c>
      <c r="F4">
        <f>ABS(TableSHU[[#This Row],[PP]]-TableSHU[[#This Row],[AP]])</f>
        <v>5.1317181712681155</v>
      </c>
    </row>
    <row r="5" spans="1:9" x14ac:dyDescent="0.2">
      <c r="A5" t="s">
        <v>143</v>
      </c>
      <c r="B5">
        <v>21.333333333333329</v>
      </c>
      <c r="C5">
        <v>25</v>
      </c>
      <c r="D5">
        <f>TableSHU[[#This Row],[ARIMAPP]]*$I$2+TableSHU[[#This Row],[LSTMPP]]*$I$3</f>
        <v>28.975598081841152</v>
      </c>
      <c r="E5">
        <v>26</v>
      </c>
      <c r="F5">
        <f>ABS(TableSHU[[#This Row],[PP]]-TableSHU[[#This Row],[AP]])</f>
        <v>2.9755980818411523</v>
      </c>
      <c r="H5" t="s">
        <v>2</v>
      </c>
      <c r="I5">
        <f>SUM(ABS(TableSHU[[#This Row],[PP]]-TableSHU[[#This Row],[AP]]))</f>
        <v>2.9755980818411523</v>
      </c>
    </row>
    <row r="6" spans="1:9" x14ac:dyDescent="0.2">
      <c r="A6" t="s">
        <v>144</v>
      </c>
      <c r="B6">
        <v>27.692307692307711</v>
      </c>
      <c r="C6">
        <v>30.5</v>
      </c>
      <c r="D6">
        <f>TableSHU[[#This Row],[ARIMAPP]]*$I$2+TableSHU[[#This Row],[LSTMPP]]*$I$3</f>
        <v>35.350229674239003</v>
      </c>
      <c r="E6">
        <v>24</v>
      </c>
      <c r="F6">
        <f>ABS(TableSHU[[#This Row],[PP]]-TableSHU[[#This Row],[AP]])</f>
        <v>11.350229674239003</v>
      </c>
    </row>
    <row r="7" spans="1:9" x14ac:dyDescent="0.2">
      <c r="H7" t="s">
        <v>3</v>
      </c>
      <c r="I7">
        <f>AVERAGE(TableSHU[DIFF])/10</f>
        <v>0.6440147704977337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1"/>
  <sheetViews>
    <sheetView workbookViewId="0">
      <selection activeCell="I4" sqref="I4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145</v>
      </c>
      <c r="B2">
        <v>46.369757557498453</v>
      </c>
      <c r="C2">
        <v>42.114604712211637</v>
      </c>
      <c r="D2">
        <f>TableTOT[[#This Row],[ARIMAPP]]*$I$2+TableTOT[[#This Row],[LSTMPP]]*$I$3</f>
        <v>51.571301527695958</v>
      </c>
      <c r="E2">
        <v>48</v>
      </c>
      <c r="F2">
        <f>ABS(TableTOT[[#This Row],[PP]]-TableTOT[[#This Row],[AP]])</f>
        <v>3.5713015276959581</v>
      </c>
      <c r="H2" t="s">
        <v>0</v>
      </c>
      <c r="I2">
        <v>0</v>
      </c>
    </row>
    <row r="3" spans="1:9" x14ac:dyDescent="0.2">
      <c r="A3" t="s">
        <v>146</v>
      </c>
      <c r="B3">
        <v>26.703666079022941</v>
      </c>
      <c r="C3">
        <v>40.892376388436737</v>
      </c>
      <c r="D3">
        <f>TableTOT[[#This Row],[ARIMAPP]]*$I$2+TableTOT[[#This Row],[LSTMPP]]*$I$3</f>
        <v>50.074625829281793</v>
      </c>
      <c r="E3">
        <v>75</v>
      </c>
      <c r="F3">
        <f>ABS(TableTOT[[#This Row],[PP]]-TableTOT[[#This Row],[AP]])</f>
        <v>24.925374170718207</v>
      </c>
      <c r="H3" t="s">
        <v>1</v>
      </c>
      <c r="I3">
        <v>1.224546731</v>
      </c>
    </row>
    <row r="4" spans="1:9" x14ac:dyDescent="0.2">
      <c r="A4" t="s">
        <v>147</v>
      </c>
      <c r="B4">
        <v>31.428571428571431</v>
      </c>
      <c r="C4">
        <v>27.27272727272727</v>
      </c>
      <c r="D4">
        <f>TableTOT[[#This Row],[ARIMAPP]]*$I$2+TableTOT[[#This Row],[LSTMPP]]*$I$3</f>
        <v>33.396729027272727</v>
      </c>
      <c r="E4">
        <v>20</v>
      </c>
      <c r="F4">
        <f>ABS(TableTOT[[#This Row],[PP]]-TableTOT[[#This Row],[AP]])</f>
        <v>13.396729027272727</v>
      </c>
    </row>
    <row r="5" spans="1:9" x14ac:dyDescent="0.2">
      <c r="A5" t="s">
        <v>148</v>
      </c>
      <c r="B5">
        <v>39.203093532350373</v>
      </c>
      <c r="C5">
        <v>39.294067535163592</v>
      </c>
      <c r="D5">
        <f>TableTOT[[#This Row],[ARIMAPP]]*$I$2+TableTOT[[#This Row],[LSTMPP]]*$I$3</f>
        <v>48.117421947877801</v>
      </c>
      <c r="E5">
        <v>44</v>
      </c>
      <c r="F5">
        <f>ABS(TableTOT[[#This Row],[PP]]-TableTOT[[#This Row],[AP]])</f>
        <v>4.1174219478778014</v>
      </c>
      <c r="H5" t="s">
        <v>2</v>
      </c>
      <c r="I5">
        <f>SUM(ABS(TableTOT[[#This Row],[PP]]-TableTOT[[#This Row],[AP]]))</f>
        <v>4.1174219478778014</v>
      </c>
    </row>
    <row r="6" spans="1:9" x14ac:dyDescent="0.2">
      <c r="A6" t="s">
        <v>149</v>
      </c>
      <c r="B6">
        <v>30</v>
      </c>
      <c r="C6">
        <v>29.743589743589741</v>
      </c>
      <c r="D6">
        <f>TableTOT[[#This Row],[ARIMAPP]]*$I$2+TableTOT[[#This Row],[LSTMPP]]*$I$3</f>
        <v>36.422415588717946</v>
      </c>
      <c r="E6">
        <v>40</v>
      </c>
      <c r="F6">
        <f>ABS(TableTOT[[#This Row],[PP]]-TableTOT[[#This Row],[AP]])</f>
        <v>3.5775844112820536</v>
      </c>
    </row>
    <row r="7" spans="1:9" x14ac:dyDescent="0.2">
      <c r="A7" t="s">
        <v>150</v>
      </c>
      <c r="B7">
        <v>49.361702127659562</v>
      </c>
      <c r="C7">
        <v>42.829968466368378</v>
      </c>
      <c r="D7">
        <f>TableTOT[[#This Row],[ARIMAPP]]*$I$2+TableTOT[[#This Row],[LSTMPP]]*$I$3</f>
        <v>52.447297874324484</v>
      </c>
      <c r="E7">
        <v>60</v>
      </c>
      <c r="F7">
        <f>ABS(TableTOT[[#This Row],[PP]]-TableTOT[[#This Row],[AP]])</f>
        <v>7.5527021256755162</v>
      </c>
      <c r="H7" t="s">
        <v>3</v>
      </c>
      <c r="I7">
        <f>AVERAGE(TableTOT[DIFF])/10</f>
        <v>0.83552100013698871</v>
      </c>
    </row>
    <row r="8" spans="1:9" x14ac:dyDescent="0.2">
      <c r="A8" t="s">
        <v>151</v>
      </c>
      <c r="B8">
        <v>21.36363636363636</v>
      </c>
      <c r="C8">
        <v>23.82352941176471</v>
      </c>
      <c r="D8">
        <f>TableTOT[[#This Row],[ARIMAPP]]*$I$2+TableTOT[[#This Row],[LSTMPP]]*$I$3</f>
        <v>29.17302506205883</v>
      </c>
      <c r="E8">
        <v>31</v>
      </c>
      <c r="F8">
        <f>ABS(TableTOT[[#This Row],[PP]]-TableTOT[[#This Row],[AP]])</f>
        <v>1.8269749379411699</v>
      </c>
    </row>
    <row r="9" spans="1:9" x14ac:dyDescent="0.2">
      <c r="A9" t="s">
        <v>152</v>
      </c>
      <c r="B9">
        <v>38.928571428571423</v>
      </c>
      <c r="C9">
        <v>34.192310690672677</v>
      </c>
      <c r="D9">
        <f>TableTOT[[#This Row],[ARIMAPP]]*$I$2+TableTOT[[#This Row],[LSTMPP]]*$I$3</f>
        <v>41.870082281599579</v>
      </c>
      <c r="E9">
        <v>37</v>
      </c>
      <c r="F9">
        <f>ABS(TableTOT[[#This Row],[PP]]-TableTOT[[#This Row],[AP]])</f>
        <v>4.8700822815995792</v>
      </c>
    </row>
    <row r="10" spans="1:9" x14ac:dyDescent="0.2">
      <c r="A10" t="s">
        <v>153</v>
      </c>
      <c r="B10">
        <v>30.023931474629979</v>
      </c>
      <c r="C10">
        <v>33.125</v>
      </c>
      <c r="D10">
        <f>TableTOT[[#This Row],[ARIMAPP]]*$I$2+TableTOT[[#This Row],[LSTMPP]]*$I$3</f>
        <v>40.563110464375001</v>
      </c>
      <c r="E10">
        <v>34</v>
      </c>
      <c r="F10">
        <f>ABS(TableTOT[[#This Row],[PP]]-TableTOT[[#This Row],[AP]])</f>
        <v>6.5631104643750007</v>
      </c>
    </row>
    <row r="11" spans="1:9" x14ac:dyDescent="0.2">
      <c r="A11" t="s">
        <v>154</v>
      </c>
      <c r="B11">
        <v>34.666666666666679</v>
      </c>
      <c r="C11">
        <v>32.788311056510302</v>
      </c>
      <c r="D11">
        <f>TableTOT[[#This Row],[ARIMAPP]]*$I$2+TableTOT[[#This Row],[LSTMPP]]*$I$3</f>
        <v>40.150819119260845</v>
      </c>
      <c r="E11">
        <v>27</v>
      </c>
      <c r="F11">
        <f>ABS(TableTOT[[#This Row],[PP]]-TableTOT[[#This Row],[AP]])</f>
        <v>13.150819119260845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155</v>
      </c>
      <c r="B2">
        <v>39.401954373085147</v>
      </c>
      <c r="C2">
        <v>37.319785674837618</v>
      </c>
      <c r="D2">
        <f>TableWHU[[#This Row],[ARIMAPP]]*$I$2+TableWHU[[#This Row],[LSTMPP]]*$I$3</f>
        <v>38.001987760864942</v>
      </c>
      <c r="E2">
        <v>42</v>
      </c>
      <c r="F2">
        <f>ABS(TableWHU[[#This Row],[PP]]-TableWHU[[#This Row],[AP]])</f>
        <v>3.9980122391350577</v>
      </c>
      <c r="H2" t="s">
        <v>0</v>
      </c>
      <c r="I2">
        <v>0.14946811871999999</v>
      </c>
    </row>
    <row r="3" spans="1:9" x14ac:dyDescent="0.2">
      <c r="A3" t="s">
        <v>156</v>
      </c>
      <c r="B3">
        <v>17.41935483870968</v>
      </c>
      <c r="C3">
        <v>23.16326530612244</v>
      </c>
      <c r="D3">
        <f>TableWHU[[#This Row],[ARIMAPP]]*$I$2+TableWHU[[#This Row],[LSTMPP]]*$I$3</f>
        <v>22.534992547243771</v>
      </c>
      <c r="E3">
        <v>33</v>
      </c>
      <c r="F3">
        <f>ABS(TableWHU[[#This Row],[PP]]-TableWHU[[#This Row],[AP]])</f>
        <v>10.465007452756229</v>
      </c>
      <c r="H3" t="s">
        <v>1</v>
      </c>
      <c r="I3">
        <v>0.86047256666000005</v>
      </c>
    </row>
    <row r="4" spans="1:9" x14ac:dyDescent="0.2">
      <c r="A4" t="s">
        <v>157</v>
      </c>
      <c r="B4">
        <v>45.666254005083928</v>
      </c>
      <c r="C4">
        <v>43.824820925657349</v>
      </c>
      <c r="D4">
        <f>TableWHU[[#This Row],[ARIMAPP]]*$I$2+TableWHU[[#This Row],[LSTMPP]]*$I$3</f>
        <v>44.535705220444818</v>
      </c>
      <c r="E4">
        <v>36</v>
      </c>
      <c r="F4">
        <f>ABS(TableWHU[[#This Row],[PP]]-TableWHU[[#This Row],[AP]])</f>
        <v>8.5357052204448181</v>
      </c>
    </row>
    <row r="5" spans="1:9" x14ac:dyDescent="0.2">
      <c r="A5" t="s">
        <v>158</v>
      </c>
      <c r="B5">
        <v>30.980392156862742</v>
      </c>
      <c r="C5">
        <v>30.5</v>
      </c>
      <c r="D5">
        <f>TableWHU[[#This Row],[ARIMAPP]]*$I$2+TableWHU[[#This Row],[LSTMPP]]*$I$3</f>
        <v>30.874994216024117</v>
      </c>
      <c r="E5">
        <v>44</v>
      </c>
      <c r="F5">
        <f>ABS(TableWHU[[#This Row],[PP]]-TableWHU[[#This Row],[AP]])</f>
        <v>13.125005783975883</v>
      </c>
      <c r="H5" t="s">
        <v>2</v>
      </c>
      <c r="I5">
        <f>SUM(ABS(TableWHU[[#This Row],[PP]]-TableWHU[[#This Row],[AP]]))</f>
        <v>13.125005783975883</v>
      </c>
    </row>
    <row r="6" spans="1:9" x14ac:dyDescent="0.2">
      <c r="A6" t="s">
        <v>159</v>
      </c>
      <c r="B6">
        <v>34.010898203455042</v>
      </c>
      <c r="C6">
        <v>31.296296296296301</v>
      </c>
      <c r="D6">
        <f>TableWHU[[#This Row],[ARIMAPP]]*$I$2+TableWHU[[#This Row],[LSTMPP]]*$I$3</f>
        <v>32.01314937147378</v>
      </c>
      <c r="E6">
        <v>40</v>
      </c>
      <c r="F6">
        <f>ABS(TableWHU[[#This Row],[PP]]-TableWHU[[#This Row],[AP]])</f>
        <v>7.98685062852622</v>
      </c>
    </row>
    <row r="7" spans="1:9" x14ac:dyDescent="0.2">
      <c r="A7" t="s">
        <v>160</v>
      </c>
      <c r="B7">
        <v>27.606181702543481</v>
      </c>
      <c r="C7">
        <v>33.500000000000007</v>
      </c>
      <c r="D7">
        <f>TableWHU[[#This Row],[ARIMAPP]]*$I$2+TableWHU[[#This Row],[LSTMPP]]*$I$3</f>
        <v>32.952075027231672</v>
      </c>
      <c r="E7">
        <v>24</v>
      </c>
      <c r="F7">
        <f>ABS(TableWHU[[#This Row],[PP]]-TableWHU[[#This Row],[AP]])</f>
        <v>8.9520750272316718</v>
      </c>
      <c r="H7" t="s">
        <v>3</v>
      </c>
      <c r="I7">
        <f>AVERAGE(TableWHU[DIFF])/10</f>
        <v>0.89896911500283161</v>
      </c>
    </row>
    <row r="8" spans="1:9" x14ac:dyDescent="0.2">
      <c r="A8" t="s">
        <v>161</v>
      </c>
      <c r="B8">
        <v>38.636355942788427</v>
      </c>
      <c r="C8">
        <v>37.293784258253218</v>
      </c>
      <c r="D8">
        <f>TableWHU[[#This Row],[ARIMAPP]]*$I$2+TableWHU[[#This Row],[LSTMPP]]*$I$3</f>
        <v>37.865181698128332</v>
      </c>
      <c r="E8">
        <v>28</v>
      </c>
      <c r="F8">
        <f>ABS(TableWHU[[#This Row],[PP]]-TableWHU[[#This Row],[AP]])</f>
        <v>9.8651816981283318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22</v>
      </c>
      <c r="B2">
        <v>25.893261988887069</v>
      </c>
      <c r="C2">
        <v>33.274723823991771</v>
      </c>
      <c r="D2">
        <f>TableAVL[[#This Row],[ARIMAPP]]*$I$2+TableAVL[[#This Row],[LSTMPP]]*$I$3</f>
        <v>30.411018599590435</v>
      </c>
      <c r="E2">
        <v>26</v>
      </c>
      <c r="F2">
        <f>ABS(TableAVL[[#This Row],[PP]]-TableAVL[[#This Row],[AP]])</f>
        <v>4.4110185995904345</v>
      </c>
      <c r="H2" t="s">
        <v>0</v>
      </c>
      <c r="I2">
        <v>0.53660520537</v>
      </c>
    </row>
    <row r="3" spans="1:9" x14ac:dyDescent="0.2">
      <c r="A3" t="s">
        <v>23</v>
      </c>
      <c r="B3">
        <v>20.772658166701639</v>
      </c>
      <c r="C3">
        <v>35.22173473431679</v>
      </c>
      <c r="D3">
        <f>TableAVL[[#This Row],[ARIMAPP]]*$I$2+TableAVL[[#This Row],[LSTMPP]]*$I$3</f>
        <v>28.629712848243059</v>
      </c>
      <c r="E3">
        <v>31</v>
      </c>
      <c r="F3">
        <f>ABS(TableAVL[[#This Row],[PP]]-TableAVL[[#This Row],[AP]])</f>
        <v>2.3702871517569406</v>
      </c>
      <c r="H3" t="s">
        <v>1</v>
      </c>
      <c r="I3">
        <v>0.49636954223000002</v>
      </c>
    </row>
    <row r="4" spans="1:9" x14ac:dyDescent="0.2">
      <c r="A4" t="s">
        <v>24</v>
      </c>
      <c r="B4">
        <v>58.649812786256227</v>
      </c>
      <c r="C4">
        <v>27.435897435897441</v>
      </c>
      <c r="D4">
        <f>TableAVL[[#This Row],[ARIMAPP]]*$I$2+TableAVL[[#This Row],[LSTMPP]]*$I$3</f>
        <v>45.090138686006718</v>
      </c>
      <c r="E4">
        <v>46</v>
      </c>
      <c r="F4">
        <f>ABS(TableAVL[[#This Row],[PP]]-TableAVL[[#This Row],[AP]])</f>
        <v>0.90986131399328229</v>
      </c>
    </row>
    <row r="5" spans="1:9" x14ac:dyDescent="0.2">
      <c r="A5" t="s">
        <v>25</v>
      </c>
      <c r="B5">
        <v>30.211267605633779</v>
      </c>
      <c r="C5">
        <v>29.601769911504419</v>
      </c>
      <c r="D5">
        <f>TableAVL[[#This Row],[ARIMAPP]]*$I$2+TableAVL[[#This Row],[LSTMPP]]*$I$3</f>
        <v>30.904940438180383</v>
      </c>
      <c r="E5">
        <v>36</v>
      </c>
      <c r="F5">
        <f>ABS(TableAVL[[#This Row],[PP]]-TableAVL[[#This Row],[AP]])</f>
        <v>5.0950595618196175</v>
      </c>
      <c r="H5" t="s">
        <v>2</v>
      </c>
      <c r="I5">
        <f>SUM(ABS(TableAVL[[#This Row],[PP]]-TableAVL[[#This Row],[AP]]))</f>
        <v>5.0950595618196175</v>
      </c>
    </row>
    <row r="6" spans="1:9" x14ac:dyDescent="0.2">
      <c r="A6" t="s">
        <v>26</v>
      </c>
      <c r="B6">
        <v>28.296296296296291</v>
      </c>
      <c r="C6">
        <v>28.472222222222221</v>
      </c>
      <c r="D6">
        <f>TableAVL[[#This Row],[ARIMAPP]]*$I$2+TableAVL[[#This Row],[LSTMPP]]*$I$3</f>
        <v>29.316683795999719</v>
      </c>
      <c r="E6">
        <v>26</v>
      </c>
      <c r="F6">
        <f>ABS(TableAVL[[#This Row],[PP]]-TableAVL[[#This Row],[AP]])</f>
        <v>3.3166837959997189</v>
      </c>
    </row>
    <row r="7" spans="1:9" x14ac:dyDescent="0.2">
      <c r="A7" t="s">
        <v>27</v>
      </c>
      <c r="B7">
        <v>45.593220338983052</v>
      </c>
      <c r="C7">
        <v>42.837445852909028</v>
      </c>
      <c r="D7">
        <f>TableAVL[[#This Row],[ARIMAPP]]*$I$2+TableAVL[[#This Row],[LSTMPP]]*$I$3</f>
        <v>45.728762751790526</v>
      </c>
      <c r="E7">
        <v>64</v>
      </c>
      <c r="F7">
        <f>ABS(TableAVL[[#This Row],[PP]]-TableAVL[[#This Row],[AP]])</f>
        <v>18.271237248209474</v>
      </c>
      <c r="H7" t="s">
        <v>3</v>
      </c>
      <c r="I7">
        <f>AVERAGE(TableAVL[DIFF])/10</f>
        <v>0.84685017324764811</v>
      </c>
    </row>
    <row r="8" spans="1:9" x14ac:dyDescent="0.2">
      <c r="A8" t="s">
        <v>28</v>
      </c>
      <c r="B8">
        <v>30.31746031746032</v>
      </c>
      <c r="C8">
        <v>28.099999999999991</v>
      </c>
      <c r="D8">
        <f>TableAVL[[#This Row],[ARIMAPP]]*$I$2+TableAVL[[#This Row],[LSTMPP]]*$I$3</f>
        <v>30.216491156610616</v>
      </c>
      <c r="E8">
        <v>40</v>
      </c>
      <c r="F8">
        <f>ABS(TableAVL[[#This Row],[PP]]-TableAVL[[#This Row],[AP]])</f>
        <v>9.7835088433893844</v>
      </c>
    </row>
    <row r="9" spans="1:9" x14ac:dyDescent="0.2">
      <c r="A9" t="s">
        <v>29</v>
      </c>
      <c r="B9">
        <v>34.489795918367349</v>
      </c>
      <c r="C9">
        <v>31.898061042388239</v>
      </c>
      <c r="D9">
        <f>TableAVL[[#This Row],[ARIMAPP]]*$I$2+TableAVL[[#This Row],[LSTMPP]]*$I$3</f>
        <v>34.340629979579745</v>
      </c>
      <c r="E9">
        <v>39</v>
      </c>
      <c r="F9">
        <f>ABS(TableAVL[[#This Row],[PP]]-TableAVL[[#This Row],[AP]])</f>
        <v>4.6593700204202548</v>
      </c>
    </row>
    <row r="10" spans="1:9" x14ac:dyDescent="0.2">
      <c r="A10" t="s">
        <v>30</v>
      </c>
      <c r="B10">
        <v>48.862934846301258</v>
      </c>
      <c r="C10">
        <v>44.683208742593763</v>
      </c>
      <c r="D10">
        <f>TableAVL[[#This Row],[ARIMAPP]]*$I$2+TableAVL[[#This Row],[LSTMPP]]*$I$3</f>
        <v>48.399489057109221</v>
      </c>
      <c r="E10">
        <v>21</v>
      </c>
      <c r="F10">
        <f>ABS(TableAVL[[#This Row],[PP]]-TableAVL[[#This Row],[AP]])</f>
        <v>27.399489057109221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162</v>
      </c>
      <c r="B2">
        <v>23.19015338381563</v>
      </c>
      <c r="C2">
        <v>25.081967213114751</v>
      </c>
      <c r="D2">
        <f>TableWOL[[#This Row],[ARIMAPP]]*$I$2+TableWOL[[#This Row],[LSTMPP]]*$I$3</f>
        <v>25.592759753329791</v>
      </c>
      <c r="E2">
        <v>34</v>
      </c>
      <c r="F2">
        <f>ABS(TableWOL[[#This Row],[PP]]-TableWOL[[#This Row],[AP]])</f>
        <v>8.4072402466702094</v>
      </c>
      <c r="H2" t="s">
        <v>0</v>
      </c>
      <c r="I2">
        <v>0.53017682746999995</v>
      </c>
    </row>
    <row r="3" spans="1:9" x14ac:dyDescent="0.2">
      <c r="A3" t="s">
        <v>163</v>
      </c>
      <c r="B3">
        <v>29.803921568627452</v>
      </c>
      <c r="C3">
        <v>31.311557447002649</v>
      </c>
      <c r="D3">
        <f>TableWOL[[#This Row],[ARIMAPP]]*$I$2+TableWOL[[#This Row],[LSTMPP]]*$I$3</f>
        <v>32.402010773816123</v>
      </c>
      <c r="E3">
        <v>34</v>
      </c>
      <c r="F3">
        <f>ABS(TableWOL[[#This Row],[PP]]-TableWOL[[#This Row],[AP]])</f>
        <v>1.5979892261838771</v>
      </c>
      <c r="H3" t="s">
        <v>1</v>
      </c>
      <c r="I3">
        <v>0.53017682746999995</v>
      </c>
    </row>
    <row r="4" spans="1:9" x14ac:dyDescent="0.2">
      <c r="A4" t="s">
        <v>164</v>
      </c>
      <c r="B4">
        <v>23.510003646540302</v>
      </c>
      <c r="C4">
        <v>28.072916666666671</v>
      </c>
      <c r="D4">
        <f>TableWOL[[#This Row],[ARIMAPP]]*$I$2+TableWOL[[#This Row],[LSTMPP]]*$I$3</f>
        <v>27.34806904329389</v>
      </c>
      <c r="E4">
        <v>43</v>
      </c>
      <c r="F4">
        <f>ABS(TableWOL[[#This Row],[PP]]-TableWOL[[#This Row],[AP]])</f>
        <v>15.65193095670611</v>
      </c>
    </row>
    <row r="5" spans="1:9" x14ac:dyDescent="0.2">
      <c r="A5" t="s">
        <v>165</v>
      </c>
      <c r="B5">
        <v>39.837759731036847</v>
      </c>
      <c r="C5">
        <v>34.944576639163948</v>
      </c>
      <c r="D5">
        <f>TableWOL[[#This Row],[ARIMAPP]]*$I$2+TableWOL[[#This Row],[LSTMPP]]*$I$3</f>
        <v>39.647861847547446</v>
      </c>
      <c r="E5">
        <v>29</v>
      </c>
      <c r="F5">
        <f>ABS(TableWOL[[#This Row],[PP]]-TableWOL[[#This Row],[AP]])</f>
        <v>10.647861847547446</v>
      </c>
      <c r="H5" t="s">
        <v>2</v>
      </c>
      <c r="I5">
        <f>SUM(ABS(TableWOL[[#This Row],[PP]]-TableWOL[[#This Row],[AP]]))</f>
        <v>10.647861847547446</v>
      </c>
    </row>
    <row r="6" spans="1:9" x14ac:dyDescent="0.2">
      <c r="A6" t="s">
        <v>166</v>
      </c>
      <c r="B6">
        <v>23.333333333333321</v>
      </c>
      <c r="C6">
        <v>24.807692307692299</v>
      </c>
      <c r="D6">
        <f>TableWOL[[#This Row],[ARIMAPP]]*$I$2+TableWOL[[#This Row],[LSTMPP]]*$I$3</f>
        <v>25.523256245510886</v>
      </c>
      <c r="E6">
        <v>25</v>
      </c>
      <c r="F6">
        <f>ABS(TableWOL[[#This Row],[PP]]-TableWOL[[#This Row],[AP]])</f>
        <v>0.52325624551088623</v>
      </c>
    </row>
    <row r="7" spans="1:9" x14ac:dyDescent="0.2">
      <c r="A7" t="s">
        <v>167</v>
      </c>
      <c r="B7">
        <v>53.150715278886331</v>
      </c>
      <c r="C7">
        <v>26</v>
      </c>
      <c r="D7">
        <f>TableWOL[[#This Row],[ARIMAPP]]*$I$2+TableWOL[[#This Row],[LSTMPP]]*$I$3</f>
        <v>41.963875118541203</v>
      </c>
      <c r="E7">
        <v>48</v>
      </c>
      <c r="F7">
        <f>ABS(TableWOL[[#This Row],[PP]]-TableWOL[[#This Row],[AP]])</f>
        <v>6.0361248814587967</v>
      </c>
      <c r="H7" t="s">
        <v>3</v>
      </c>
      <c r="I7">
        <f>AVERAGE(TableWOL[DIFF])/10</f>
        <v>1.0696338315732454</v>
      </c>
    </row>
    <row r="8" spans="1:9" x14ac:dyDescent="0.2">
      <c r="A8" t="s">
        <v>168</v>
      </c>
      <c r="B8">
        <v>41.020070406774572</v>
      </c>
      <c r="C8">
        <v>26.666666666666671</v>
      </c>
      <c r="D8">
        <f>TableWOL[[#This Row],[ARIMAPP]]*$I$2+TableWOL[[#This Row],[LSTMPP]]*$I$3</f>
        <v>35.885939523393105</v>
      </c>
      <c r="E8">
        <v>57</v>
      </c>
      <c r="F8">
        <f>ABS(TableWOL[[#This Row],[PP]]-TableWOL[[#This Row],[AP]])</f>
        <v>21.114060476606895</v>
      </c>
    </row>
    <row r="9" spans="1:9" x14ac:dyDescent="0.2">
      <c r="A9" t="s">
        <v>169</v>
      </c>
      <c r="B9">
        <v>20.5</v>
      </c>
      <c r="C9">
        <v>21.5625</v>
      </c>
      <c r="D9">
        <f>TableWOL[[#This Row],[ARIMAPP]]*$I$2+TableWOL[[#This Row],[LSTMPP]]*$I$3</f>
        <v>22.30056280545687</v>
      </c>
      <c r="E9">
        <v>41</v>
      </c>
      <c r="F9">
        <f>ABS(TableWOL[[#This Row],[PP]]-TableWOL[[#This Row],[AP]])</f>
        <v>18.69943719454313</v>
      </c>
    </row>
    <row r="10" spans="1:9" x14ac:dyDescent="0.2">
      <c r="A10" t="s">
        <v>170</v>
      </c>
      <c r="B10">
        <v>17.826086956521731</v>
      </c>
      <c r="C10">
        <v>24.444444444444439</v>
      </c>
      <c r="D10">
        <f>TableWOL[[#This Row],[ARIMAPP]]*$I$2+TableWOL[[#This Row],[LSTMPP]]*$I$3</f>
        <v>22.410856233635258</v>
      </c>
      <c r="E10">
        <v>36</v>
      </c>
      <c r="F10">
        <f>ABS(TableWOL[[#This Row],[PP]]-TableWOL[[#This Row],[AP]])</f>
        <v>13.589143766364742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31</v>
      </c>
      <c r="B2">
        <v>22.222222222222211</v>
      </c>
      <c r="C2">
        <v>26.527777777777779</v>
      </c>
      <c r="D2">
        <f>TableBOU[[#This Row],[ARIMAPP]]*$I$2+TableBOU[[#This Row],[LSTMPP]]*$I$3</f>
        <v>27.134158683022488</v>
      </c>
      <c r="E2">
        <v>29</v>
      </c>
      <c r="F2">
        <f>ABS(TableBOU[[#This Row],[PP]]-TableBOU[[#This Row],[AP]])</f>
        <v>1.8658413169775123</v>
      </c>
      <c r="H2" t="s">
        <v>0</v>
      </c>
      <c r="I2">
        <v>1.1627172041</v>
      </c>
    </row>
    <row r="3" spans="1:9" x14ac:dyDescent="0.2">
      <c r="A3" t="s">
        <v>32</v>
      </c>
      <c r="B3">
        <v>44.965305783039469</v>
      </c>
      <c r="C3">
        <v>28.42857142857142</v>
      </c>
      <c r="D3">
        <f>TableBOU[[#This Row],[ARIMAPP]]*$I$2+TableBOU[[#This Row],[LSTMPP]]*$I$3</f>
        <v>53.670795341445498</v>
      </c>
      <c r="E3">
        <v>62</v>
      </c>
      <c r="F3">
        <f>ABS(TableBOU[[#This Row],[PP]]-TableBOU[[#This Row],[AP]])</f>
        <v>8.3292046585545023</v>
      </c>
      <c r="H3" t="s">
        <v>1</v>
      </c>
      <c r="I3">
        <v>4.8854397181999999E-2</v>
      </c>
    </row>
    <row r="4" spans="1:9" x14ac:dyDescent="0.2">
      <c r="A4" t="s">
        <v>33</v>
      </c>
      <c r="B4">
        <v>38.181818181818159</v>
      </c>
      <c r="C4">
        <v>33.076923076923073</v>
      </c>
      <c r="D4">
        <f>TableBOU[[#This Row],[ARIMAPP]]*$I$2+TableBOU[[#This Row],[LSTMPP]]*$I$3</f>
        <v>46.010610021376621</v>
      </c>
      <c r="E4">
        <v>30</v>
      </c>
      <c r="F4">
        <f>ABS(TableBOU[[#This Row],[PP]]-TableBOU[[#This Row],[AP]])</f>
        <v>16.010610021376621</v>
      </c>
    </row>
    <row r="5" spans="1:9" x14ac:dyDescent="0.2">
      <c r="A5" t="s">
        <v>34</v>
      </c>
      <c r="B5">
        <v>19.591161325274051</v>
      </c>
      <c r="C5">
        <v>25.9375</v>
      </c>
      <c r="D5">
        <f>TableBOU[[#This Row],[ARIMAPP]]*$I$2+TableBOU[[#This Row],[LSTMPP]]*$I$3</f>
        <v>24.04614124810282</v>
      </c>
      <c r="E5">
        <v>51</v>
      </c>
      <c r="F5">
        <f>ABS(TableBOU[[#This Row],[PP]]-TableBOU[[#This Row],[AP]])</f>
        <v>26.95385875189718</v>
      </c>
      <c r="H5" t="s">
        <v>2</v>
      </c>
      <c r="I5">
        <f>SUM(ABS(TableBOU[[#This Row],[PP]]-TableBOU[[#This Row],[AP]]))</f>
        <v>26.95385875189718</v>
      </c>
    </row>
    <row r="6" spans="1:9" x14ac:dyDescent="0.2">
      <c r="A6" t="s">
        <v>35</v>
      </c>
      <c r="B6">
        <v>35.985660903262399</v>
      </c>
      <c r="C6">
        <v>52.430230032809312</v>
      </c>
      <c r="D6">
        <f>TableBOU[[#This Row],[ARIMAPP]]*$I$2+TableBOU[[#This Row],[LSTMPP]]*$I$3</f>
        <v>44.402594315498433</v>
      </c>
      <c r="E6">
        <v>37</v>
      </c>
      <c r="F6">
        <f>ABS(TableBOU[[#This Row],[PP]]-TableBOU[[#This Row],[AP]])</f>
        <v>7.4025943154984333</v>
      </c>
    </row>
    <row r="7" spans="1:9" x14ac:dyDescent="0.2">
      <c r="A7" t="s">
        <v>36</v>
      </c>
      <c r="B7">
        <v>24.5</v>
      </c>
      <c r="C7">
        <v>25</v>
      </c>
      <c r="D7">
        <f>TableBOU[[#This Row],[ARIMAPP]]*$I$2+TableBOU[[#This Row],[LSTMPP]]*$I$3</f>
        <v>29.707931430000002</v>
      </c>
      <c r="E7">
        <v>27</v>
      </c>
      <c r="F7">
        <f>ABS(TableBOU[[#This Row],[PP]]-TableBOU[[#This Row],[AP]])</f>
        <v>2.7079314300000021</v>
      </c>
      <c r="H7" t="s">
        <v>3</v>
      </c>
      <c r="I7">
        <f>AVERAGE(TableBOU[DIFF])/10</f>
        <v>1.0545006749050709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37</v>
      </c>
      <c r="B2">
        <v>22.272984020269359</v>
      </c>
      <c r="C2">
        <v>31.214576513262351</v>
      </c>
      <c r="D2">
        <f>TableBRE[[#This Row],[ARIMAPP]]*$I$2+TableBRE[[#This Row],[LSTMPP]]*$I$3</f>
        <v>32.244791321895029</v>
      </c>
      <c r="E2">
        <v>31</v>
      </c>
      <c r="F2">
        <f>ABS(TableBRE[[#This Row],[PP]]-TableBRE[[#This Row],[AP]])</f>
        <v>1.2447913218950291</v>
      </c>
      <c r="H2" t="s">
        <v>0</v>
      </c>
      <c r="I2">
        <v>6.8360871463999995E-2</v>
      </c>
    </row>
    <row r="3" spans="1:9" x14ac:dyDescent="0.2">
      <c r="A3" t="s">
        <v>38</v>
      </c>
      <c r="B3">
        <v>30.461538461538481</v>
      </c>
      <c r="C3">
        <v>29.51923076923077</v>
      </c>
      <c r="D3">
        <f>TableBRE[[#This Row],[ARIMAPP]]*$I$2+TableBRE[[#This Row],[LSTMPP]]*$I$3</f>
        <v>31.135965062667808</v>
      </c>
      <c r="E3">
        <v>23</v>
      </c>
      <c r="F3">
        <f>ABS(TableBRE[[#This Row],[PP]]-TableBRE[[#This Row],[AP]])</f>
        <v>8.1359650626678075</v>
      </c>
      <c r="H3" t="s">
        <v>1</v>
      </c>
      <c r="I3">
        <v>0.98422577384999999</v>
      </c>
    </row>
    <row r="4" spans="1:9" x14ac:dyDescent="0.2">
      <c r="A4" t="s">
        <v>39</v>
      </c>
      <c r="B4">
        <v>26.233766233766222</v>
      </c>
      <c r="C4">
        <v>27.04918032786885</v>
      </c>
      <c r="D4">
        <f>TableBRE[[#This Row],[ARIMAPP]]*$I$2+TableBRE[[#This Row],[LSTMPP]]*$I$3</f>
        <v>28.415863561728031</v>
      </c>
      <c r="E4">
        <v>26</v>
      </c>
      <c r="F4">
        <f>ABS(TableBRE[[#This Row],[PP]]-TableBRE[[#This Row],[AP]])</f>
        <v>2.4158635617280311</v>
      </c>
    </row>
    <row r="5" spans="1:9" x14ac:dyDescent="0.2">
      <c r="A5" t="s">
        <v>40</v>
      </c>
      <c r="B5">
        <v>38.799999999999983</v>
      </c>
      <c r="C5">
        <v>30.75</v>
      </c>
      <c r="D5">
        <f>TableBRE[[#This Row],[ARIMAPP]]*$I$2+TableBRE[[#This Row],[LSTMPP]]*$I$3</f>
        <v>32.917344358690698</v>
      </c>
      <c r="E5">
        <v>52</v>
      </c>
      <c r="F5">
        <f>ABS(TableBRE[[#This Row],[PP]]-TableBRE[[#This Row],[AP]])</f>
        <v>19.082655641309302</v>
      </c>
      <c r="H5" t="s">
        <v>2</v>
      </c>
      <c r="I5">
        <f>SUM(ABS(TableBRE[[#This Row],[PP]]-TableBRE[[#This Row],[AP]]))</f>
        <v>19.082655641309302</v>
      </c>
    </row>
    <row r="6" spans="1:9" x14ac:dyDescent="0.2">
      <c r="A6" t="s">
        <v>41</v>
      </c>
      <c r="B6">
        <v>31.124661564644459</v>
      </c>
      <c r="C6">
        <v>28.13559322033899</v>
      </c>
      <c r="D6">
        <f>TableBRE[[#This Row],[ARIMAPP]]*$I$2+TableBRE[[#This Row],[LSTMPP]]*$I$3</f>
        <v>29.819484998598117</v>
      </c>
      <c r="E6">
        <v>22</v>
      </c>
      <c r="F6">
        <f>ABS(TableBRE[[#This Row],[PP]]-TableBRE[[#This Row],[AP]])</f>
        <v>7.8194849985981172</v>
      </c>
    </row>
    <row r="7" spans="1:9" x14ac:dyDescent="0.2">
      <c r="A7" t="s">
        <v>42</v>
      </c>
      <c r="B7">
        <v>46.275124932642768</v>
      </c>
      <c r="C7">
        <v>27.58620689655173</v>
      </c>
      <c r="D7">
        <f>TableBRE[[#This Row],[ARIMAPP]]*$I$2+TableBRE[[#This Row],[LSTMPP]]*$I$3</f>
        <v>30.314463697845767</v>
      </c>
      <c r="E7">
        <v>24</v>
      </c>
      <c r="F7">
        <f>ABS(TableBRE[[#This Row],[PP]]-TableBRE[[#This Row],[AP]])</f>
        <v>6.3144636978457669</v>
      </c>
      <c r="H7" t="s">
        <v>3</v>
      </c>
      <c r="I7">
        <f>AVERAGE(TableBRE[DIFF])/10</f>
        <v>0.67962734557952031</v>
      </c>
    </row>
    <row r="8" spans="1:9" x14ac:dyDescent="0.2">
      <c r="A8" t="s">
        <v>43</v>
      </c>
      <c r="B8">
        <v>24.339622641509429</v>
      </c>
      <c r="C8">
        <v>25.595238095238098</v>
      </c>
      <c r="D8">
        <f>TableBRE[[#This Row],[ARIMAPP]]*$I$2+TableBRE[[#This Row],[LSTMPP]]*$I$3</f>
        <v>26.855370836039206</v>
      </c>
      <c r="E8">
        <v>23</v>
      </c>
      <c r="F8">
        <f>ABS(TableBRE[[#This Row],[PP]]-TableBRE[[#This Row],[AP]])</f>
        <v>3.8553708360392065</v>
      </c>
    </row>
    <row r="9" spans="1:9" x14ac:dyDescent="0.2">
      <c r="A9" t="s">
        <v>44</v>
      </c>
      <c r="B9">
        <v>15</v>
      </c>
      <c r="C9">
        <v>17.857142857142861</v>
      </c>
      <c r="D9">
        <f>TableBRE[[#This Row],[ARIMAPP]]*$I$2+TableBRE[[#This Row],[LSTMPP]]*$I$3</f>
        <v>18.60087331928143</v>
      </c>
      <c r="E9">
        <v>28</v>
      </c>
      <c r="F9">
        <f>ABS(TableBRE[[#This Row],[PP]]-TableBRE[[#This Row],[AP]])</f>
        <v>9.3991266807185703</v>
      </c>
    </row>
    <row r="10" spans="1:9" x14ac:dyDescent="0.2">
      <c r="A10" t="s">
        <v>45</v>
      </c>
      <c r="B10">
        <v>30.000000000000011</v>
      </c>
      <c r="C10">
        <v>28.500000000000011</v>
      </c>
      <c r="D10">
        <f>TableBRE[[#This Row],[ARIMAPP]]*$I$2+TableBRE[[#This Row],[LSTMPP]]*$I$3</f>
        <v>30.101260698645014</v>
      </c>
      <c r="E10">
        <v>33</v>
      </c>
      <c r="F10">
        <f>ABS(TableBRE[[#This Row],[PP]]-TableBRE[[#This Row],[AP]])</f>
        <v>2.8987393013549863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46</v>
      </c>
      <c r="B2">
        <v>31.57894736842103</v>
      </c>
      <c r="C2">
        <v>31.139705882352938</v>
      </c>
      <c r="D2">
        <f>TableBHA[[#This Row],[ARIMAPP]]*$I$2+TableBHA[[#This Row],[LSTMPP]]*$I$3</f>
        <v>39.978218853431635</v>
      </c>
      <c r="E2">
        <v>30</v>
      </c>
      <c r="F2">
        <f>ABS(TableBHA[[#This Row],[PP]]-TableBHA[[#This Row],[AP]])</f>
        <v>9.9782188534316347</v>
      </c>
      <c r="H2" t="s">
        <v>0</v>
      </c>
      <c r="I2">
        <v>0.88714692192</v>
      </c>
    </row>
    <row r="3" spans="1:9" x14ac:dyDescent="0.2">
      <c r="A3" t="s">
        <v>47</v>
      </c>
      <c r="B3">
        <v>35.063291139240533</v>
      </c>
      <c r="C3">
        <v>33.297459103037859</v>
      </c>
      <c r="D3">
        <f>TableBHA[[#This Row],[ARIMAPP]]*$I$2+TableBHA[[#This Row],[LSTMPP]]*$I$3</f>
        <v>43.898295526377993</v>
      </c>
      <c r="E3">
        <v>54</v>
      </c>
      <c r="F3">
        <f>ABS(TableBHA[[#This Row],[PP]]-TableBHA[[#This Row],[AP]])</f>
        <v>10.101704473622007</v>
      </c>
      <c r="H3" t="s">
        <v>1</v>
      </c>
      <c r="I3">
        <v>0.38417359956000002</v>
      </c>
    </row>
    <row r="4" spans="1:9" x14ac:dyDescent="0.2">
      <c r="A4" t="s">
        <v>48</v>
      </c>
      <c r="B4">
        <v>30</v>
      </c>
      <c r="C4">
        <v>30.542168674698789</v>
      </c>
      <c r="D4">
        <f>TableBHA[[#This Row],[ARIMAPP]]*$I$2+TableBHA[[#This Row],[LSTMPP]]*$I$3</f>
        <v>38.347902535727712</v>
      </c>
      <c r="E4">
        <v>35</v>
      </c>
      <c r="F4">
        <f>ABS(TableBHA[[#This Row],[PP]]-TableBHA[[#This Row],[AP]])</f>
        <v>3.3479025357277123</v>
      </c>
    </row>
    <row r="5" spans="1:9" x14ac:dyDescent="0.2">
      <c r="A5" t="s">
        <v>49</v>
      </c>
      <c r="B5">
        <v>19.197758164539131</v>
      </c>
      <c r="C5">
        <v>23.58695652173914</v>
      </c>
      <c r="D5">
        <f>TableBHA[[#This Row],[ARIMAPP]]*$I$2+TableBHA[[#This Row],[LSTMPP]]*$I$3</f>
        <v>26.092718053057183</v>
      </c>
      <c r="E5">
        <v>20</v>
      </c>
      <c r="F5">
        <f>ABS(TableBHA[[#This Row],[PP]]-TableBHA[[#This Row],[AP]])</f>
        <v>6.0927180530571832</v>
      </c>
      <c r="H5" t="s">
        <v>2</v>
      </c>
      <c r="I5">
        <f>SUM(ABS(TableBHA[[#This Row],[PP]]-TableBHA[[#This Row],[AP]]))</f>
        <v>6.0927180530571832</v>
      </c>
    </row>
    <row r="6" spans="1:9" x14ac:dyDescent="0.2">
      <c r="A6" t="s">
        <v>50</v>
      </c>
      <c r="B6">
        <v>19.920099083028251</v>
      </c>
      <c r="C6">
        <v>25</v>
      </c>
      <c r="D6">
        <f>TableBHA[[#This Row],[ARIMAPP]]*$I$2+TableBHA[[#This Row],[LSTMPP]]*$I$3</f>
        <v>27.276394574849931</v>
      </c>
      <c r="E6">
        <v>41</v>
      </c>
      <c r="F6">
        <f>ABS(TableBHA[[#This Row],[PP]]-TableBHA[[#This Row],[AP]])</f>
        <v>13.723605425150069</v>
      </c>
    </row>
    <row r="7" spans="1:9" x14ac:dyDescent="0.2">
      <c r="A7" t="s">
        <v>51</v>
      </c>
      <c r="B7">
        <v>15.086647067872811</v>
      </c>
      <c r="C7">
        <v>45.400092278611709</v>
      </c>
      <c r="D7">
        <f>TableBHA[[#This Row],[ARIMAPP]]*$I$2+TableBHA[[#This Row],[LSTMPP]]*$I$3</f>
        <v>30.825589379387182</v>
      </c>
      <c r="E7">
        <v>30</v>
      </c>
      <c r="F7">
        <f>ABS(TableBHA[[#This Row],[PP]]-TableBHA[[#This Row],[AP]])</f>
        <v>0.82558937938718202</v>
      </c>
      <c r="H7" t="s">
        <v>3</v>
      </c>
      <c r="I7">
        <f>AVERAGE(TableBHA[DIFF])/10</f>
        <v>0.68236608980244651</v>
      </c>
    </row>
    <row r="8" spans="1:9" x14ac:dyDescent="0.2">
      <c r="A8" t="s">
        <v>52</v>
      </c>
      <c r="B8">
        <v>22.35294117647058</v>
      </c>
      <c r="C8">
        <v>23.07692307692307</v>
      </c>
      <c r="D8">
        <f>TableBHA[[#This Row],[ARIMAPP]]*$I$2+TableBHA[[#This Row],[LSTMPP]]*$I$3</f>
        <v>28.695887565795466</v>
      </c>
      <c r="E8">
        <v>25</v>
      </c>
      <c r="F8">
        <f>ABS(TableBHA[[#This Row],[PP]]-TableBHA[[#This Row],[AP]])</f>
        <v>3.6958875657954664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53</v>
      </c>
      <c r="B2">
        <v>22.926829268292689</v>
      </c>
      <c r="C2">
        <v>26.40625</v>
      </c>
      <c r="D2">
        <f>TableBUR[[#This Row],[ARIMAPP]]*$I$2+TableBUR[[#This Row],[LSTMPP]]*$I$3</f>
        <v>23.771953419853663</v>
      </c>
      <c r="E2">
        <v>20</v>
      </c>
      <c r="F2">
        <f>ABS(TableBUR[[#This Row],[PP]]-TableBUR[[#This Row],[AP]])</f>
        <v>3.7719534198536628</v>
      </c>
      <c r="H2" t="s">
        <v>0</v>
      </c>
      <c r="I2">
        <v>1.0368617980999999</v>
      </c>
    </row>
    <row r="3" spans="1:9" x14ac:dyDescent="0.2">
      <c r="A3" t="s">
        <v>54</v>
      </c>
      <c r="B3">
        <v>25.10089138338742</v>
      </c>
      <c r="C3">
        <v>25.82089552238806</v>
      </c>
      <c r="D3">
        <f>TableBUR[[#This Row],[ARIMAPP]]*$I$2+TableBUR[[#This Row],[LSTMPP]]*$I$3</f>
        <v>26.026155373691875</v>
      </c>
      <c r="E3">
        <v>23</v>
      </c>
      <c r="F3">
        <f>ABS(TableBUR[[#This Row],[PP]]-TableBUR[[#This Row],[AP]])</f>
        <v>3.0261553736918749</v>
      </c>
      <c r="H3" t="s">
        <v>1</v>
      </c>
      <c r="I3">
        <v>0</v>
      </c>
    </row>
    <row r="4" spans="1:9" x14ac:dyDescent="0.2">
      <c r="A4" t="s">
        <v>55</v>
      </c>
      <c r="B4">
        <v>22.464093544370229</v>
      </c>
      <c r="C4">
        <v>22.27272727272727</v>
      </c>
      <c r="D4">
        <f>TableBUR[[#This Row],[ARIMAPP]]*$I$2+TableBUR[[#This Row],[LSTMPP]]*$I$3</f>
        <v>23.292160425102317</v>
      </c>
      <c r="E4">
        <v>32</v>
      </c>
      <c r="F4">
        <f>ABS(TableBUR[[#This Row],[PP]]-TableBUR[[#This Row],[AP]])</f>
        <v>8.7078395748976831</v>
      </c>
    </row>
    <row r="5" spans="1:9" x14ac:dyDescent="0.2">
      <c r="A5" t="s">
        <v>56</v>
      </c>
      <c r="B5">
        <v>30.000000000000011</v>
      </c>
      <c r="C5">
        <v>25</v>
      </c>
      <c r="D5">
        <f>TableBUR[[#This Row],[ARIMAPP]]*$I$2+TableBUR[[#This Row],[LSTMPP]]*$I$3</f>
        <v>31.105853943000007</v>
      </c>
      <c r="E5">
        <v>30</v>
      </c>
      <c r="F5">
        <f>ABS(TableBUR[[#This Row],[PP]]-TableBUR[[#This Row],[AP]])</f>
        <v>1.1058539430000067</v>
      </c>
      <c r="H5" t="s">
        <v>2</v>
      </c>
      <c r="I5">
        <f>SUM(ABS(TableBUR[[#This Row],[PP]]-TableBUR[[#This Row],[AP]]))</f>
        <v>1.1058539430000067</v>
      </c>
    </row>
    <row r="7" spans="1:9" x14ac:dyDescent="0.2">
      <c r="H7" t="s">
        <v>3</v>
      </c>
      <c r="I7">
        <f>AVERAGE(TableBUR[DIFF])/10</f>
        <v>0.41529505778608067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57</v>
      </c>
      <c r="B2">
        <v>46.00004742563997</v>
      </c>
      <c r="C2">
        <v>56.516334301640619</v>
      </c>
      <c r="D2">
        <f>TableCHE[[#This Row],[ARIMAPP]]*$I$2+TableCHE[[#This Row],[LSTMPP]]*$I$3</f>
        <v>51.062438108911415</v>
      </c>
      <c r="E2">
        <v>34</v>
      </c>
      <c r="F2">
        <f>ABS(TableCHE[[#This Row],[PP]]-TableCHE[[#This Row],[AP]])</f>
        <v>17.062438108911415</v>
      </c>
      <c r="H2" t="s">
        <v>0</v>
      </c>
      <c r="I2">
        <v>0.63144189110000004</v>
      </c>
    </row>
    <row r="3" spans="1:9" x14ac:dyDescent="0.2">
      <c r="A3" t="s">
        <v>58</v>
      </c>
      <c r="B3">
        <v>28.249931790573509</v>
      </c>
      <c r="C3">
        <v>27.965116279069768</v>
      </c>
      <c r="D3">
        <f>TableCHE[[#This Row],[ARIMAPP]]*$I$2+TableCHE[[#This Row],[LSTMPP]]*$I$3</f>
        <v>28.732072229843887</v>
      </c>
      <c r="E3">
        <v>31</v>
      </c>
      <c r="F3">
        <f>ABS(TableCHE[[#This Row],[PP]]-TableCHE[[#This Row],[AP]])</f>
        <v>2.2679277701561134</v>
      </c>
      <c r="H3" t="s">
        <v>1</v>
      </c>
      <c r="I3">
        <v>0.38955253280000002</v>
      </c>
    </row>
    <row r="4" spans="1:9" x14ac:dyDescent="0.2">
      <c r="A4" t="s">
        <v>59</v>
      </c>
      <c r="B4">
        <v>23.737053843767601</v>
      </c>
      <c r="C4">
        <v>21.95652173913043</v>
      </c>
      <c r="D4">
        <f>TableCHE[[#This Row],[ARIMAPP]]*$I$2+TableCHE[[#This Row],[LSTMPP]]*$I$3</f>
        <v>23.541788823207661</v>
      </c>
      <c r="E4">
        <v>74</v>
      </c>
      <c r="F4">
        <f>ABS(TableCHE[[#This Row],[PP]]-TableCHE[[#This Row],[AP]])</f>
        <v>50.458211176792339</v>
      </c>
    </row>
    <row r="5" spans="1:9" x14ac:dyDescent="0.2">
      <c r="A5" t="s">
        <v>60</v>
      </c>
      <c r="B5">
        <v>27.998750921758528</v>
      </c>
      <c r="C5">
        <v>33.12987657669143</v>
      </c>
      <c r="D5">
        <f>TableCHE[[#This Row],[ARIMAPP]]*$I$2+TableCHE[[#This Row],[LSTMPP]]*$I$3</f>
        <v>30.585411562274615</v>
      </c>
      <c r="E5">
        <v>29</v>
      </c>
      <c r="F5">
        <f>ABS(TableCHE[[#This Row],[PP]]-TableCHE[[#This Row],[AP]])</f>
        <v>1.585411562274615</v>
      </c>
      <c r="H5" t="s">
        <v>2</v>
      </c>
      <c r="I5">
        <f>SUM(ABS(TableCHE[[#This Row],[PP]]-TableCHE[[#This Row],[AP]]))</f>
        <v>1.585411562274615</v>
      </c>
    </row>
    <row r="6" spans="1:9" x14ac:dyDescent="0.2">
      <c r="A6" t="s">
        <v>61</v>
      </c>
      <c r="B6">
        <v>26.785714285714288</v>
      </c>
      <c r="C6">
        <v>27.856146505830491</v>
      </c>
      <c r="D6">
        <f>TableCHE[[#This Row],[ARIMAPP]]*$I$2+TableCHE[[#This Row],[LSTMPP]]*$I$3</f>
        <v>27.765054508429856</v>
      </c>
      <c r="E6">
        <v>29</v>
      </c>
      <c r="F6">
        <f>ABS(TableCHE[[#This Row],[PP]]-TableCHE[[#This Row],[AP]])</f>
        <v>1.2349454915701443</v>
      </c>
    </row>
    <row r="7" spans="1:9" x14ac:dyDescent="0.2">
      <c r="A7" t="s">
        <v>62</v>
      </c>
      <c r="B7">
        <v>47.970224132660611</v>
      </c>
      <c r="C7">
        <v>22.941176470588228</v>
      </c>
      <c r="D7">
        <f>TableCHE[[#This Row],[ARIMAPP]]*$I$2+TableCHE[[#This Row],[LSTMPP]]*$I$3</f>
        <v>39.22720244234749</v>
      </c>
      <c r="E7">
        <v>30</v>
      </c>
      <c r="F7">
        <f>ABS(TableCHE[[#This Row],[PP]]-TableCHE[[#This Row],[AP]])</f>
        <v>9.2272024423474903</v>
      </c>
      <c r="H7" t="s">
        <v>3</v>
      </c>
      <c r="I7">
        <f>AVERAGE(TableCHE[DIFF])/10</f>
        <v>1.2436157001160952</v>
      </c>
    </row>
    <row r="8" spans="1:9" x14ac:dyDescent="0.2">
      <c r="A8" t="s">
        <v>63</v>
      </c>
      <c r="B8">
        <v>23.214285714285712</v>
      </c>
      <c r="C8">
        <v>25.45454545454546</v>
      </c>
      <c r="D8">
        <f>TableCHE[[#This Row],[ARIMAPP]]*$I$2+TableCHE[[#This Row],[LSTMPP]]*$I$3</f>
        <v>24.574355125055195</v>
      </c>
      <c r="E8">
        <v>35</v>
      </c>
      <c r="F8">
        <f>ABS(TableCHE[[#This Row],[PP]]-TableCHE[[#This Row],[AP]])</f>
        <v>10.425644874944805</v>
      </c>
    </row>
    <row r="9" spans="1:9" x14ac:dyDescent="0.2">
      <c r="A9" t="s">
        <v>64</v>
      </c>
      <c r="B9">
        <v>36.666666666666693</v>
      </c>
      <c r="C9">
        <v>33.563137551643052</v>
      </c>
      <c r="D9">
        <f>TableCHE[[#This Row],[ARIMAPP]]*$I$2+TableCHE[[#This Row],[LSTMPP]]*$I$3</f>
        <v>36.227474582290697</v>
      </c>
      <c r="E9">
        <v>29</v>
      </c>
      <c r="F9">
        <f>ABS(TableCHE[[#This Row],[PP]]-TableCHE[[#This Row],[AP]])</f>
        <v>7.2274745822906965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65</v>
      </c>
      <c r="B2">
        <v>27.48502994011977</v>
      </c>
      <c r="C2">
        <v>28.233082706766911</v>
      </c>
      <c r="D2">
        <f>TableCRY[[#This Row],[ARIMAPP]]*$I$2+TableCRY[[#This Row],[LSTMPP]]*$I$3</f>
        <v>31.363781855751874</v>
      </c>
      <c r="E2">
        <v>33</v>
      </c>
      <c r="F2">
        <f>ABS(TableCRY[[#This Row],[PP]]-TableCRY[[#This Row],[AP]])</f>
        <v>1.6362181442481258</v>
      </c>
      <c r="H2" t="s">
        <v>0</v>
      </c>
      <c r="I2">
        <v>0</v>
      </c>
    </row>
    <row r="3" spans="1:9" x14ac:dyDescent="0.2">
      <c r="A3" t="s">
        <v>66</v>
      </c>
      <c r="B3">
        <v>36.395348837209333</v>
      </c>
      <c r="C3">
        <v>33.669090390950018</v>
      </c>
      <c r="D3">
        <f>TableCRY[[#This Row],[ARIMAPP]]*$I$2+TableCRY[[#This Row],[LSTMPP]]*$I$3</f>
        <v>37.402575456283707</v>
      </c>
      <c r="E3">
        <v>46</v>
      </c>
      <c r="F3">
        <f>ABS(TableCRY[[#This Row],[PP]]-TableCRY[[#This Row],[AP]])</f>
        <v>8.5974245437162935</v>
      </c>
      <c r="H3" t="s">
        <v>1</v>
      </c>
      <c r="I3">
        <v>1.1108876130000001</v>
      </c>
    </row>
    <row r="4" spans="1:9" x14ac:dyDescent="0.2">
      <c r="A4" t="s">
        <v>67</v>
      </c>
      <c r="B4">
        <v>37.5</v>
      </c>
      <c r="C4">
        <v>33.414634146341463</v>
      </c>
      <c r="D4">
        <f>TableCRY[[#This Row],[ARIMAPP]]*$I$2+TableCRY[[#This Row],[LSTMPP]]*$I$3</f>
        <v>37.119903166097565</v>
      </c>
      <c r="E4">
        <v>30</v>
      </c>
      <c r="F4">
        <f>ABS(TableCRY[[#This Row],[PP]]-TableCRY[[#This Row],[AP]])</f>
        <v>7.1199031660975649</v>
      </c>
    </row>
    <row r="5" spans="1:9" x14ac:dyDescent="0.2">
      <c r="A5" t="s">
        <v>68</v>
      </c>
      <c r="B5">
        <v>20.447761194029859</v>
      </c>
      <c r="C5">
        <v>24.528301886792448</v>
      </c>
      <c r="D5">
        <f>TableCRY[[#This Row],[ARIMAPP]]*$I$2+TableCRY[[#This Row],[LSTMPP]]*$I$3</f>
        <v>27.24818673396226</v>
      </c>
      <c r="E5">
        <v>41</v>
      </c>
      <c r="F5">
        <f>ABS(TableCRY[[#This Row],[PP]]-TableCRY[[#This Row],[AP]])</f>
        <v>13.75181326603774</v>
      </c>
      <c r="H5" t="s">
        <v>2</v>
      </c>
      <c r="I5">
        <f>SUM(ABS(TableCRY[[#This Row],[PP]]-TableCRY[[#This Row],[AP]]))</f>
        <v>13.75181326603774</v>
      </c>
    </row>
    <row r="6" spans="1:9" x14ac:dyDescent="0.2">
      <c r="A6" t="s">
        <v>69</v>
      </c>
      <c r="B6">
        <v>29.42857142857142</v>
      </c>
      <c r="C6">
        <v>28.035714285714281</v>
      </c>
      <c r="D6">
        <f>TableCRY[[#This Row],[ARIMAPP]]*$I$2+TableCRY[[#This Row],[LSTMPP]]*$I$3</f>
        <v>31.14452772160714</v>
      </c>
      <c r="E6">
        <v>25</v>
      </c>
      <c r="F6">
        <f>ABS(TableCRY[[#This Row],[PP]]-TableCRY[[#This Row],[AP]])</f>
        <v>6.1445277216071403</v>
      </c>
    </row>
    <row r="7" spans="1:9" x14ac:dyDescent="0.2">
      <c r="A7" t="s">
        <v>70</v>
      </c>
      <c r="B7">
        <v>27.39130434782609</v>
      </c>
      <c r="C7">
        <v>28.194444444444439</v>
      </c>
      <c r="D7">
        <f>TableCRY[[#This Row],[ARIMAPP]]*$I$2+TableCRY[[#This Row],[LSTMPP]]*$I$3</f>
        <v>31.320859088749994</v>
      </c>
      <c r="E7">
        <v>22</v>
      </c>
      <c r="F7">
        <f>ABS(TableCRY[[#This Row],[PP]]-TableCRY[[#This Row],[AP]])</f>
        <v>9.3208590887499945</v>
      </c>
      <c r="H7" t="s">
        <v>3</v>
      </c>
      <c r="I7">
        <f>AVERAGE(TableCRY[DIFF])/10</f>
        <v>0.77617909884094771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71</v>
      </c>
      <c r="B2">
        <v>31.47435897435895</v>
      </c>
      <c r="C2">
        <v>30.12096774193548</v>
      </c>
      <c r="D2">
        <f>TableEVE[[#This Row],[ARIMAPP]]*$I$2+TableEVE[[#This Row],[LSTMPP]]*$I$3</f>
        <v>33.268147947870965</v>
      </c>
      <c r="E2">
        <v>44</v>
      </c>
      <c r="F2">
        <f>ABS(TableEVE[[#This Row],[PP]]-TableEVE[[#This Row],[AP]])</f>
        <v>10.731852052129035</v>
      </c>
      <c r="H2" t="s">
        <v>0</v>
      </c>
      <c r="I2">
        <v>0</v>
      </c>
    </row>
    <row r="3" spans="1:9" x14ac:dyDescent="0.2">
      <c r="A3" t="s">
        <v>72</v>
      </c>
      <c r="B3">
        <v>28.355052734744071</v>
      </c>
      <c r="C3">
        <v>29.536423841059609</v>
      </c>
      <c r="D3">
        <f>TableEVE[[#This Row],[ARIMAPP]]*$I$2+TableEVE[[#This Row],[LSTMPP]]*$I$3</f>
        <v>32.62252815427815</v>
      </c>
      <c r="E3">
        <v>29</v>
      </c>
      <c r="F3">
        <f>ABS(TableEVE[[#This Row],[PP]]-TableEVE[[#This Row],[AP]])</f>
        <v>3.6225281542781502</v>
      </c>
      <c r="H3" t="s">
        <v>1</v>
      </c>
      <c r="I3">
        <v>1.1044846976</v>
      </c>
    </row>
    <row r="4" spans="1:9" x14ac:dyDescent="0.2">
      <c r="A4" t="s">
        <v>73</v>
      </c>
      <c r="B4">
        <v>34.919786096256708</v>
      </c>
      <c r="C4">
        <v>36.54350830536815</v>
      </c>
      <c r="D4">
        <f>TableEVE[[#This Row],[ARIMAPP]]*$I$2+TableEVE[[#This Row],[LSTMPP]]*$I$3</f>
        <v>40.361745719897627</v>
      </c>
      <c r="E4">
        <v>47</v>
      </c>
      <c r="F4">
        <f>ABS(TableEVE[[#This Row],[PP]]-TableEVE[[#This Row],[AP]])</f>
        <v>6.6382542801023732</v>
      </c>
    </row>
    <row r="5" spans="1:9" x14ac:dyDescent="0.2">
      <c r="A5" t="s">
        <v>74</v>
      </c>
      <c r="B5">
        <v>23.000000000000011</v>
      </c>
      <c r="C5">
        <v>26.0625</v>
      </c>
      <c r="D5">
        <f>TableEVE[[#This Row],[ARIMAPP]]*$I$2+TableEVE[[#This Row],[LSTMPP]]*$I$3</f>
        <v>28.7856324312</v>
      </c>
      <c r="E5">
        <v>31</v>
      </c>
      <c r="F5">
        <f>ABS(TableEVE[[#This Row],[PP]]-TableEVE[[#This Row],[AP]])</f>
        <v>2.2143675688000002</v>
      </c>
      <c r="H5" t="s">
        <v>2</v>
      </c>
      <c r="I5">
        <f>SUM(ABS(TableEVE[[#This Row],[PP]]-TableEVE[[#This Row],[AP]]))</f>
        <v>2.2143675688000002</v>
      </c>
    </row>
    <row r="6" spans="1:9" x14ac:dyDescent="0.2">
      <c r="A6" t="s">
        <v>75</v>
      </c>
      <c r="B6">
        <v>34.175058512151608</v>
      </c>
      <c r="C6">
        <v>35.327361302696993</v>
      </c>
      <c r="D6">
        <f>TableEVE[[#This Row],[ARIMAPP]]*$I$2+TableEVE[[#This Row],[LSTMPP]]*$I$3</f>
        <v>39.018529965415233</v>
      </c>
      <c r="E6">
        <v>25</v>
      </c>
      <c r="F6">
        <f>ABS(TableEVE[[#This Row],[PP]]-TableEVE[[#This Row],[AP]])</f>
        <v>14.018529965415233</v>
      </c>
    </row>
    <row r="7" spans="1:9" x14ac:dyDescent="0.2">
      <c r="A7" t="s">
        <v>76</v>
      </c>
      <c r="B7">
        <v>31.695906432748512</v>
      </c>
      <c r="C7">
        <v>29.30147058823529</v>
      </c>
      <c r="D7">
        <f>TableEVE[[#This Row],[ARIMAPP]]*$I$2+TableEVE[[#This Row],[LSTMPP]]*$I$3</f>
        <v>32.363025881882351</v>
      </c>
      <c r="E7">
        <v>33</v>
      </c>
      <c r="F7">
        <f>ABS(TableEVE[[#This Row],[PP]]-TableEVE[[#This Row],[AP]])</f>
        <v>0.63697411811764937</v>
      </c>
      <c r="H7" t="s">
        <v>3</v>
      </c>
      <c r="I7">
        <f>AVERAGE(TableEVE[DIFF])/10</f>
        <v>0.5430310720292042</v>
      </c>
    </row>
    <row r="8" spans="1:9" x14ac:dyDescent="0.2">
      <c r="A8" t="s">
        <v>77</v>
      </c>
      <c r="B8">
        <v>20.799443136747598</v>
      </c>
      <c r="C8">
        <v>22.8</v>
      </c>
      <c r="D8">
        <f>TableEVE[[#This Row],[ARIMAPP]]*$I$2+TableEVE[[#This Row],[LSTMPP]]*$I$3</f>
        <v>25.182251105280002</v>
      </c>
      <c r="E8">
        <v>22</v>
      </c>
      <c r="F8">
        <f>ABS(TableEVE[[#This Row],[PP]]-TableEVE[[#This Row],[AP]])</f>
        <v>3.1822511052800024</v>
      </c>
    </row>
    <row r="9" spans="1:9" x14ac:dyDescent="0.2">
      <c r="A9" t="s">
        <v>78</v>
      </c>
      <c r="B9">
        <v>22.72727272727273</v>
      </c>
      <c r="C9">
        <v>25.53875656081804</v>
      </c>
      <c r="D9">
        <f>TableEVE[[#This Row],[ARIMAPP]]*$I$2+TableEVE[[#This Row],[LSTMPP]]*$I$3</f>
        <v>28.207165817155129</v>
      </c>
      <c r="E9">
        <v>35</v>
      </c>
      <c r="F9">
        <f>ABS(TableEVE[[#This Row],[PP]]-TableEVE[[#This Row],[AP]])</f>
        <v>6.7928341828448708</v>
      </c>
    </row>
    <row r="10" spans="1:9" x14ac:dyDescent="0.2">
      <c r="A10" t="s">
        <v>79</v>
      </c>
      <c r="B10">
        <v>39.727272727272698</v>
      </c>
      <c r="C10">
        <v>38.10019772803588</v>
      </c>
      <c r="D10">
        <f>TableEVE[[#This Row],[ARIMAPP]]*$I$2+TableEVE[[#This Row],[LSTMPP]]*$I$3</f>
        <v>42.081085366149914</v>
      </c>
      <c r="E10">
        <v>35</v>
      </c>
      <c r="F10">
        <f>ABS(TableEVE[[#This Row],[PP]]-TableEVE[[#This Row],[AP]])</f>
        <v>7.0810853661499138</v>
      </c>
    </row>
    <row r="11" spans="1:9" x14ac:dyDescent="0.2">
      <c r="A11" t="s">
        <v>80</v>
      </c>
      <c r="B11">
        <v>30.292893031916151</v>
      </c>
      <c r="C11">
        <v>27.023809523809529</v>
      </c>
      <c r="D11">
        <f>TableEVE[[#This Row],[ARIMAPP]]*$I$2+TableEVE[[#This Row],[LSTMPP]]*$I$3</f>
        <v>29.847384089904768</v>
      </c>
      <c r="E11">
        <v>32</v>
      </c>
      <c r="F11">
        <f>ABS(TableEVE[[#This Row],[PP]]-TableEVE[[#This Row],[AP]])</f>
        <v>2.152615910095232</v>
      </c>
    </row>
    <row r="12" spans="1:9" x14ac:dyDescent="0.2">
      <c r="A12" t="s">
        <v>81</v>
      </c>
      <c r="B12">
        <v>23.148760891184558</v>
      </c>
      <c r="C12">
        <v>26.5625</v>
      </c>
      <c r="D12">
        <f>TableEVE[[#This Row],[ARIMAPP]]*$I$2+TableEVE[[#This Row],[LSTMPP]]*$I$3</f>
        <v>29.33787478</v>
      </c>
      <c r="E12">
        <v>32</v>
      </c>
      <c r="F12">
        <f>ABS(TableEVE[[#This Row],[PP]]-TableEVE[[#This Row],[AP]])</f>
        <v>2.6621252200000001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2024-02-23T18:49:10Z</dcterms:created>
  <dcterms:modified xsi:type="dcterms:W3CDTF">2024-02-23T18:53:58Z</dcterms:modified>
</cp:coreProperties>
</file>