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GitHub/FPL-Predictor/Predictions/2023-24/"/>
    </mc:Choice>
  </mc:AlternateContent>
  <xr:revisionPtr revIDLastSave="0" documentId="13_ncr:1_{B145E28D-C0CE-BB4A-AB3A-F8378446CA0F}" xr6:coauthVersionLast="47" xr6:coauthVersionMax="47" xr10:uidLastSave="{00000000-0000-0000-0000-000000000000}"/>
  <bookViews>
    <workbookView xWindow="240" yWindow="760" windowWidth="3306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57" i="1" l="1"/>
  <c r="AH157" i="1"/>
  <c r="AI156" i="1"/>
  <c r="AH156" i="1"/>
  <c r="AI155" i="1"/>
  <c r="AH155" i="1"/>
  <c r="AI154" i="1"/>
  <c r="AH154" i="1"/>
  <c r="AI153" i="1"/>
  <c r="AH153" i="1"/>
  <c r="AI152" i="1"/>
  <c r="AH152" i="1"/>
  <c r="AI151" i="1"/>
  <c r="AH151" i="1"/>
  <c r="AI150" i="1"/>
  <c r="AH150" i="1"/>
  <c r="AI149" i="1"/>
  <c r="AH149" i="1"/>
  <c r="AI148" i="1"/>
  <c r="AH148" i="1"/>
  <c r="AI147" i="1"/>
  <c r="AH147" i="1"/>
  <c r="AI146" i="1"/>
  <c r="AH146" i="1"/>
  <c r="AI145" i="1"/>
  <c r="AH145" i="1"/>
  <c r="AI144" i="1"/>
  <c r="AH144" i="1"/>
  <c r="AI96" i="1"/>
  <c r="AH96" i="1"/>
  <c r="AI142" i="1"/>
  <c r="AH142" i="1"/>
  <c r="AI141" i="1"/>
  <c r="AH141" i="1"/>
  <c r="AI140" i="1"/>
  <c r="AH140" i="1"/>
  <c r="AI139" i="1"/>
  <c r="AH139" i="1"/>
  <c r="AI138" i="1"/>
  <c r="AH138" i="1"/>
  <c r="AI137" i="1"/>
  <c r="AH137" i="1"/>
  <c r="AI136" i="1"/>
  <c r="AH136" i="1"/>
  <c r="AI94" i="1"/>
  <c r="AH94" i="1"/>
  <c r="AI134" i="1"/>
  <c r="AH134" i="1"/>
  <c r="AI133" i="1"/>
  <c r="AH133" i="1"/>
  <c r="AI132" i="1"/>
  <c r="AH132" i="1"/>
  <c r="AI131" i="1"/>
  <c r="AH131" i="1"/>
  <c r="AI130" i="1"/>
  <c r="AH130" i="1"/>
  <c r="AI129" i="1"/>
  <c r="AH129" i="1"/>
  <c r="AI128" i="1"/>
  <c r="AH128" i="1"/>
  <c r="AI127" i="1"/>
  <c r="AH127" i="1"/>
  <c r="AI126" i="1"/>
  <c r="AH126" i="1"/>
  <c r="AI125" i="1"/>
  <c r="AH125" i="1"/>
  <c r="AI124" i="1"/>
  <c r="AH124" i="1"/>
  <c r="AI123" i="1"/>
  <c r="AH123" i="1"/>
  <c r="AI122" i="1"/>
  <c r="AH122" i="1"/>
  <c r="AI121" i="1"/>
  <c r="AH121" i="1"/>
  <c r="AI120" i="1"/>
  <c r="AH120" i="1"/>
  <c r="AI119" i="1"/>
  <c r="AH119" i="1"/>
  <c r="AI118" i="1"/>
  <c r="AH118" i="1"/>
  <c r="AI117" i="1"/>
  <c r="AH117" i="1"/>
  <c r="AI116" i="1"/>
  <c r="AH116" i="1"/>
  <c r="AI115" i="1"/>
  <c r="AH115" i="1"/>
  <c r="AI114" i="1"/>
  <c r="AH114" i="1"/>
  <c r="AI113" i="1"/>
  <c r="AH113" i="1"/>
  <c r="AI112" i="1"/>
  <c r="AH112" i="1"/>
  <c r="AI111" i="1"/>
  <c r="AH111" i="1"/>
  <c r="AI60" i="1"/>
  <c r="AH60" i="1"/>
  <c r="AI109" i="1"/>
  <c r="AH109" i="1"/>
  <c r="AI8" i="1"/>
  <c r="AH8" i="1"/>
  <c r="AI29" i="1"/>
  <c r="AH29" i="1"/>
  <c r="AI106" i="1"/>
  <c r="AH106" i="1"/>
  <c r="AI105" i="1"/>
  <c r="AH105" i="1"/>
  <c r="AI104" i="1"/>
  <c r="AH104" i="1"/>
  <c r="AI103" i="1"/>
  <c r="AH103" i="1"/>
  <c r="AI102" i="1"/>
  <c r="AH102" i="1"/>
  <c r="AI101" i="1"/>
  <c r="AH101" i="1"/>
  <c r="AI100" i="1"/>
  <c r="AH100" i="1"/>
  <c r="AI99" i="1"/>
  <c r="AH99" i="1"/>
  <c r="AI98" i="1"/>
  <c r="AH98" i="1"/>
  <c r="AI46" i="1"/>
  <c r="AH46" i="1"/>
  <c r="AI25" i="1"/>
  <c r="AH25" i="1"/>
  <c r="AI95" i="1"/>
  <c r="AH95" i="1"/>
  <c r="AI58" i="1"/>
  <c r="AH58" i="1"/>
  <c r="AI93" i="1"/>
  <c r="AH93" i="1"/>
  <c r="AI92" i="1"/>
  <c r="AH92" i="1"/>
  <c r="AI91" i="1"/>
  <c r="AH91" i="1"/>
  <c r="AI90" i="1"/>
  <c r="AH90" i="1"/>
  <c r="AI89" i="1"/>
  <c r="AH89" i="1"/>
  <c r="AI88" i="1"/>
  <c r="AH88" i="1"/>
  <c r="AI87" i="1"/>
  <c r="AH87" i="1"/>
  <c r="AI86" i="1"/>
  <c r="AH86" i="1"/>
  <c r="AI85" i="1"/>
  <c r="AH85" i="1"/>
  <c r="AI84" i="1"/>
  <c r="AH84" i="1"/>
  <c r="AI83" i="1"/>
  <c r="AH83" i="1"/>
  <c r="AI82" i="1"/>
  <c r="AH82" i="1"/>
  <c r="AI81" i="1"/>
  <c r="AH81" i="1"/>
  <c r="AI80" i="1"/>
  <c r="AH80" i="1"/>
  <c r="AI79" i="1"/>
  <c r="AH79" i="1"/>
  <c r="AI78" i="1"/>
  <c r="AH78" i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143" i="1"/>
  <c r="AH143" i="1"/>
  <c r="AI68" i="1"/>
  <c r="AH68" i="1"/>
  <c r="AI67" i="1"/>
  <c r="AH67" i="1"/>
  <c r="AI66" i="1"/>
  <c r="AH66" i="1"/>
  <c r="AI65" i="1"/>
  <c r="AH65" i="1"/>
  <c r="AI64" i="1"/>
  <c r="AH64" i="1"/>
  <c r="AI63" i="1"/>
  <c r="AH63" i="1"/>
  <c r="AI62" i="1"/>
  <c r="AH62" i="1"/>
  <c r="AI61" i="1"/>
  <c r="AH61" i="1"/>
  <c r="AI69" i="1"/>
  <c r="AH69" i="1"/>
  <c r="AI59" i="1"/>
  <c r="AH59" i="1"/>
  <c r="AI108" i="1"/>
  <c r="AH108" i="1"/>
  <c r="AI57" i="1"/>
  <c r="AH57" i="1"/>
  <c r="AI56" i="1"/>
  <c r="AH56" i="1"/>
  <c r="AI55" i="1"/>
  <c r="AH55" i="1"/>
  <c r="AI54" i="1"/>
  <c r="AH54" i="1"/>
  <c r="AI53" i="1"/>
  <c r="AH53" i="1"/>
  <c r="AI52" i="1"/>
  <c r="AH52" i="1"/>
  <c r="AI51" i="1"/>
  <c r="AH51" i="1"/>
  <c r="AI50" i="1"/>
  <c r="AH50" i="1"/>
  <c r="AI49" i="1"/>
  <c r="AH49" i="1"/>
  <c r="AI48" i="1"/>
  <c r="AH48" i="1"/>
  <c r="AI47" i="1"/>
  <c r="AH47" i="1"/>
  <c r="AI135" i="1"/>
  <c r="AH135" i="1"/>
  <c r="AI45" i="1"/>
  <c r="AH45" i="1"/>
  <c r="AI44" i="1"/>
  <c r="AH44" i="1"/>
  <c r="AI43" i="1"/>
  <c r="AH43" i="1"/>
  <c r="AI42" i="1"/>
  <c r="AH42" i="1"/>
  <c r="AI41" i="1"/>
  <c r="AH41" i="1"/>
  <c r="AI40" i="1"/>
  <c r="AH40" i="1"/>
  <c r="AI39" i="1"/>
  <c r="AH39" i="1"/>
  <c r="AI38" i="1"/>
  <c r="AH38" i="1"/>
  <c r="AO37" i="1"/>
  <c r="AI37" i="1"/>
  <c r="AH37" i="1"/>
  <c r="AO36" i="1"/>
  <c r="AI36" i="1"/>
  <c r="AH36" i="1"/>
  <c r="AO35" i="1"/>
  <c r="AI35" i="1"/>
  <c r="AH35" i="1"/>
  <c r="AO34" i="1"/>
  <c r="AI34" i="1"/>
  <c r="AH34" i="1"/>
  <c r="AO33" i="1"/>
  <c r="AI33" i="1"/>
  <c r="AH33" i="1"/>
  <c r="AO32" i="1"/>
  <c r="AI32" i="1"/>
  <c r="AH32" i="1"/>
  <c r="AO31" i="1"/>
  <c r="AI31" i="1"/>
  <c r="AH31" i="1"/>
  <c r="AO30" i="1"/>
  <c r="AI30" i="1"/>
  <c r="AH30" i="1"/>
  <c r="AO29" i="1"/>
  <c r="AI97" i="1"/>
  <c r="AH97" i="1"/>
  <c r="AO28" i="1"/>
  <c r="AI28" i="1"/>
  <c r="AH28" i="1"/>
  <c r="AO27" i="1"/>
  <c r="AI27" i="1"/>
  <c r="AH27" i="1"/>
  <c r="AO26" i="1"/>
  <c r="AI26" i="1"/>
  <c r="AH26" i="1"/>
  <c r="AO25" i="1"/>
  <c r="AI107" i="1"/>
  <c r="AH107" i="1"/>
  <c r="AO24" i="1"/>
  <c r="AI24" i="1"/>
  <c r="AH24" i="1"/>
  <c r="AO23" i="1"/>
  <c r="AI23" i="1"/>
  <c r="AH23" i="1"/>
  <c r="AO22" i="1"/>
  <c r="AI22" i="1"/>
  <c r="AH22" i="1"/>
  <c r="AO2" i="1" s="1"/>
  <c r="AO21" i="1"/>
  <c r="AI21" i="1"/>
  <c r="AH21" i="1"/>
  <c r="AO20" i="1"/>
  <c r="AI20" i="1"/>
  <c r="AH20" i="1"/>
  <c r="AO19" i="1"/>
  <c r="AI19" i="1"/>
  <c r="AH19" i="1"/>
  <c r="AO18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I12" i="1"/>
  <c r="AH12" i="1"/>
  <c r="AO11" i="1"/>
  <c r="AO14" i="1" s="1"/>
  <c r="AI11" i="1"/>
  <c r="AH11" i="1"/>
  <c r="AI10" i="1"/>
  <c r="AH10" i="1"/>
  <c r="AO9" i="1"/>
  <c r="AI9" i="1"/>
  <c r="AH9" i="1"/>
  <c r="AO8" i="1"/>
  <c r="AI110" i="1"/>
  <c r="AH110" i="1"/>
  <c r="AO7" i="1"/>
  <c r="AI7" i="1"/>
  <c r="AH7" i="1"/>
  <c r="AO6" i="1"/>
  <c r="AI6" i="1"/>
  <c r="AH6" i="1"/>
  <c r="AI5" i="1"/>
  <c r="AH5" i="1"/>
  <c r="AO4" i="1"/>
  <c r="AI4" i="1"/>
  <c r="AH4" i="1"/>
  <c r="AI3" i="1"/>
  <c r="AH3" i="1"/>
  <c r="AI2" i="1"/>
  <c r="AH2" i="1"/>
  <c r="AO16" i="1" l="1"/>
</calcChain>
</file>

<file path=xl/sharedStrings.xml><?xml version="1.0" encoding="utf-8"?>
<sst xmlns="http://schemas.openxmlformats.org/spreadsheetml/2006/main" count="849" uniqueCount="372">
  <si>
    <t>Total Points</t>
  </si>
  <si>
    <t>MAX</t>
  </si>
  <si>
    <t>Total Cost</t>
  </si>
  <si>
    <t>GKP</t>
  </si>
  <si>
    <t>DEF</t>
  </si>
  <si>
    <t>MID</t>
  </si>
  <si>
    <t>FWD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</si>
  <si>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</si>
  <si>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</si>
  <si>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</si>
  <si>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</si>
  <si>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</si>
  <si>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</si>
  <si>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</si>
  <si>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</si>
  <si>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</si>
  <si>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BUR</t>
  </si>
  <si>
    <t>CHE</t>
  </si>
  <si>
    <t>CRY</t>
  </si>
  <si>
    <t>EVE</t>
  </si>
  <si>
    <t>FUL</t>
  </si>
  <si>
    <t>LIV</t>
  </si>
  <si>
    <t>LUT</t>
  </si>
  <si>
    <t>MCI</t>
  </si>
  <si>
    <t>MUN</t>
  </si>
  <si>
    <t>NEW</t>
  </si>
  <si>
    <t>NFO</t>
  </si>
  <si>
    <t>SHU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</si>
  <si>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</si>
  <si>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</si>
  <si>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</si>
  <si>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</si>
  <si>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</si>
  <si>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</si>
  <si>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</si>
  <si>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</si>
  <si>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</si>
  <si>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</si>
  <si>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</si>
  <si>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PP</t>
  </si>
  <si>
    <t>NEXT</t>
  </si>
  <si>
    <t>Health</t>
  </si>
  <si>
    <t>PREV</t>
  </si>
  <si>
    <t>Selected</t>
  </si>
  <si>
    <t>Gabriel</t>
  </si>
  <si>
    <t>dos Santos Magalhães</t>
  </si>
  <si>
    <t>Kai</t>
  </si>
  <si>
    <t>Havertz</t>
  </si>
  <si>
    <t>Fernando de Jesus</t>
  </si>
  <si>
    <t>G.Jesus</t>
  </si>
  <si>
    <t>Martinelli Silva</t>
  </si>
  <si>
    <t>Martinelli</t>
  </si>
  <si>
    <t>Martin</t>
  </si>
  <si>
    <t>Ødegaard</t>
  </si>
  <si>
    <t>Bukayo</t>
  </si>
  <si>
    <t>Saka</t>
  </si>
  <si>
    <t>William</t>
  </si>
  <si>
    <t>Saliba</t>
  </si>
  <si>
    <t>Leandro</t>
  </si>
  <si>
    <t>Trossard</t>
  </si>
  <si>
    <t>Benjamin</t>
  </si>
  <si>
    <t>White</t>
  </si>
  <si>
    <t>Oleksandr</t>
  </si>
  <si>
    <t>Zinchenko</t>
  </si>
  <si>
    <t>David</t>
  </si>
  <si>
    <t>Raya Martin</t>
  </si>
  <si>
    <t>Raya</t>
  </si>
  <si>
    <t>Declan</t>
  </si>
  <si>
    <t>Rice</t>
  </si>
  <si>
    <t>Leon</t>
  </si>
  <si>
    <t>Bailey</t>
  </si>
  <si>
    <t>Diego Carlos</t>
  </si>
  <si>
    <t>Santos Silva</t>
  </si>
  <si>
    <t>Lucas</t>
  </si>
  <si>
    <t>Digne</t>
  </si>
  <si>
    <t>Douglas Luiz</t>
  </si>
  <si>
    <t>Soares de Paulo</t>
  </si>
  <si>
    <t>Emiliano</t>
  </si>
  <si>
    <t>Martínez Romero</t>
  </si>
  <si>
    <t>Martinez</t>
  </si>
  <si>
    <t>John</t>
  </si>
  <si>
    <t>McGinn</t>
  </si>
  <si>
    <t>Youri</t>
  </si>
  <si>
    <t>Tielemans</t>
  </si>
  <si>
    <t>Ollie</t>
  </si>
  <si>
    <t>Watkins</t>
  </si>
  <si>
    <t>Pau</t>
  </si>
  <si>
    <t>Torres</t>
  </si>
  <si>
    <t>Moussa</t>
  </si>
  <si>
    <t>Diaby</t>
  </si>
  <si>
    <t>Justin</t>
  </si>
  <si>
    <t>Kluivert</t>
  </si>
  <si>
    <t>Norberto</t>
  </si>
  <si>
    <t>Murara Neto</t>
  </si>
  <si>
    <t>Neto</t>
  </si>
  <si>
    <t>Antoine</t>
  </si>
  <si>
    <t>Semenyo</t>
  </si>
  <si>
    <t>Marcos</t>
  </si>
  <si>
    <t>Senesi</t>
  </si>
  <si>
    <t>Adam</t>
  </si>
  <si>
    <t>Smith</t>
  </si>
  <si>
    <t>Dominic</t>
  </si>
  <si>
    <t>Solanke</t>
  </si>
  <si>
    <t>Marcus</t>
  </si>
  <si>
    <t>Tavernier</t>
  </si>
  <si>
    <t>Nathan</t>
  </si>
  <si>
    <t>Collins</t>
  </si>
  <si>
    <t>Mark</t>
  </si>
  <si>
    <t>Flekken</t>
  </si>
  <si>
    <t>Vitaly</t>
  </si>
  <si>
    <t>Janelt</t>
  </si>
  <si>
    <t>Mathias</t>
  </si>
  <si>
    <t>Jensen</t>
  </si>
  <si>
    <t>Keane</t>
  </si>
  <si>
    <t>Lewis-Potter</t>
  </si>
  <si>
    <t>Bryan</t>
  </si>
  <si>
    <t>Mbeumo</t>
  </si>
  <si>
    <t>Christian</t>
  </si>
  <si>
    <t>Nørgaard</t>
  </si>
  <si>
    <t>Ethan</t>
  </si>
  <si>
    <t>Pinnock</t>
  </si>
  <si>
    <t>Yoane</t>
  </si>
  <si>
    <t>Wissa</t>
  </si>
  <si>
    <t>Neal</t>
  </si>
  <si>
    <t>Maupay</t>
  </si>
  <si>
    <t>Simon</t>
  </si>
  <si>
    <t>Adingra</t>
  </si>
  <si>
    <t>Billy</t>
  </si>
  <si>
    <t>Gilmour</t>
  </si>
  <si>
    <t>Pascal</t>
  </si>
  <si>
    <t>Groß</t>
  </si>
  <si>
    <t>Gross</t>
  </si>
  <si>
    <t>João Pedro</t>
  </si>
  <si>
    <t>Junqueira de Jesus</t>
  </si>
  <si>
    <t>Kaoru</t>
  </si>
  <si>
    <t>Mitoma</t>
  </si>
  <si>
    <t>Jason</t>
  </si>
  <si>
    <t>Steele</t>
  </si>
  <si>
    <t>Danny</t>
  </si>
  <si>
    <t>Welbeck</t>
  </si>
  <si>
    <t>Josh</t>
  </si>
  <si>
    <t>Brownhill</t>
  </si>
  <si>
    <t>Dara</t>
  </si>
  <si>
    <t>O'Shea</t>
  </si>
  <si>
    <t>Zeki</t>
  </si>
  <si>
    <t>Amdouni</t>
  </si>
  <si>
    <t>James</t>
  </si>
  <si>
    <t>Trafford</t>
  </si>
  <si>
    <t>Levi</t>
  </si>
  <si>
    <t>Colwill</t>
  </si>
  <si>
    <t>Enzo</t>
  </si>
  <si>
    <t>Fernández</t>
  </si>
  <si>
    <t>Conor</t>
  </si>
  <si>
    <t>Gallagher</t>
  </si>
  <si>
    <t>Malo</t>
  </si>
  <si>
    <t>Gusto</t>
  </si>
  <si>
    <t>Mykhailo</t>
  </si>
  <si>
    <t>Mudryk</t>
  </si>
  <si>
    <t>Nicolas</t>
  </si>
  <si>
    <t>Jackson</t>
  </si>
  <si>
    <t>N.Jackson</t>
  </si>
  <si>
    <t>Raheem</t>
  </si>
  <si>
    <t>Sterling</t>
  </si>
  <si>
    <t>Thiago</t>
  </si>
  <si>
    <t>Emiliano da Silva</t>
  </si>
  <si>
    <t>T.Silva</t>
  </si>
  <si>
    <t>Cole</t>
  </si>
  <si>
    <t>Palmer</t>
  </si>
  <si>
    <t>Jordan</t>
  </si>
  <si>
    <t>Ayew</t>
  </si>
  <si>
    <t>J.Ayew</t>
  </si>
  <si>
    <t>Eberechi</t>
  </si>
  <si>
    <t>Eze</t>
  </si>
  <si>
    <t>Jefferson</t>
  </si>
  <si>
    <t>Lerma Solís</t>
  </si>
  <si>
    <t>Lerma</t>
  </si>
  <si>
    <t>Jean-Philippe</t>
  </si>
  <si>
    <t>Mateta</t>
  </si>
  <si>
    <t>Jarrad</t>
  </si>
  <si>
    <t>Branthwaite</t>
  </si>
  <si>
    <t>Calvert-Lewin</t>
  </si>
  <si>
    <t>Abdoulaye</t>
  </si>
  <si>
    <t>Doucouré</t>
  </si>
  <si>
    <t>A.Doucoure</t>
  </si>
  <si>
    <t>Garner</t>
  </si>
  <si>
    <t>Vitalii</t>
  </si>
  <si>
    <t>Mykolenko</t>
  </si>
  <si>
    <t>Pickford</t>
  </si>
  <si>
    <t>Tarkowski</t>
  </si>
  <si>
    <t>Jack</t>
  </si>
  <si>
    <t>Harrison</t>
  </si>
  <si>
    <t>Alex</t>
  </si>
  <si>
    <t>Iwobi</t>
  </si>
  <si>
    <t>Andreas</t>
  </si>
  <si>
    <t>Hoelgebaum Pereira</t>
  </si>
  <si>
    <t>Tom</t>
  </si>
  <si>
    <t>Cairney</t>
  </si>
  <si>
    <t>Bobby</t>
  </si>
  <si>
    <t>De Cordova-Reid</t>
  </si>
  <si>
    <t>Bernd</t>
  </si>
  <si>
    <t>Leno</t>
  </si>
  <si>
    <t>João</t>
  </si>
  <si>
    <t>Palhinha Gonçalves</t>
  </si>
  <si>
    <t>J.Palhinha</t>
  </si>
  <si>
    <t>Antonee</t>
  </si>
  <si>
    <t>Robinson</t>
  </si>
  <si>
    <t>Raúl</t>
  </si>
  <si>
    <t>Jiménez</t>
  </si>
  <si>
    <t>Willian</t>
  </si>
  <si>
    <t>Borges da Silva</t>
  </si>
  <si>
    <t>Timothy</t>
  </si>
  <si>
    <t>Castagne</t>
  </si>
  <si>
    <t>Trent</t>
  </si>
  <si>
    <t>Alexander-Arnold</t>
  </si>
  <si>
    <t>Alisson</t>
  </si>
  <si>
    <t>Ramses Becker</t>
  </si>
  <si>
    <t>A.Becker</t>
  </si>
  <si>
    <t>Darwin</t>
  </si>
  <si>
    <t>Núñez Ribeiro</t>
  </si>
  <si>
    <t>Diogo</t>
  </si>
  <si>
    <t>Teixeira da Silva</t>
  </si>
  <si>
    <t>Diogo J.</t>
  </si>
  <si>
    <t>Cody</t>
  </si>
  <si>
    <t>Gakpo</t>
  </si>
  <si>
    <t>Joe</t>
  </si>
  <si>
    <t>Gomez</t>
  </si>
  <si>
    <t>Curtis</t>
  </si>
  <si>
    <t>Jones</t>
  </si>
  <si>
    <t>Luis</t>
  </si>
  <si>
    <t>Díaz</t>
  </si>
  <si>
    <t>Luis Díaz</t>
  </si>
  <si>
    <t>Alexis</t>
  </si>
  <si>
    <t>Mac Allister</t>
  </si>
  <si>
    <t>Mohamed</t>
  </si>
  <si>
    <t>Salah</t>
  </si>
  <si>
    <t>Dominik</t>
  </si>
  <si>
    <t>Szoboszlai</t>
  </si>
  <si>
    <t>Virgil</t>
  </si>
  <si>
    <t>van Dijk</t>
  </si>
  <si>
    <t>Elijah</t>
  </si>
  <si>
    <t>Adebayo</t>
  </si>
  <si>
    <t>Alfie</t>
  </si>
  <si>
    <t>Doughty</t>
  </si>
  <si>
    <t>Carlton</t>
  </si>
  <si>
    <t>Morris</t>
  </si>
  <si>
    <t>Chiedozie</t>
  </si>
  <si>
    <t>Ogbene</t>
  </si>
  <si>
    <t>Thomas</t>
  </si>
  <si>
    <t>Kaminski</t>
  </si>
  <si>
    <t>Ross</t>
  </si>
  <si>
    <t>Barkley</t>
  </si>
  <si>
    <t>Manuel</t>
  </si>
  <si>
    <t>Akanji</t>
  </si>
  <si>
    <t>Aké</t>
  </si>
  <si>
    <t>Julián</t>
  </si>
  <si>
    <t>Álvarez</t>
  </si>
  <si>
    <t>J.Alvarez</t>
  </si>
  <si>
    <t>Bernardo</t>
  </si>
  <si>
    <t>Veiga de Carvalho e Silva</t>
  </si>
  <si>
    <t>Rúben</t>
  </si>
  <si>
    <t>Gato Alves Dias</t>
  </si>
  <si>
    <t>Ederson</t>
  </si>
  <si>
    <t>Santana de Moraes</t>
  </si>
  <si>
    <t>Ederson M.</t>
  </si>
  <si>
    <t>Phil</t>
  </si>
  <si>
    <t>Foden</t>
  </si>
  <si>
    <t>Erling</t>
  </si>
  <si>
    <t>Haaland</t>
  </si>
  <si>
    <t>Rodrigo</t>
  </si>
  <si>
    <t>Hernandez</t>
  </si>
  <si>
    <t>Kyle</t>
  </si>
  <si>
    <t>Walker</t>
  </si>
  <si>
    <t>Joško</t>
  </si>
  <si>
    <t>Gvardiol</t>
  </si>
  <si>
    <t>Bruno</t>
  </si>
  <si>
    <t>Borges Fernandes</t>
  </si>
  <si>
    <t>B.Fernandes</t>
  </si>
  <si>
    <t>Dalot Teixeira</t>
  </si>
  <si>
    <t>Dalot</t>
  </si>
  <si>
    <t>Alejandro</t>
  </si>
  <si>
    <t>Garnacho</t>
  </si>
  <si>
    <t>Victor</t>
  </si>
  <si>
    <t>Lindelöf</t>
  </si>
  <si>
    <t>Lindelof</t>
  </si>
  <si>
    <t>Scott</t>
  </si>
  <si>
    <t>McTominay</t>
  </si>
  <si>
    <t>Rashford</t>
  </si>
  <si>
    <t>André</t>
  </si>
  <si>
    <t>Onana</t>
  </si>
  <si>
    <t>Rasmus</t>
  </si>
  <si>
    <t>Højlund</t>
  </si>
  <si>
    <t>Guimarães Rodriguez Moura</t>
  </si>
  <si>
    <t>Bruno G.</t>
  </si>
  <si>
    <t>Anthony</t>
  </si>
  <si>
    <t>Gordon</t>
  </si>
  <si>
    <t>Alexander</t>
  </si>
  <si>
    <t>Isak</t>
  </si>
  <si>
    <t>Joelinton Cássio</t>
  </si>
  <si>
    <t>Apolinário de Lira</t>
  </si>
  <si>
    <t>Joelinton</t>
  </si>
  <si>
    <t>Sean</t>
  </si>
  <si>
    <t>Longstaff</t>
  </si>
  <si>
    <t>Fabian</t>
  </si>
  <si>
    <t>Schär</t>
  </si>
  <si>
    <t>Kieran</t>
  </si>
  <si>
    <t>Trippier</t>
  </si>
  <si>
    <t>Matt</t>
  </si>
  <si>
    <t>Turner</t>
  </si>
  <si>
    <t>Elanga</t>
  </si>
  <si>
    <t>Morgan</t>
  </si>
  <si>
    <t>Gibbs-White</t>
  </si>
  <si>
    <t>Chris</t>
  </si>
  <si>
    <t>Wood</t>
  </si>
  <si>
    <t>Cameron</t>
  </si>
  <si>
    <t>Archer</t>
  </si>
  <si>
    <t>McAtee</t>
  </si>
  <si>
    <t>Vini</t>
  </si>
  <si>
    <t>de Souza Costa</t>
  </si>
  <si>
    <t>Vini Souza</t>
  </si>
  <si>
    <t>Brennan</t>
  </si>
  <si>
    <t>Johnson</t>
  </si>
  <si>
    <t>Dejan</t>
  </si>
  <si>
    <t>Kulusevski</t>
  </si>
  <si>
    <t>Maddison</t>
  </si>
  <si>
    <t>Pedro</t>
  </si>
  <si>
    <t>Porro</t>
  </si>
  <si>
    <t>Pedro Porro</t>
  </si>
  <si>
    <t>Richarlison</t>
  </si>
  <si>
    <t>de Andrade</t>
  </si>
  <si>
    <t>Pape Matar</t>
  </si>
  <si>
    <t>Sarr</t>
  </si>
  <si>
    <t>Son</t>
  </si>
  <si>
    <t>Heung-min</t>
  </si>
  <si>
    <t>Destiny</t>
  </si>
  <si>
    <t>Udogie</t>
  </si>
  <si>
    <t>Alphonse</t>
  </si>
  <si>
    <t>Areola</t>
  </si>
  <si>
    <t>Jarrod</t>
  </si>
  <si>
    <t>Bowen</t>
  </si>
  <si>
    <t>Vladimír</t>
  </si>
  <si>
    <t>Coufal</t>
  </si>
  <si>
    <t>Tolentino Coelho de Lima</t>
  </si>
  <si>
    <t>L.Paquetá</t>
  </si>
  <si>
    <t>Tomáš</t>
  </si>
  <si>
    <t>Souček</t>
  </si>
  <si>
    <t>Ward-Prowse</t>
  </si>
  <si>
    <t>Mohammed</t>
  </si>
  <si>
    <t>Kudus</t>
  </si>
  <si>
    <t>Craig</t>
  </si>
  <si>
    <t>Dawson</t>
  </si>
  <si>
    <t>Hwang</t>
  </si>
  <si>
    <t>Hee-chan</t>
  </si>
  <si>
    <t>Hee Chan</t>
  </si>
  <si>
    <t>João Victor</t>
  </si>
  <si>
    <t>Gomes da Silva</t>
  </si>
  <si>
    <t>João Gomes</t>
  </si>
  <si>
    <t>Max</t>
  </si>
  <si>
    <t>Kilman</t>
  </si>
  <si>
    <t>Mario</t>
  </si>
  <si>
    <t>Lemina</t>
  </si>
  <si>
    <t>Mario Jr.</t>
  </si>
  <si>
    <t>José</t>
  </si>
  <si>
    <t>Malheiro de Sá</t>
  </si>
  <si>
    <t>José Sá</t>
  </si>
  <si>
    <t>Pablo</t>
  </si>
  <si>
    <t>Sarabia</t>
  </si>
  <si>
    <t>Toti António</t>
  </si>
  <si>
    <t>Gomes</t>
  </si>
  <si>
    <t>Toti</t>
  </si>
  <si>
    <t>Matheus</t>
  </si>
  <si>
    <t>Santos Carneiro Da Cunha</t>
  </si>
  <si>
    <t>Cunha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</si>
</sst>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57" totalsRowShown="0">
  <autoFilter ref="A1:AL157" xr:uid="{00000000-0009-0000-0100-000001000000}">
    <filterColumn colId="37">
      <filters>
        <filter val="1"/>
      </filters>
    </filterColumn>
  </autoFilter>
  <sortState xmlns:xlrd2="http://schemas.microsoft.com/office/spreadsheetml/2017/richdata2" ref="A8:AL143">
    <sortCondition descending="1" ref="AI1:AI157"/>
  </sortState>
  <tableColumns count="38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BUR"/>
    <tableColumn id="16" xr3:uid="{00000000-0010-0000-0000-000010000000}" name="CHE"/>
    <tableColumn id="17" xr3:uid="{00000000-0010-0000-0000-000011000000}" name="CRY"/>
    <tableColumn id="18" xr3:uid="{00000000-0010-0000-0000-000012000000}" name="EVE"/>
    <tableColumn id="19" xr3:uid="{00000000-0010-0000-0000-000013000000}" name="FUL"/>
    <tableColumn id="20" xr3:uid="{00000000-0010-0000-0000-000014000000}" name="LIV"/>
    <tableColumn id="21" xr3:uid="{00000000-0010-0000-0000-000015000000}" name="LUT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H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"/>
    <tableColumn id="35" xr3:uid="{00000000-0010-0000-0000-000023000000}" name="NEXT"/>
    <tableColumn id="36" xr3:uid="{00000000-0010-0000-0000-000024000000}" name="Health"/>
    <tableColumn id="37" xr3:uid="{00000000-0010-0000-0000-000025000000}" name="PREV"/>
    <tableColumn id="38" xr3:uid="{00000000-0010-0000-0000-000026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57"/>
  <sheetViews>
    <sheetView tabSelected="1" workbookViewId="0">
      <selection activeCell="C25" sqref="C25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</cols>
  <sheetData>
    <row r="1" spans="1:42" x14ac:dyDescent="0.2">
      <c r="A1" t="s">
        <v>31</v>
      </c>
      <c r="B1" t="s">
        <v>32</v>
      </c>
      <c r="C1" t="s">
        <v>33</v>
      </c>
      <c r="D1" t="s">
        <v>34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9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</row>
    <row r="2" spans="1:42" hidden="1" x14ac:dyDescent="0.2">
      <c r="A2" t="s">
        <v>44</v>
      </c>
      <c r="B2" t="s">
        <v>45</v>
      </c>
      <c r="C2" t="s">
        <v>44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11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5.0999999999999996</v>
      </c>
      <c r="AE2">
        <v>4</v>
      </c>
      <c r="AF2">
        <v>17.590935505191482</v>
      </c>
      <c r="AG2">
        <v>16.49419316327992</v>
      </c>
      <c r="AH2">
        <f>18.1760938254675*1</f>
        <v>18.1760938254675</v>
      </c>
      <c r="AI2">
        <f>3.76804847057669*1</f>
        <v>3.7680484705766899</v>
      </c>
      <c r="AJ2">
        <v>1</v>
      </c>
      <c r="AK2">
        <v>0</v>
      </c>
      <c r="AL2">
        <v>0</v>
      </c>
      <c r="AN2" t="s">
        <v>0</v>
      </c>
      <c r="AO2">
        <f>SUMPRODUCT(Table1[Selected], Table1[PP])</f>
        <v>375.16553713381842</v>
      </c>
      <c r="AP2" t="s">
        <v>1</v>
      </c>
    </row>
    <row r="3" spans="1:42" hidden="1" x14ac:dyDescent="0.2">
      <c r="A3" t="s">
        <v>46</v>
      </c>
      <c r="B3" t="s">
        <v>47</v>
      </c>
      <c r="C3" t="s">
        <v>47</v>
      </c>
      <c r="D3" t="s">
        <v>5</v>
      </c>
      <c r="E3">
        <v>0</v>
      </c>
      <c r="F3">
        <v>0</v>
      </c>
      <c r="G3">
        <v>1</v>
      </c>
      <c r="H3">
        <v>0</v>
      </c>
      <c r="I3" t="s">
        <v>11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7.1</v>
      </c>
      <c r="AE3">
        <v>5</v>
      </c>
      <c r="AF3">
        <v>15.871559633027511</v>
      </c>
      <c r="AG3">
        <v>16.319293966350291</v>
      </c>
      <c r="AH3">
        <f>17.6039884070701*1</f>
        <v>17.603988407070101</v>
      </c>
      <c r="AI3">
        <f>3.52079768141402*1</f>
        <v>3.5207976814140198</v>
      </c>
      <c r="AJ3">
        <v>1</v>
      </c>
      <c r="AK3">
        <v>0</v>
      </c>
      <c r="AL3">
        <v>0</v>
      </c>
    </row>
    <row r="4" spans="1:42" hidden="1" x14ac:dyDescent="0.2">
      <c r="A4" t="s">
        <v>44</v>
      </c>
      <c r="B4" t="s">
        <v>48</v>
      </c>
      <c r="C4" t="s">
        <v>49</v>
      </c>
      <c r="D4" t="s">
        <v>6</v>
      </c>
      <c r="E4">
        <v>0</v>
      </c>
      <c r="F4">
        <v>0</v>
      </c>
      <c r="G4">
        <v>0</v>
      </c>
      <c r="H4">
        <v>1</v>
      </c>
      <c r="I4" t="s">
        <v>11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7.9</v>
      </c>
      <c r="AE4">
        <v>6</v>
      </c>
      <c r="AF4">
        <v>20.35031847133757</v>
      </c>
      <c r="AG4">
        <v>20.25819385151739</v>
      </c>
      <c r="AH4">
        <f>22.0133264871151*1</f>
        <v>22.013326487115101</v>
      </c>
      <c r="AI4">
        <f>4.40266464631489*1</f>
        <v>4.4026646463148902</v>
      </c>
      <c r="AJ4">
        <v>1</v>
      </c>
      <c r="AK4">
        <v>0</v>
      </c>
      <c r="AL4">
        <v>0</v>
      </c>
      <c r="AN4" t="s">
        <v>2</v>
      </c>
      <c r="AO4">
        <f>SUMPRODUCT(Table1[Selected],Table1[Cost])</f>
        <v>97.399999999999991</v>
      </c>
      <c r="AP4">
        <v>101.9</v>
      </c>
    </row>
    <row r="5" spans="1:42" hidden="1" x14ac:dyDescent="0.2">
      <c r="A5" t="s">
        <v>44</v>
      </c>
      <c r="B5" t="s">
        <v>50</v>
      </c>
      <c r="C5" t="s">
        <v>51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7.7</v>
      </c>
      <c r="AE5">
        <v>10</v>
      </c>
      <c r="AF5">
        <v>24.285714285714288</v>
      </c>
      <c r="AG5">
        <v>23.820919254881719</v>
      </c>
      <c r="AH5">
        <f>25.9729440866688*1</f>
        <v>25.9729440866688</v>
      </c>
      <c r="AI5">
        <f>5.19458881732496*1</f>
        <v>5.1945888173249601</v>
      </c>
      <c r="AJ5">
        <v>1</v>
      </c>
      <c r="AK5">
        <v>0</v>
      </c>
      <c r="AL5">
        <v>0</v>
      </c>
    </row>
    <row r="6" spans="1:42" hidden="1" x14ac:dyDescent="0.2">
      <c r="A6" t="s">
        <v>52</v>
      </c>
      <c r="B6" t="s">
        <v>53</v>
      </c>
      <c r="C6" t="s">
        <v>53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11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8.4</v>
      </c>
      <c r="AE6">
        <v>12</v>
      </c>
      <c r="AF6">
        <v>24.350097914005691</v>
      </c>
      <c r="AG6">
        <v>23.065702286176631</v>
      </c>
      <c r="AH6">
        <f>25.3559934783724*1</f>
        <v>25.355993478372401</v>
      </c>
      <c r="AI6">
        <f>5.07119869567449*1</f>
        <v>5.0711986956744903</v>
      </c>
      <c r="AJ6">
        <v>1</v>
      </c>
      <c r="AK6">
        <v>0</v>
      </c>
      <c r="AL6">
        <v>0</v>
      </c>
      <c r="AN6" t="s">
        <v>3</v>
      </c>
      <c r="AO6">
        <f>SUMPRODUCT(Table1[Selected],Table1[GKP])</f>
        <v>2</v>
      </c>
      <c r="AP6">
        <v>2</v>
      </c>
    </row>
    <row r="7" spans="1:42" hidden="1" x14ac:dyDescent="0.2">
      <c r="A7" t="s">
        <v>54</v>
      </c>
      <c r="B7" t="s">
        <v>55</v>
      </c>
      <c r="C7" t="s">
        <v>55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9</v>
      </c>
      <c r="AE7">
        <v>17</v>
      </c>
      <c r="AF7">
        <v>29.80189845393765</v>
      </c>
      <c r="AG7">
        <v>20.890283859107232</v>
      </c>
      <c r="AH7">
        <f>24.8822471243738*1</f>
        <v>24.882247124373801</v>
      </c>
      <c r="AI7">
        <f>4.9764494253214*1</f>
        <v>4.9764494253214</v>
      </c>
      <c r="AJ7">
        <v>1</v>
      </c>
      <c r="AK7">
        <v>0</v>
      </c>
      <c r="AL7">
        <v>0</v>
      </c>
      <c r="AN7" t="s">
        <v>4</v>
      </c>
      <c r="AO7">
        <f>SUMPRODUCT(Table1[Selected],Table1[DEF])</f>
        <v>5</v>
      </c>
      <c r="AP7">
        <v>5</v>
      </c>
    </row>
    <row r="8" spans="1:42" x14ac:dyDescent="0.2">
      <c r="A8" t="s">
        <v>266</v>
      </c>
      <c r="B8" t="s">
        <v>267</v>
      </c>
      <c r="C8" t="s">
        <v>267</v>
      </c>
      <c r="D8" t="s">
        <v>6</v>
      </c>
      <c r="E8">
        <v>0</v>
      </c>
      <c r="F8">
        <v>0</v>
      </c>
      <c r="G8">
        <v>0</v>
      </c>
      <c r="H8">
        <v>1</v>
      </c>
      <c r="I8" t="s">
        <v>23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14.4</v>
      </c>
      <c r="AE8">
        <v>499</v>
      </c>
      <c r="AF8">
        <v>47.510204081632637</v>
      </c>
      <c r="AG8">
        <v>47.672769754447117</v>
      </c>
      <c r="AH8">
        <f>55.5244687021735*1</f>
        <v>55.5244687021735</v>
      </c>
      <c r="AI8">
        <f>18.5367479360317*1</f>
        <v>18.536747936031698</v>
      </c>
      <c r="AJ8">
        <v>1</v>
      </c>
      <c r="AK8">
        <v>1</v>
      </c>
      <c r="AL8">
        <v>1</v>
      </c>
      <c r="AN8" t="s">
        <v>5</v>
      </c>
      <c r="AO8">
        <f>SUMPRODUCT(Table1[Selected],Table1[MID])</f>
        <v>5</v>
      </c>
      <c r="AP8">
        <v>5</v>
      </c>
    </row>
    <row r="9" spans="1:42" hidden="1" x14ac:dyDescent="0.2">
      <c r="A9" t="s">
        <v>58</v>
      </c>
      <c r="B9" t="s">
        <v>59</v>
      </c>
      <c r="C9" t="s">
        <v>59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11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6.5</v>
      </c>
      <c r="AE9">
        <v>22</v>
      </c>
      <c r="AF9">
        <v>19.864568618951989</v>
      </c>
      <c r="AG9">
        <v>17.041666666666661</v>
      </c>
      <c r="AH9">
        <f>19.1975989769728*1</f>
        <v>19.197598976972799</v>
      </c>
      <c r="AI9">
        <f>3.94271956592375*1</f>
        <v>3.9427195659237499</v>
      </c>
      <c r="AJ9">
        <v>1</v>
      </c>
      <c r="AK9">
        <v>0</v>
      </c>
      <c r="AL9">
        <v>0</v>
      </c>
      <c r="AN9" t="s">
        <v>6</v>
      </c>
      <c r="AO9">
        <f>SUMPRODUCT(Table1[Selected],Table1[FWD])</f>
        <v>3</v>
      </c>
      <c r="AP9">
        <v>3</v>
      </c>
    </row>
    <row r="10" spans="1:42" hidden="1" x14ac:dyDescent="0.2">
      <c r="A10" t="s">
        <v>60</v>
      </c>
      <c r="B10" t="s">
        <v>61</v>
      </c>
      <c r="C10" t="s">
        <v>61</v>
      </c>
      <c r="D10" t="s">
        <v>4</v>
      </c>
      <c r="E10">
        <v>0</v>
      </c>
      <c r="F10">
        <v>1</v>
      </c>
      <c r="G10">
        <v>0</v>
      </c>
      <c r="H10">
        <v>0</v>
      </c>
      <c r="I10" t="s">
        <v>11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5.6</v>
      </c>
      <c r="AE10">
        <v>23</v>
      </c>
      <c r="AF10">
        <v>19.83050847457627</v>
      </c>
      <c r="AG10">
        <v>17.675815213062791</v>
      </c>
      <c r="AH10">
        <f>19.7205970058451*1</f>
        <v>19.7205970058451</v>
      </c>
      <c r="AI10">
        <f>3.94197881306284*1</f>
        <v>3.9419788130628399</v>
      </c>
      <c r="AJ10">
        <v>1</v>
      </c>
      <c r="AK10">
        <v>0</v>
      </c>
      <c r="AL10">
        <v>0</v>
      </c>
    </row>
    <row r="11" spans="1:42" hidden="1" x14ac:dyDescent="0.2">
      <c r="A11" t="s">
        <v>62</v>
      </c>
      <c r="B11" t="s">
        <v>63</v>
      </c>
      <c r="C11" t="s">
        <v>63</v>
      </c>
      <c r="D11" t="s">
        <v>4</v>
      </c>
      <c r="E11">
        <v>0</v>
      </c>
      <c r="F11">
        <v>1</v>
      </c>
      <c r="G11">
        <v>0</v>
      </c>
      <c r="H11">
        <v>0</v>
      </c>
      <c r="I11" t="s">
        <v>11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5.0999999999999996</v>
      </c>
      <c r="AE11">
        <v>25</v>
      </c>
      <c r="AF11">
        <v>17.064220183486231</v>
      </c>
      <c r="AG11">
        <v>15.232558139534881</v>
      </c>
      <c r="AH11">
        <f>16.988461910803*1</f>
        <v>16.988461910803</v>
      </c>
      <c r="AI11">
        <f>3.3976923821606*1</f>
        <v>3.3976923821606002</v>
      </c>
      <c r="AJ11">
        <v>1</v>
      </c>
      <c r="AK11">
        <v>0</v>
      </c>
      <c r="AL11">
        <v>0</v>
      </c>
      <c r="AN11" t="s">
        <v>7</v>
      </c>
      <c r="AO11">
        <f>SUMPRODUCT(Table1[Selected], -- (Table1[PREV] = 0))</f>
        <v>3</v>
      </c>
    </row>
    <row r="12" spans="1:42" hidden="1" x14ac:dyDescent="0.2">
      <c r="A12" t="s">
        <v>64</v>
      </c>
      <c r="B12" t="s">
        <v>65</v>
      </c>
      <c r="C12" t="s">
        <v>66</v>
      </c>
      <c r="D12" t="s">
        <v>3</v>
      </c>
      <c r="E12">
        <v>1</v>
      </c>
      <c r="F12">
        <v>0</v>
      </c>
      <c r="G12">
        <v>0</v>
      </c>
      <c r="H12">
        <v>0</v>
      </c>
      <c r="I12" t="s">
        <v>11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4.9000000000000004</v>
      </c>
      <c r="AE12">
        <v>26</v>
      </c>
      <c r="AF12">
        <v>20.569620253164551</v>
      </c>
      <c r="AG12">
        <v>18.60556669782806</v>
      </c>
      <c r="AH12">
        <f>20.6826716652506*1</f>
        <v>20.682671665250599</v>
      </c>
      <c r="AI12">
        <f>4.08375009636039*1</f>
        <v>4.0837500963603901</v>
      </c>
      <c r="AJ12">
        <v>1</v>
      </c>
      <c r="AK12">
        <v>0</v>
      </c>
      <c r="AL12">
        <v>0</v>
      </c>
      <c r="AN12" t="s">
        <v>8</v>
      </c>
      <c r="AO12">
        <v>1</v>
      </c>
    </row>
    <row r="13" spans="1:42" hidden="1" x14ac:dyDescent="0.2">
      <c r="A13" t="s">
        <v>67</v>
      </c>
      <c r="B13" t="s">
        <v>68</v>
      </c>
      <c r="C13" t="s">
        <v>68</v>
      </c>
      <c r="D13" t="s">
        <v>5</v>
      </c>
      <c r="E13">
        <v>0</v>
      </c>
      <c r="F13">
        <v>0</v>
      </c>
      <c r="G13">
        <v>1</v>
      </c>
      <c r="H13">
        <v>0</v>
      </c>
      <c r="I13" t="s">
        <v>11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5.4</v>
      </c>
      <c r="AE13">
        <v>27</v>
      </c>
      <c r="AF13">
        <v>12.293767761087659</v>
      </c>
      <c r="AG13">
        <v>13.94230769230769</v>
      </c>
      <c r="AH13">
        <f>14.7265464085944*1</f>
        <v>14.7265464085944</v>
      </c>
      <c r="AI13">
        <f>2.49371571577144*1</f>
        <v>2.4937157157714398</v>
      </c>
      <c r="AJ13">
        <v>1</v>
      </c>
      <c r="AK13">
        <v>0</v>
      </c>
      <c r="AL13">
        <v>0</v>
      </c>
    </row>
    <row r="14" spans="1:42" hidden="1" x14ac:dyDescent="0.2">
      <c r="A14" t="s">
        <v>69</v>
      </c>
      <c r="B14" t="s">
        <v>70</v>
      </c>
      <c r="C14" t="s">
        <v>70</v>
      </c>
      <c r="D14" t="s">
        <v>5</v>
      </c>
      <c r="E14">
        <v>0</v>
      </c>
      <c r="F14">
        <v>0</v>
      </c>
      <c r="G14">
        <v>1</v>
      </c>
      <c r="H14">
        <v>0</v>
      </c>
      <c r="I14" t="s">
        <v>12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5.6</v>
      </c>
      <c r="AE14">
        <v>38</v>
      </c>
      <c r="AF14">
        <v>15.90277777777777</v>
      </c>
      <c r="AG14">
        <v>14.28571428571429</v>
      </c>
      <c r="AH14">
        <f>15.3935711380081*1</f>
        <v>15.393571138008101</v>
      </c>
      <c r="AI14">
        <f>3.07871422760162*1</f>
        <v>3.0787142276016199</v>
      </c>
      <c r="AJ14">
        <v>1</v>
      </c>
      <c r="AK14">
        <v>0</v>
      </c>
      <c r="AL14">
        <v>0</v>
      </c>
      <c r="AN14" t="s">
        <v>9</v>
      </c>
      <c r="AO14">
        <f>((AO11-AO12)+ABS((AO11-AO12)))/2*4</f>
        <v>8</v>
      </c>
    </row>
    <row r="15" spans="1:42" hidden="1" x14ac:dyDescent="0.2">
      <c r="A15" t="s">
        <v>71</v>
      </c>
      <c r="B15" t="s">
        <v>72</v>
      </c>
      <c r="C15" t="s">
        <v>71</v>
      </c>
      <c r="D15" t="s">
        <v>4</v>
      </c>
      <c r="E15">
        <v>0</v>
      </c>
      <c r="F15">
        <v>1</v>
      </c>
      <c r="G15">
        <v>0</v>
      </c>
      <c r="H15">
        <v>0</v>
      </c>
      <c r="I15" t="s">
        <v>12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4.4000000000000004</v>
      </c>
      <c r="AE15">
        <v>45</v>
      </c>
      <c r="AF15">
        <v>6.7962980545073917</v>
      </c>
      <c r="AG15">
        <v>12.16666666666667</v>
      </c>
      <c r="AH15">
        <f>9.64403208068375*1</f>
        <v>9.6440320806837505</v>
      </c>
      <c r="AI15">
        <f>1.13792286581202*1</f>
        <v>1.13792286581202</v>
      </c>
      <c r="AJ15">
        <v>1</v>
      </c>
      <c r="AK15">
        <v>0</v>
      </c>
      <c r="AL15">
        <v>0</v>
      </c>
    </row>
    <row r="16" spans="1:42" hidden="1" x14ac:dyDescent="0.2">
      <c r="A16" t="s">
        <v>73</v>
      </c>
      <c r="B16" t="s">
        <v>74</v>
      </c>
      <c r="C16" t="s">
        <v>74</v>
      </c>
      <c r="D16" t="s">
        <v>4</v>
      </c>
      <c r="E16">
        <v>0</v>
      </c>
      <c r="F16">
        <v>1</v>
      </c>
      <c r="G16">
        <v>0</v>
      </c>
      <c r="H16">
        <v>0</v>
      </c>
      <c r="I16" t="s">
        <v>12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4.5999999999999996</v>
      </c>
      <c r="AE16">
        <v>46</v>
      </c>
      <c r="AF16">
        <v>13.52432922802798</v>
      </c>
      <c r="AG16">
        <v>16.277777777777779</v>
      </c>
      <c r="AH16">
        <f>15.1791976760033*1</f>
        <v>15.1791976760033</v>
      </c>
      <c r="AI16">
        <f>3.31578077688372*1</f>
        <v>3.3157807768837202</v>
      </c>
      <c r="AJ16">
        <v>1</v>
      </c>
      <c r="AK16">
        <v>0</v>
      </c>
      <c r="AL16">
        <v>0</v>
      </c>
      <c r="AN16" t="s">
        <v>10</v>
      </c>
      <c r="AO16">
        <f>AO2-AO14*5</f>
        <v>335.16553713381842</v>
      </c>
    </row>
    <row r="17" spans="1:42" hidden="1" x14ac:dyDescent="0.2">
      <c r="A17" t="s">
        <v>75</v>
      </c>
      <c r="B17" t="s">
        <v>76</v>
      </c>
      <c r="C17" t="s">
        <v>75</v>
      </c>
      <c r="D17" t="s">
        <v>5</v>
      </c>
      <c r="E17">
        <v>0</v>
      </c>
      <c r="F17">
        <v>0</v>
      </c>
      <c r="G17">
        <v>1</v>
      </c>
      <c r="H17">
        <v>0</v>
      </c>
      <c r="I17" t="s">
        <v>12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5.5</v>
      </c>
      <c r="AE17">
        <v>47</v>
      </c>
      <c r="AF17">
        <v>23.827965516087168</v>
      </c>
      <c r="AG17">
        <v>13.83064516129032</v>
      </c>
      <c r="AH17">
        <f>19.2345280147792*1</f>
        <v>19.234528014779201</v>
      </c>
      <c r="AI17">
        <f>3.55071815237397*1</f>
        <v>3.5507181523739701</v>
      </c>
      <c r="AJ17">
        <v>1</v>
      </c>
      <c r="AK17">
        <v>0</v>
      </c>
      <c r="AL17">
        <v>0</v>
      </c>
    </row>
    <row r="18" spans="1:42" hidden="1" x14ac:dyDescent="0.2">
      <c r="A18" t="s">
        <v>77</v>
      </c>
      <c r="B18" t="s">
        <v>78</v>
      </c>
      <c r="C18" t="s">
        <v>79</v>
      </c>
      <c r="D18" t="s">
        <v>3</v>
      </c>
      <c r="E18">
        <v>1</v>
      </c>
      <c r="F18">
        <v>0</v>
      </c>
      <c r="G18">
        <v>0</v>
      </c>
      <c r="H18">
        <v>0</v>
      </c>
      <c r="I18" t="s">
        <v>12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5.2</v>
      </c>
      <c r="AE18">
        <v>53</v>
      </c>
      <c r="AF18">
        <v>17.672413793103448</v>
      </c>
      <c r="AG18">
        <v>15.27777777777778</v>
      </c>
      <c r="AH18">
        <f>16.8043151195407*1</f>
        <v>16.8043151195407</v>
      </c>
      <c r="AI18">
        <f>3.36086302390814*1</f>
        <v>3.3608630239081401</v>
      </c>
      <c r="AJ18">
        <v>1</v>
      </c>
      <c r="AK18">
        <v>0</v>
      </c>
      <c r="AL18">
        <v>0</v>
      </c>
      <c r="AN18" t="s">
        <v>11</v>
      </c>
      <c r="AO18">
        <f>SUMPRODUCT(Table1[Selected],Table1[ARS])</f>
        <v>1</v>
      </c>
      <c r="AP18">
        <v>3</v>
      </c>
    </row>
    <row r="19" spans="1:42" hidden="1" x14ac:dyDescent="0.2">
      <c r="A19" t="s">
        <v>80</v>
      </c>
      <c r="B19" t="s">
        <v>81</v>
      </c>
      <c r="C19" t="s">
        <v>81</v>
      </c>
      <c r="D19" t="s">
        <v>5</v>
      </c>
      <c r="E19">
        <v>0</v>
      </c>
      <c r="F19">
        <v>0</v>
      </c>
      <c r="G19">
        <v>1</v>
      </c>
      <c r="H19">
        <v>0</v>
      </c>
      <c r="I19" t="s">
        <v>12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5.5</v>
      </c>
      <c r="AE19">
        <v>54</v>
      </c>
      <c r="AF19">
        <v>15.364238410596039</v>
      </c>
      <c r="AG19">
        <v>14.875</v>
      </c>
      <c r="AH19">
        <f>15.4149381418219*1</f>
        <v>15.414938141821899</v>
      </c>
      <c r="AI19">
        <f>3.08298762836438*1</f>
        <v>3.0829876283643798</v>
      </c>
      <c r="AJ19">
        <v>1</v>
      </c>
      <c r="AK19">
        <v>0</v>
      </c>
      <c r="AL19">
        <v>0</v>
      </c>
      <c r="AN19" t="s">
        <v>12</v>
      </c>
      <c r="AO19">
        <f>SUMPRODUCT(Table1[Selected],Table1[AVL])</f>
        <v>0</v>
      </c>
      <c r="AP19">
        <v>3</v>
      </c>
    </row>
    <row r="20" spans="1:42" hidden="1" x14ac:dyDescent="0.2">
      <c r="A20" t="s">
        <v>82</v>
      </c>
      <c r="B20" t="s">
        <v>83</v>
      </c>
      <c r="C20" t="s">
        <v>83</v>
      </c>
      <c r="D20" t="s">
        <v>5</v>
      </c>
      <c r="E20">
        <v>0</v>
      </c>
      <c r="F20">
        <v>0</v>
      </c>
      <c r="G20">
        <v>1</v>
      </c>
      <c r="H20">
        <v>0</v>
      </c>
      <c r="I20" t="s">
        <v>12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5.6</v>
      </c>
      <c r="AE20">
        <v>61</v>
      </c>
      <c r="AF20">
        <v>12.253604762420631</v>
      </c>
      <c r="AG20">
        <v>16.060606060606059</v>
      </c>
      <c r="AH20">
        <f>14.4166124401109*1</f>
        <v>14.416612440110899</v>
      </c>
      <c r="AI20">
        <f>2.8833224880222*1</f>
        <v>2.8833224880222001</v>
      </c>
      <c r="AJ20">
        <v>1</v>
      </c>
      <c r="AK20">
        <v>0</v>
      </c>
      <c r="AL20">
        <v>0</v>
      </c>
      <c r="AN20" t="s">
        <v>13</v>
      </c>
      <c r="AO20">
        <f>SUMPRODUCT(Table1[Selected],Table1[BOU])</f>
        <v>2</v>
      </c>
      <c r="AP20">
        <v>3</v>
      </c>
    </row>
    <row r="21" spans="1:42" hidden="1" x14ac:dyDescent="0.2">
      <c r="A21" t="s">
        <v>84</v>
      </c>
      <c r="B21" t="s">
        <v>85</v>
      </c>
      <c r="C21" t="s">
        <v>85</v>
      </c>
      <c r="D21" t="s">
        <v>6</v>
      </c>
      <c r="E21">
        <v>0</v>
      </c>
      <c r="F21">
        <v>0</v>
      </c>
      <c r="G21">
        <v>0</v>
      </c>
      <c r="H21">
        <v>1</v>
      </c>
      <c r="I21" t="s">
        <v>12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8.6999999999999993</v>
      </c>
      <c r="AE21">
        <v>63</v>
      </c>
      <c r="AF21">
        <v>23.188976377952748</v>
      </c>
      <c r="AG21">
        <v>21.93633538038473</v>
      </c>
      <c r="AH21">
        <f>23.0054377667646*1</f>
        <v>23.005437766764601</v>
      </c>
      <c r="AI21">
        <f>4.6024004224607*1</f>
        <v>4.6024004224606996</v>
      </c>
      <c r="AJ21">
        <v>1</v>
      </c>
      <c r="AK21">
        <v>0</v>
      </c>
      <c r="AL21">
        <v>0</v>
      </c>
      <c r="AN21" t="s">
        <v>14</v>
      </c>
      <c r="AO21">
        <f>SUMPRODUCT(Table1[Selected],Table1[BRE])</f>
        <v>0</v>
      </c>
      <c r="AP21">
        <v>3</v>
      </c>
    </row>
    <row r="22" spans="1:42" hidden="1" x14ac:dyDescent="0.2">
      <c r="A22" t="s">
        <v>86</v>
      </c>
      <c r="B22" t="s">
        <v>87</v>
      </c>
      <c r="C22" t="s">
        <v>86</v>
      </c>
      <c r="D22" t="s">
        <v>4</v>
      </c>
      <c r="E22">
        <v>0</v>
      </c>
      <c r="F22">
        <v>1</v>
      </c>
      <c r="G22">
        <v>0</v>
      </c>
      <c r="H22">
        <v>0</v>
      </c>
      <c r="I22" t="s">
        <v>12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4.5999999999999996</v>
      </c>
      <c r="AE22">
        <v>65</v>
      </c>
      <c r="AF22">
        <v>18.0224182540443</v>
      </c>
      <c r="AG22">
        <v>15.940745816405849</v>
      </c>
      <c r="AH22">
        <f>17.3193804756019*1</f>
        <v>17.3193804756019</v>
      </c>
      <c r="AI22">
        <f>3.74961656283535*1</f>
        <v>3.7496165628353499</v>
      </c>
      <c r="AJ22">
        <v>1</v>
      </c>
      <c r="AK22">
        <v>0</v>
      </c>
      <c r="AL22">
        <v>0</v>
      </c>
      <c r="AN22" t="s">
        <v>15</v>
      </c>
      <c r="AO22">
        <f>SUMPRODUCT(Table1[Selected],Table1[BHA])</f>
        <v>1</v>
      </c>
      <c r="AP22">
        <v>3</v>
      </c>
    </row>
    <row r="23" spans="1:42" hidden="1" x14ac:dyDescent="0.2">
      <c r="A23" t="s">
        <v>88</v>
      </c>
      <c r="B23" t="s">
        <v>89</v>
      </c>
      <c r="C23" t="s">
        <v>89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12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6.4</v>
      </c>
      <c r="AE23">
        <v>66</v>
      </c>
      <c r="AF23">
        <v>10.36301801418832</v>
      </c>
      <c r="AG23">
        <v>17.638888888888889</v>
      </c>
      <c r="AH23">
        <f>14.2435945760398*1</f>
        <v>14.243594576039801</v>
      </c>
      <c r="AI23">
        <f>3.20057172423548*1</f>
        <v>3.2005717242354801</v>
      </c>
      <c r="AJ23">
        <v>1</v>
      </c>
      <c r="AK23">
        <v>0</v>
      </c>
      <c r="AL23">
        <v>0</v>
      </c>
      <c r="AN23" t="s">
        <v>16</v>
      </c>
      <c r="AO23">
        <f>SUMPRODUCT(Table1[Selected],Table1[BUR])</f>
        <v>0</v>
      </c>
      <c r="AP23">
        <v>3</v>
      </c>
    </row>
    <row r="24" spans="1:42" hidden="1" x14ac:dyDescent="0.2">
      <c r="A24" t="s">
        <v>90</v>
      </c>
      <c r="B24" t="s">
        <v>91</v>
      </c>
      <c r="C24" t="s">
        <v>91</v>
      </c>
      <c r="D24" t="s">
        <v>5</v>
      </c>
      <c r="E24">
        <v>0</v>
      </c>
      <c r="F24">
        <v>0</v>
      </c>
      <c r="G24">
        <v>1</v>
      </c>
      <c r="H24">
        <v>0</v>
      </c>
      <c r="I24" t="s">
        <v>13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4.5999999999999996</v>
      </c>
      <c r="AE24">
        <v>87</v>
      </c>
      <c r="AF24">
        <v>15.99031481650977</v>
      </c>
      <c r="AG24">
        <v>17.079169789810969</v>
      </c>
      <c r="AH24">
        <f>20.8469544519082*1</f>
        <v>20.8469544519082</v>
      </c>
      <c r="AI24">
        <f>3.50789195743811*1</f>
        <v>3.50789195743811</v>
      </c>
      <c r="AJ24">
        <v>1</v>
      </c>
      <c r="AK24">
        <v>0</v>
      </c>
      <c r="AL24">
        <v>0</v>
      </c>
      <c r="AN24" t="s">
        <v>17</v>
      </c>
      <c r="AO24">
        <f>SUMPRODUCT(Table1[Selected],Table1[CHE])</f>
        <v>2</v>
      </c>
      <c r="AP24">
        <v>3</v>
      </c>
    </row>
    <row r="25" spans="1:42" x14ac:dyDescent="0.2">
      <c r="A25" t="s">
        <v>241</v>
      </c>
      <c r="B25" t="s">
        <v>242</v>
      </c>
      <c r="C25" t="s">
        <v>242</v>
      </c>
      <c r="D25" t="s">
        <v>4</v>
      </c>
      <c r="E25">
        <v>0</v>
      </c>
      <c r="F25">
        <v>1</v>
      </c>
      <c r="G25">
        <v>0</v>
      </c>
      <c r="H25">
        <v>0</v>
      </c>
      <c r="I25" t="s">
        <v>22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4.5999999999999996</v>
      </c>
      <c r="AE25">
        <v>450</v>
      </c>
      <c r="AF25">
        <v>12.56844477409547</v>
      </c>
      <c r="AG25">
        <v>17.749994511662958</v>
      </c>
      <c r="AH25">
        <f>28.2252863204879*1</f>
        <v>28.2252863204879</v>
      </c>
      <c r="AI25">
        <f>10.169834381442*1</f>
        <v>10.169834381442</v>
      </c>
      <c r="AJ25">
        <v>1</v>
      </c>
      <c r="AK25">
        <v>0</v>
      </c>
      <c r="AL25">
        <v>1</v>
      </c>
      <c r="AN25" t="s">
        <v>18</v>
      </c>
      <c r="AO25">
        <f>SUMPRODUCT(Table1[Selected],Table1[CRY])</f>
        <v>0</v>
      </c>
      <c r="AP25">
        <v>3</v>
      </c>
    </row>
    <row r="26" spans="1:42" hidden="1" x14ac:dyDescent="0.2">
      <c r="A26" t="s">
        <v>95</v>
      </c>
      <c r="B26" t="s">
        <v>96</v>
      </c>
      <c r="C26" t="s">
        <v>96</v>
      </c>
      <c r="D26" t="s">
        <v>6</v>
      </c>
      <c r="E26">
        <v>0</v>
      </c>
      <c r="F26">
        <v>0</v>
      </c>
      <c r="G26">
        <v>0</v>
      </c>
      <c r="H26">
        <v>1</v>
      </c>
      <c r="I26" t="s">
        <v>13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4.5</v>
      </c>
      <c r="AE26">
        <v>97</v>
      </c>
      <c r="AF26">
        <v>14.06896551724137</v>
      </c>
      <c r="AG26">
        <v>16.77272727272727</v>
      </c>
      <c r="AH26">
        <f>19.9614177141705*1</f>
        <v>19.961417714170501</v>
      </c>
      <c r="AI26">
        <f>3.32690295236176*1</f>
        <v>3.3269029523617601</v>
      </c>
      <c r="AJ26">
        <v>1</v>
      </c>
      <c r="AK26">
        <v>0</v>
      </c>
      <c r="AL26">
        <v>0</v>
      </c>
      <c r="AN26" t="s">
        <v>19</v>
      </c>
      <c r="AO26">
        <f>SUMPRODUCT(Table1[Selected],Table1[EVE])</f>
        <v>1</v>
      </c>
      <c r="AP26">
        <v>3</v>
      </c>
    </row>
    <row r="27" spans="1:42" hidden="1" x14ac:dyDescent="0.2">
      <c r="A27" t="s">
        <v>97</v>
      </c>
      <c r="B27" t="s">
        <v>98</v>
      </c>
      <c r="C27" t="s">
        <v>98</v>
      </c>
      <c r="D27" t="s">
        <v>4</v>
      </c>
      <c r="E27">
        <v>0</v>
      </c>
      <c r="F27">
        <v>1</v>
      </c>
      <c r="G27">
        <v>0</v>
      </c>
      <c r="H27">
        <v>0</v>
      </c>
      <c r="I27" t="s">
        <v>13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4.5</v>
      </c>
      <c r="AE27">
        <v>98</v>
      </c>
      <c r="AF27">
        <v>19.07748288681158</v>
      </c>
      <c r="AG27">
        <v>15</v>
      </c>
      <c r="AH27">
        <f>19.8844024293684*1</f>
        <v>19.8844024293684</v>
      </c>
      <c r="AI27">
        <f>4.02600666269278*1</f>
        <v>4.0260066626927804</v>
      </c>
      <c r="AJ27">
        <v>1</v>
      </c>
      <c r="AK27">
        <v>0</v>
      </c>
      <c r="AL27">
        <v>0</v>
      </c>
      <c r="AN27" t="s">
        <v>20</v>
      </c>
      <c r="AO27">
        <f>SUMPRODUCT(Table1[Selected],Table1[FUL])</f>
        <v>0</v>
      </c>
      <c r="AP27">
        <v>3</v>
      </c>
    </row>
    <row r="28" spans="1:42" hidden="1" x14ac:dyDescent="0.2">
      <c r="A28" t="s">
        <v>99</v>
      </c>
      <c r="B28" t="s">
        <v>100</v>
      </c>
      <c r="C28" t="s">
        <v>100</v>
      </c>
      <c r="D28" t="s">
        <v>4</v>
      </c>
      <c r="E28">
        <v>0</v>
      </c>
      <c r="F28">
        <v>1</v>
      </c>
      <c r="G28">
        <v>0</v>
      </c>
      <c r="H28">
        <v>0</v>
      </c>
      <c r="I28" t="s">
        <v>13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4.4000000000000004</v>
      </c>
      <c r="AE28">
        <v>99</v>
      </c>
      <c r="AF28">
        <v>13.81818181818182</v>
      </c>
      <c r="AG28">
        <v>16</v>
      </c>
      <c r="AH28">
        <f>19.1661440761018*1</f>
        <v>19.166144076101801</v>
      </c>
      <c r="AI28">
        <f>3.19435734601696*1</f>
        <v>3.1943573460169601</v>
      </c>
      <c r="AJ28">
        <v>1</v>
      </c>
      <c r="AK28">
        <v>0</v>
      </c>
      <c r="AL28">
        <v>0</v>
      </c>
      <c r="AN28" t="s">
        <v>21</v>
      </c>
      <c r="AO28">
        <f>SUMPRODUCT(Table1[Selected],Table1[LIV])</f>
        <v>1</v>
      </c>
      <c r="AP28">
        <v>3</v>
      </c>
    </row>
    <row r="29" spans="1:42" x14ac:dyDescent="0.2">
      <c r="A29" t="s">
        <v>264</v>
      </c>
      <c r="B29" t="s">
        <v>265</v>
      </c>
      <c r="C29" t="s">
        <v>265</v>
      </c>
      <c r="D29" t="s">
        <v>5</v>
      </c>
      <c r="E29">
        <v>0</v>
      </c>
      <c r="F29">
        <v>0</v>
      </c>
      <c r="G29">
        <v>1</v>
      </c>
      <c r="H29">
        <v>0</v>
      </c>
      <c r="I29" t="s">
        <v>23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8</v>
      </c>
      <c r="AE29">
        <v>497</v>
      </c>
      <c r="AF29">
        <v>34.804013156453273</v>
      </c>
      <c r="AG29">
        <v>24.474696445768739</v>
      </c>
      <c r="AH29">
        <f>28.505675751544*1</f>
        <v>28.505675751544</v>
      </c>
      <c r="AI29">
        <f>9.50189191723184*1</f>
        <v>9.5018919172318395</v>
      </c>
      <c r="AJ29">
        <v>1</v>
      </c>
      <c r="AK29">
        <v>1</v>
      </c>
      <c r="AL29">
        <v>1</v>
      </c>
      <c r="AN29" t="s">
        <v>22</v>
      </c>
      <c r="AO29">
        <f>SUMPRODUCT(Table1[Selected],Table1[LUT])</f>
        <v>2</v>
      </c>
      <c r="AP29">
        <v>3</v>
      </c>
    </row>
    <row r="30" spans="1:42" hidden="1" x14ac:dyDescent="0.2">
      <c r="A30" t="s">
        <v>103</v>
      </c>
      <c r="B30" t="s">
        <v>104</v>
      </c>
      <c r="C30" t="s">
        <v>104</v>
      </c>
      <c r="D30" t="s">
        <v>5</v>
      </c>
      <c r="E30">
        <v>0</v>
      </c>
      <c r="F30">
        <v>0</v>
      </c>
      <c r="G30">
        <v>1</v>
      </c>
      <c r="H30">
        <v>0</v>
      </c>
      <c r="I30" t="s">
        <v>13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5.4</v>
      </c>
      <c r="AE30">
        <v>101</v>
      </c>
      <c r="AF30">
        <v>22.379543219485289</v>
      </c>
      <c r="AG30">
        <v>23.059285388975301</v>
      </c>
      <c r="AH30">
        <f>28.3936663776294*1</f>
        <v>28.393666377629401</v>
      </c>
      <c r="AI30">
        <f>4.88879988392628*1</f>
        <v>4.8887998839262803</v>
      </c>
      <c r="AJ30">
        <v>1</v>
      </c>
      <c r="AK30">
        <v>0</v>
      </c>
      <c r="AL30">
        <v>0</v>
      </c>
      <c r="AN30" t="s">
        <v>23</v>
      </c>
      <c r="AO30">
        <f>SUMPRODUCT(Table1[Selected],Table1[MCI])</f>
        <v>3</v>
      </c>
      <c r="AP30">
        <v>3</v>
      </c>
    </row>
    <row r="31" spans="1:42" hidden="1" x14ac:dyDescent="0.2">
      <c r="A31" t="s">
        <v>105</v>
      </c>
      <c r="B31" t="s">
        <v>106</v>
      </c>
      <c r="C31" t="s">
        <v>106</v>
      </c>
      <c r="D31" t="s">
        <v>4</v>
      </c>
      <c r="E31">
        <v>0</v>
      </c>
      <c r="F31">
        <v>1</v>
      </c>
      <c r="G31">
        <v>0</v>
      </c>
      <c r="H31">
        <v>0</v>
      </c>
      <c r="I31" t="s">
        <v>14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4.5</v>
      </c>
      <c r="AE31">
        <v>122</v>
      </c>
      <c r="AF31">
        <v>14.709677419354829</v>
      </c>
      <c r="AG31">
        <v>15.25</v>
      </c>
      <c r="AH31">
        <f>16.6667333859749*1</f>
        <v>16.666733385974901</v>
      </c>
      <c r="AI31">
        <f>5.55557779532499*1</f>
        <v>5.5555777953249903</v>
      </c>
      <c r="AJ31">
        <v>1</v>
      </c>
      <c r="AK31">
        <v>0</v>
      </c>
      <c r="AL31">
        <v>0</v>
      </c>
      <c r="AN31" t="s">
        <v>24</v>
      </c>
      <c r="AO31">
        <f>SUMPRODUCT(Table1[Selected],Table1[MUN])</f>
        <v>0</v>
      </c>
      <c r="AP31">
        <v>3</v>
      </c>
    </row>
    <row r="32" spans="1:42" hidden="1" x14ac:dyDescent="0.2">
      <c r="A32" t="s">
        <v>107</v>
      </c>
      <c r="B32" t="s">
        <v>108</v>
      </c>
      <c r="C32" t="s">
        <v>108</v>
      </c>
      <c r="D32" t="s">
        <v>3</v>
      </c>
      <c r="E32">
        <v>1</v>
      </c>
      <c r="F32">
        <v>0</v>
      </c>
      <c r="G32">
        <v>0</v>
      </c>
      <c r="H32">
        <v>0</v>
      </c>
      <c r="I32" t="s">
        <v>14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4.5</v>
      </c>
      <c r="AE32">
        <v>127</v>
      </c>
      <c r="AF32">
        <v>18.282458628665999</v>
      </c>
      <c r="AG32">
        <v>16.5</v>
      </c>
      <c r="AH32">
        <f>18.03285907335*1</f>
        <v>18.03285907335</v>
      </c>
      <c r="AI32">
        <f>6.01095302445*1</f>
        <v>6.01095302445</v>
      </c>
      <c r="AJ32">
        <v>1</v>
      </c>
      <c r="AK32">
        <v>0</v>
      </c>
      <c r="AL32">
        <v>0</v>
      </c>
      <c r="AN32" t="s">
        <v>25</v>
      </c>
      <c r="AO32">
        <f>SUMPRODUCT(Table1[Selected],Table1[NEW])</f>
        <v>0</v>
      </c>
      <c r="AP32">
        <v>3</v>
      </c>
    </row>
    <row r="33" spans="1:42" hidden="1" x14ac:dyDescent="0.2">
      <c r="A33" t="s">
        <v>109</v>
      </c>
      <c r="B33" t="s">
        <v>110</v>
      </c>
      <c r="C33" t="s">
        <v>110</v>
      </c>
      <c r="D33" t="s">
        <v>5</v>
      </c>
      <c r="E33">
        <v>0</v>
      </c>
      <c r="F33">
        <v>0</v>
      </c>
      <c r="G33">
        <v>1</v>
      </c>
      <c r="H33">
        <v>0</v>
      </c>
      <c r="I33" t="s">
        <v>14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5.3</v>
      </c>
      <c r="AE33">
        <v>131</v>
      </c>
      <c r="AF33">
        <v>15.471384752917929</v>
      </c>
      <c r="AG33">
        <v>16.102941176470591</v>
      </c>
      <c r="AH33">
        <f>17.598913266772*1</f>
        <v>17.598913266772001</v>
      </c>
      <c r="AI33">
        <f>5.86630442225735*1</f>
        <v>5.8663044222573504</v>
      </c>
      <c r="AJ33">
        <v>1</v>
      </c>
      <c r="AK33">
        <v>0</v>
      </c>
      <c r="AL33">
        <v>0</v>
      </c>
      <c r="AN33" t="s">
        <v>26</v>
      </c>
      <c r="AO33">
        <f>SUMPRODUCT(Table1[Selected],Table1[NFO])</f>
        <v>0</v>
      </c>
      <c r="AP33">
        <v>3</v>
      </c>
    </row>
    <row r="34" spans="1:42" hidden="1" x14ac:dyDescent="0.2">
      <c r="A34" t="s">
        <v>111</v>
      </c>
      <c r="B34" t="s">
        <v>112</v>
      </c>
      <c r="C34" t="s">
        <v>112</v>
      </c>
      <c r="D34" t="s">
        <v>5</v>
      </c>
      <c r="E34">
        <v>0</v>
      </c>
      <c r="F34">
        <v>0</v>
      </c>
      <c r="G34">
        <v>1</v>
      </c>
      <c r="H34">
        <v>0</v>
      </c>
      <c r="I34" t="s">
        <v>14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5.4</v>
      </c>
      <c r="AE34">
        <v>132</v>
      </c>
      <c r="AF34">
        <v>19.80618470610662</v>
      </c>
      <c r="AG34">
        <v>16.765979561446919</v>
      </c>
      <c r="AH34">
        <f>18.3235482823175*1</f>
        <v>18.3235482823175</v>
      </c>
      <c r="AI34">
        <f>6.10784942743916*1</f>
        <v>6.1078494274391604</v>
      </c>
      <c r="AJ34">
        <v>1</v>
      </c>
      <c r="AK34">
        <v>0</v>
      </c>
      <c r="AL34">
        <v>0</v>
      </c>
      <c r="AN34" t="s">
        <v>27</v>
      </c>
      <c r="AO34">
        <f>SUMPRODUCT(Table1[Selected],Table1[SHU])</f>
        <v>0</v>
      </c>
      <c r="AP34">
        <v>3</v>
      </c>
    </row>
    <row r="35" spans="1:42" hidden="1" x14ac:dyDescent="0.2">
      <c r="A35" t="s">
        <v>113</v>
      </c>
      <c r="B35" t="s">
        <v>114</v>
      </c>
      <c r="C35" t="s">
        <v>114</v>
      </c>
      <c r="D35" t="s">
        <v>5</v>
      </c>
      <c r="E35">
        <v>0</v>
      </c>
      <c r="F35">
        <v>0</v>
      </c>
      <c r="G35">
        <v>1</v>
      </c>
      <c r="H35">
        <v>0</v>
      </c>
      <c r="I35" t="s">
        <v>14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4.7</v>
      </c>
      <c r="AE35">
        <v>133</v>
      </c>
      <c r="AF35">
        <v>10.696676347313099</v>
      </c>
      <c r="AG35">
        <v>11.7</v>
      </c>
      <c r="AH35">
        <f>12.7869364338299*1</f>
        <v>12.786936433829901</v>
      </c>
      <c r="AI35">
        <f>4.26231214461*1</f>
        <v>4.2623121446100001</v>
      </c>
      <c r="AJ35">
        <v>1</v>
      </c>
      <c r="AK35">
        <v>0</v>
      </c>
      <c r="AL35">
        <v>0</v>
      </c>
      <c r="AN35" t="s">
        <v>28</v>
      </c>
      <c r="AO35">
        <f>SUMPRODUCT(Table1[Selected],Table1[TOT])</f>
        <v>1</v>
      </c>
      <c r="AP35">
        <v>3</v>
      </c>
    </row>
    <row r="36" spans="1:42" hidden="1" x14ac:dyDescent="0.2">
      <c r="A36" t="s">
        <v>115</v>
      </c>
      <c r="B36" t="s">
        <v>116</v>
      </c>
      <c r="C36" t="s">
        <v>116</v>
      </c>
      <c r="D36" t="s">
        <v>5</v>
      </c>
      <c r="E36">
        <v>0</v>
      </c>
      <c r="F36">
        <v>0</v>
      </c>
      <c r="G36">
        <v>1</v>
      </c>
      <c r="H36">
        <v>0</v>
      </c>
      <c r="I36" t="s">
        <v>14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6.8</v>
      </c>
      <c r="AE36">
        <v>134</v>
      </c>
      <c r="AF36">
        <v>24.211764705882349</v>
      </c>
      <c r="AG36">
        <v>20.480982801386649</v>
      </c>
      <c r="AH36">
        <f>22.3836773661279*1</f>
        <v>22.383677366127898</v>
      </c>
      <c r="AI36">
        <f>7.46122605187915*1</f>
        <v>7.4612260518791498</v>
      </c>
      <c r="AJ36">
        <v>1</v>
      </c>
      <c r="AK36">
        <v>0</v>
      </c>
      <c r="AL36">
        <v>0</v>
      </c>
      <c r="AN36" t="s">
        <v>29</v>
      </c>
      <c r="AO36">
        <f>SUMPRODUCT(Table1[Selected],Table1[WHU])</f>
        <v>1</v>
      </c>
      <c r="AP36">
        <v>3</v>
      </c>
    </row>
    <row r="37" spans="1:42" hidden="1" x14ac:dyDescent="0.2">
      <c r="A37" t="s">
        <v>117</v>
      </c>
      <c r="B37" t="s">
        <v>118</v>
      </c>
      <c r="C37" t="s">
        <v>118</v>
      </c>
      <c r="D37" t="s">
        <v>5</v>
      </c>
      <c r="E37">
        <v>0</v>
      </c>
      <c r="F37">
        <v>0</v>
      </c>
      <c r="G37">
        <v>1</v>
      </c>
      <c r="H37">
        <v>0</v>
      </c>
      <c r="I37" t="s">
        <v>14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5.3</v>
      </c>
      <c r="AE37">
        <v>136</v>
      </c>
      <c r="AF37">
        <v>17.756756756756769</v>
      </c>
      <c r="AG37">
        <v>17.327586206896552</v>
      </c>
      <c r="AH37">
        <f>18.9373284939568*1</f>
        <v>18.937328493956802</v>
      </c>
      <c r="AI37">
        <f>6.31244283131896*1</f>
        <v>6.3124428313189602</v>
      </c>
      <c r="AJ37">
        <v>1</v>
      </c>
      <c r="AK37">
        <v>0</v>
      </c>
      <c r="AL37">
        <v>0</v>
      </c>
      <c r="AN37" t="s">
        <v>30</v>
      </c>
      <c r="AO37">
        <f>SUMPRODUCT(Table1[Selected],Table1[WOL])</f>
        <v>0</v>
      </c>
      <c r="AP37">
        <v>3</v>
      </c>
    </row>
    <row r="38" spans="1:42" hidden="1" x14ac:dyDescent="0.2">
      <c r="A38" t="s">
        <v>119</v>
      </c>
      <c r="B38" t="s">
        <v>120</v>
      </c>
      <c r="C38" t="s">
        <v>120</v>
      </c>
      <c r="D38" t="s">
        <v>4</v>
      </c>
      <c r="E38">
        <v>0</v>
      </c>
      <c r="F38">
        <v>1</v>
      </c>
      <c r="G38">
        <v>0</v>
      </c>
      <c r="H38">
        <v>0</v>
      </c>
      <c r="I38" t="s">
        <v>14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4.5999999999999996</v>
      </c>
      <c r="AE38">
        <v>138</v>
      </c>
      <c r="AF38">
        <v>18.44444444444445</v>
      </c>
      <c r="AG38">
        <v>18.726144483826499</v>
      </c>
      <c r="AH38">
        <f>20.4658136038808*1</f>
        <v>20.4658136038808</v>
      </c>
      <c r="AI38">
        <f>6.86334346338439*1</f>
        <v>6.8633434633843899</v>
      </c>
      <c r="AJ38">
        <v>1</v>
      </c>
      <c r="AK38">
        <v>0</v>
      </c>
      <c r="AL38">
        <v>0</v>
      </c>
    </row>
    <row r="39" spans="1:42" hidden="1" x14ac:dyDescent="0.2">
      <c r="A39" t="s">
        <v>121</v>
      </c>
      <c r="B39" t="s">
        <v>122</v>
      </c>
      <c r="C39" t="s">
        <v>122</v>
      </c>
      <c r="D39" t="s">
        <v>6</v>
      </c>
      <c r="E39">
        <v>0</v>
      </c>
      <c r="F39">
        <v>0</v>
      </c>
      <c r="G39">
        <v>0</v>
      </c>
      <c r="H39">
        <v>1</v>
      </c>
      <c r="I39" t="s">
        <v>14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5.6</v>
      </c>
      <c r="AE39">
        <v>144</v>
      </c>
      <c r="AF39">
        <v>17.781290543645881</v>
      </c>
      <c r="AG39">
        <v>18.344075979557061</v>
      </c>
      <c r="AH39">
        <f>20.0482507254652*1</f>
        <v>20.048250725465198</v>
      </c>
      <c r="AI39">
        <f>6.91993223157549*1</f>
        <v>6.9199322315754896</v>
      </c>
      <c r="AJ39">
        <v>1</v>
      </c>
      <c r="AK39">
        <v>0</v>
      </c>
      <c r="AL39">
        <v>0</v>
      </c>
    </row>
    <row r="40" spans="1:42" hidden="1" x14ac:dyDescent="0.2">
      <c r="A40" t="s">
        <v>123</v>
      </c>
      <c r="B40" t="s">
        <v>124</v>
      </c>
      <c r="C40" t="s">
        <v>124</v>
      </c>
      <c r="D40" t="s">
        <v>6</v>
      </c>
      <c r="E40">
        <v>0</v>
      </c>
      <c r="F40">
        <v>0</v>
      </c>
      <c r="G40">
        <v>0</v>
      </c>
      <c r="H40">
        <v>1</v>
      </c>
      <c r="I40" t="s">
        <v>14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4.9000000000000004</v>
      </c>
      <c r="AE40">
        <v>147</v>
      </c>
      <c r="AF40">
        <v>16.044307309289572</v>
      </c>
      <c r="AG40">
        <v>17.895652173913049</v>
      </c>
      <c r="AH40">
        <f>19.5581681016886*1</f>
        <v>19.558168101688601</v>
      </c>
      <c r="AI40">
        <f>6.51938936722956*1</f>
        <v>6.51938936722956</v>
      </c>
      <c r="AJ40">
        <v>1</v>
      </c>
      <c r="AK40">
        <v>0</v>
      </c>
      <c r="AL40">
        <v>0</v>
      </c>
    </row>
    <row r="41" spans="1:42" hidden="1" x14ac:dyDescent="0.2">
      <c r="A41" t="s">
        <v>125</v>
      </c>
      <c r="B41" t="s">
        <v>126</v>
      </c>
      <c r="C41" t="s">
        <v>126</v>
      </c>
      <c r="D41" t="s">
        <v>5</v>
      </c>
      <c r="E41">
        <v>0</v>
      </c>
      <c r="F41">
        <v>0</v>
      </c>
      <c r="G41">
        <v>1</v>
      </c>
      <c r="H41">
        <v>0</v>
      </c>
      <c r="I41" t="s">
        <v>15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5</v>
      </c>
      <c r="AE41">
        <v>158</v>
      </c>
      <c r="AF41">
        <v>16.47058823529412</v>
      </c>
      <c r="AG41">
        <v>15.44400891949336</v>
      </c>
      <c r="AH41">
        <f>15.978521927462*1</f>
        <v>15.978521927461999</v>
      </c>
      <c r="AI41">
        <f>3.1957654085103*1</f>
        <v>3.1957654085103</v>
      </c>
      <c r="AJ41">
        <v>1</v>
      </c>
      <c r="AK41">
        <v>0</v>
      </c>
      <c r="AL41">
        <v>0</v>
      </c>
    </row>
    <row r="42" spans="1:42" hidden="1" x14ac:dyDescent="0.2">
      <c r="A42" t="s">
        <v>127</v>
      </c>
      <c r="B42" t="s">
        <v>128</v>
      </c>
      <c r="C42" t="s">
        <v>128</v>
      </c>
      <c r="D42" t="s">
        <v>5</v>
      </c>
      <c r="E42">
        <v>0</v>
      </c>
      <c r="F42">
        <v>0</v>
      </c>
      <c r="G42">
        <v>1</v>
      </c>
      <c r="H42">
        <v>0</v>
      </c>
      <c r="I42" t="s">
        <v>15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4.9000000000000004</v>
      </c>
      <c r="AE42">
        <v>168</v>
      </c>
      <c r="AF42">
        <v>9.4384248911802224</v>
      </c>
      <c r="AG42">
        <v>12.45192307692308</v>
      </c>
      <c r="AH42">
        <f>12.8828788342546*1</f>
        <v>12.882878834254599</v>
      </c>
      <c r="AI42">
        <f>2.57657565707426*1</f>
        <v>2.57657565707426</v>
      </c>
      <c r="AJ42">
        <v>1</v>
      </c>
      <c r="AK42">
        <v>0</v>
      </c>
      <c r="AL42">
        <v>0</v>
      </c>
    </row>
    <row r="43" spans="1:42" hidden="1" x14ac:dyDescent="0.2">
      <c r="A43" t="s">
        <v>129</v>
      </c>
      <c r="B43" t="s">
        <v>130</v>
      </c>
      <c r="C43" t="s">
        <v>131</v>
      </c>
      <c r="D43" t="s">
        <v>5</v>
      </c>
      <c r="E43">
        <v>0</v>
      </c>
      <c r="F43">
        <v>0</v>
      </c>
      <c r="G43">
        <v>1</v>
      </c>
      <c r="H43">
        <v>0</v>
      </c>
      <c r="I43" t="s">
        <v>15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6.4</v>
      </c>
      <c r="AE43">
        <v>169</v>
      </c>
      <c r="AF43">
        <v>22.352541524293791</v>
      </c>
      <c r="AG43">
        <v>15.85227272727273</v>
      </c>
      <c r="AH43">
        <f>16.4009184179289*1</f>
        <v>16.400918417928899</v>
      </c>
      <c r="AI43">
        <f>3.28018368358579*1</f>
        <v>3.2801836835857898</v>
      </c>
      <c r="AJ43">
        <v>1</v>
      </c>
      <c r="AK43">
        <v>0</v>
      </c>
      <c r="AL43">
        <v>0</v>
      </c>
    </row>
    <row r="44" spans="1:42" hidden="1" x14ac:dyDescent="0.2">
      <c r="A44" t="s">
        <v>132</v>
      </c>
      <c r="B44" t="s">
        <v>133</v>
      </c>
      <c r="C44" t="s">
        <v>132</v>
      </c>
      <c r="D44" t="s">
        <v>6</v>
      </c>
      <c r="E44">
        <v>0</v>
      </c>
      <c r="F44">
        <v>0</v>
      </c>
      <c r="G44">
        <v>0</v>
      </c>
      <c r="H44">
        <v>1</v>
      </c>
      <c r="I44" t="s">
        <v>15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5.4</v>
      </c>
      <c r="AE44">
        <v>170</v>
      </c>
      <c r="AF44">
        <v>23.41288861948664</v>
      </c>
      <c r="AG44">
        <v>12.74390243902439</v>
      </c>
      <c r="AH44">
        <f>13.1849705020472*1</f>
        <v>13.1849705020472</v>
      </c>
      <c r="AI44">
        <f>2.63699283265345*1</f>
        <v>2.63699283265345</v>
      </c>
      <c r="AJ44">
        <v>1</v>
      </c>
      <c r="AK44">
        <v>0</v>
      </c>
      <c r="AL44">
        <v>0</v>
      </c>
    </row>
    <row r="45" spans="1:42" hidden="1" x14ac:dyDescent="0.2">
      <c r="A45" t="s">
        <v>134</v>
      </c>
      <c r="B45" t="s">
        <v>135</v>
      </c>
      <c r="C45" t="s">
        <v>135</v>
      </c>
      <c r="D45" t="s">
        <v>5</v>
      </c>
      <c r="E45">
        <v>0</v>
      </c>
      <c r="F45">
        <v>0</v>
      </c>
      <c r="G45">
        <v>1</v>
      </c>
      <c r="H45">
        <v>0</v>
      </c>
      <c r="I45" t="s">
        <v>15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6.4</v>
      </c>
      <c r="AE45">
        <v>178</v>
      </c>
      <c r="AF45">
        <v>14.474268580177259</v>
      </c>
      <c r="AG45">
        <v>21.255501568410899</v>
      </c>
      <c r="AH45">
        <f>21.991144593781*1</f>
        <v>21.991144593781002</v>
      </c>
      <c r="AI45">
        <f>4.39828485161383*1</f>
        <v>4.3982848516138304</v>
      </c>
      <c r="AJ45">
        <v>1</v>
      </c>
      <c r="AK45">
        <v>0</v>
      </c>
      <c r="AL45">
        <v>0</v>
      </c>
    </row>
    <row r="46" spans="1:42" x14ac:dyDescent="0.2">
      <c r="A46" t="s">
        <v>243</v>
      </c>
      <c r="B46" t="s">
        <v>244</v>
      </c>
      <c r="C46" t="s">
        <v>244</v>
      </c>
      <c r="D46" t="s">
        <v>6</v>
      </c>
      <c r="E46">
        <v>0</v>
      </c>
      <c r="F46">
        <v>0</v>
      </c>
      <c r="G46">
        <v>0</v>
      </c>
      <c r="H46">
        <v>1</v>
      </c>
      <c r="I46" t="s">
        <v>22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5</v>
      </c>
      <c r="AE46">
        <v>455</v>
      </c>
      <c r="AF46">
        <v>30.875608112397519</v>
      </c>
      <c r="AG46">
        <v>17.625</v>
      </c>
      <c r="AH46">
        <f>28.0265256860559*1</f>
        <v>28.026525686055901</v>
      </c>
      <c r="AI46">
        <f>9.34217525621942*1</f>
        <v>9.34217525621942</v>
      </c>
      <c r="AJ46">
        <v>1</v>
      </c>
      <c r="AK46">
        <v>0</v>
      </c>
      <c r="AL46">
        <v>1</v>
      </c>
    </row>
    <row r="47" spans="1:42" hidden="1" x14ac:dyDescent="0.2">
      <c r="A47" t="s">
        <v>138</v>
      </c>
      <c r="B47" t="s">
        <v>139</v>
      </c>
      <c r="C47" t="s">
        <v>139</v>
      </c>
      <c r="D47" t="s">
        <v>6</v>
      </c>
      <c r="E47">
        <v>0</v>
      </c>
      <c r="F47">
        <v>0</v>
      </c>
      <c r="G47">
        <v>0</v>
      </c>
      <c r="H47">
        <v>1</v>
      </c>
      <c r="I47" t="s">
        <v>15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5.7</v>
      </c>
      <c r="AE47">
        <v>188</v>
      </c>
      <c r="AF47">
        <v>15.46484200920395</v>
      </c>
      <c r="AG47">
        <v>16.085676995693099</v>
      </c>
      <c r="AH47">
        <f>16.6423971005584*1</f>
        <v>16.642397100558401</v>
      </c>
      <c r="AI47">
        <f>3.26283868382861*1</f>
        <v>3.2628386838286101</v>
      </c>
      <c r="AJ47">
        <v>1</v>
      </c>
      <c r="AK47">
        <v>0</v>
      </c>
      <c r="AL47">
        <v>0</v>
      </c>
    </row>
    <row r="48" spans="1:42" hidden="1" x14ac:dyDescent="0.2">
      <c r="A48" t="s">
        <v>140</v>
      </c>
      <c r="B48" t="s">
        <v>141</v>
      </c>
      <c r="C48" t="s">
        <v>141</v>
      </c>
      <c r="D48" t="s">
        <v>5</v>
      </c>
      <c r="E48">
        <v>0</v>
      </c>
      <c r="F48">
        <v>0</v>
      </c>
      <c r="G48">
        <v>1</v>
      </c>
      <c r="H48">
        <v>0</v>
      </c>
      <c r="I48" t="s">
        <v>16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4.7</v>
      </c>
      <c r="AE48">
        <v>206</v>
      </c>
      <c r="AF48">
        <v>12.34579161179915</v>
      </c>
      <c r="AG48">
        <v>13.11643835616438</v>
      </c>
      <c r="AH48">
        <f>14.1227990056227*1</f>
        <v>14.122799005622699</v>
      </c>
      <c r="AI48">
        <f>2.75254333774892*1</f>
        <v>2.7525433377489201</v>
      </c>
      <c r="AJ48">
        <v>1</v>
      </c>
      <c r="AK48">
        <v>0</v>
      </c>
      <c r="AL48">
        <v>0</v>
      </c>
    </row>
    <row r="49" spans="1:38" hidden="1" x14ac:dyDescent="0.2">
      <c r="A49" t="s">
        <v>142</v>
      </c>
      <c r="B49" t="s">
        <v>143</v>
      </c>
      <c r="C49" t="s">
        <v>143</v>
      </c>
      <c r="D49" t="s">
        <v>4</v>
      </c>
      <c r="E49">
        <v>0</v>
      </c>
      <c r="F49">
        <v>1</v>
      </c>
      <c r="G49">
        <v>0</v>
      </c>
      <c r="H49">
        <v>0</v>
      </c>
      <c r="I49" t="s">
        <v>16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4.4000000000000004</v>
      </c>
      <c r="AE49">
        <v>218</v>
      </c>
      <c r="AF49">
        <v>8.0434782608695645</v>
      </c>
      <c r="AG49">
        <v>10.694444444444439</v>
      </c>
      <c r="AH49">
        <f>10.848992017949*1</f>
        <v>10.848992017949</v>
      </c>
      <c r="AI49">
        <f>2.16979840358981*1</f>
        <v>2.1697984035898101</v>
      </c>
      <c r="AJ49">
        <v>1</v>
      </c>
      <c r="AK49">
        <v>0</v>
      </c>
      <c r="AL49">
        <v>0</v>
      </c>
    </row>
    <row r="50" spans="1:38" hidden="1" x14ac:dyDescent="0.2">
      <c r="A50" t="s">
        <v>144</v>
      </c>
      <c r="B50" t="s">
        <v>145</v>
      </c>
      <c r="C50" t="s">
        <v>145</v>
      </c>
      <c r="D50" t="s">
        <v>6</v>
      </c>
      <c r="E50">
        <v>0</v>
      </c>
      <c r="F50">
        <v>0</v>
      </c>
      <c r="G50">
        <v>0</v>
      </c>
      <c r="H50">
        <v>1</v>
      </c>
      <c r="I50" t="s">
        <v>16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5.3</v>
      </c>
      <c r="AE50">
        <v>232</v>
      </c>
      <c r="AF50">
        <v>15.45454545454545</v>
      </c>
      <c r="AG50">
        <v>13.502269289301161</v>
      </c>
      <c r="AH50">
        <f>15.4422692674659*1</f>
        <v>15.4422692674659</v>
      </c>
      <c r="AI50">
        <f>3.08845958534354*1</f>
        <v>3.0884595853435401</v>
      </c>
      <c r="AJ50">
        <v>1</v>
      </c>
      <c r="AK50">
        <v>0</v>
      </c>
      <c r="AL50">
        <v>0</v>
      </c>
    </row>
    <row r="51" spans="1:38" hidden="1" x14ac:dyDescent="0.2">
      <c r="A51" t="s">
        <v>146</v>
      </c>
      <c r="B51" t="s">
        <v>147</v>
      </c>
      <c r="C51" t="s">
        <v>147</v>
      </c>
      <c r="D51" t="s">
        <v>3</v>
      </c>
      <c r="E51">
        <v>1</v>
      </c>
      <c r="F51">
        <v>0</v>
      </c>
      <c r="G51">
        <v>0</v>
      </c>
      <c r="H51">
        <v>0</v>
      </c>
      <c r="I51" t="s">
        <v>16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4.5</v>
      </c>
      <c r="AE51">
        <v>233</v>
      </c>
      <c r="AF51">
        <v>13.816836131785021</v>
      </c>
      <c r="AG51">
        <v>13.67647058823529</v>
      </c>
      <c r="AH51">
        <f>15.0366015779469*1</f>
        <v>15.0366015779469</v>
      </c>
      <c r="AI51">
        <f>2.89577931948935*1</f>
        <v>2.8957793194893502</v>
      </c>
      <c r="AJ51">
        <v>1</v>
      </c>
      <c r="AK51">
        <v>0</v>
      </c>
      <c r="AL51">
        <v>0</v>
      </c>
    </row>
    <row r="52" spans="1:38" hidden="1" x14ac:dyDescent="0.2">
      <c r="A52" t="s">
        <v>148</v>
      </c>
      <c r="B52" t="s">
        <v>149</v>
      </c>
      <c r="C52" t="s">
        <v>149</v>
      </c>
      <c r="D52" t="s">
        <v>4</v>
      </c>
      <c r="E52">
        <v>0</v>
      </c>
      <c r="F52">
        <v>1</v>
      </c>
      <c r="G52">
        <v>0</v>
      </c>
      <c r="H52">
        <v>0</v>
      </c>
      <c r="I52" t="s">
        <v>17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4.7</v>
      </c>
      <c r="AE52">
        <v>258</v>
      </c>
      <c r="AF52">
        <v>11.02702702702703</v>
      </c>
      <c r="AG52">
        <v>11.071428571428569</v>
      </c>
      <c r="AH52">
        <f>10.0662882093729*1</f>
        <v>10.0662882093729</v>
      </c>
      <c r="AI52">
        <f>2.51657205234324*1</f>
        <v>2.51657205234324</v>
      </c>
      <c r="AJ52">
        <v>1</v>
      </c>
      <c r="AK52">
        <v>0</v>
      </c>
      <c r="AL52">
        <v>0</v>
      </c>
    </row>
    <row r="53" spans="1:38" hidden="1" x14ac:dyDescent="0.2">
      <c r="A53" t="s">
        <v>150</v>
      </c>
      <c r="B53" t="s">
        <v>151</v>
      </c>
      <c r="C53" t="s">
        <v>150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17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4.8</v>
      </c>
      <c r="AE53">
        <v>260</v>
      </c>
      <c r="AF53">
        <v>10.5945945945946</v>
      </c>
      <c r="AG53">
        <v>10.86050275423214</v>
      </c>
      <c r="AH53">
        <f>9.6715318090054*1</f>
        <v>9.6715318090053994</v>
      </c>
      <c r="AI53">
        <f>2.41788295225135*1</f>
        <v>2.4178829522513499</v>
      </c>
      <c r="AJ53">
        <v>1</v>
      </c>
      <c r="AK53">
        <v>0</v>
      </c>
      <c r="AL53">
        <v>0</v>
      </c>
    </row>
    <row r="54" spans="1:38" hidden="1" x14ac:dyDescent="0.2">
      <c r="A54" t="s">
        <v>152</v>
      </c>
      <c r="B54" t="s">
        <v>153</v>
      </c>
      <c r="C54" t="s">
        <v>153</v>
      </c>
      <c r="D54" t="s">
        <v>5</v>
      </c>
      <c r="E54">
        <v>0</v>
      </c>
      <c r="F54">
        <v>0</v>
      </c>
      <c r="G54">
        <v>1</v>
      </c>
      <c r="H54">
        <v>0</v>
      </c>
      <c r="I54" t="s">
        <v>17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5.4</v>
      </c>
      <c r="AE54">
        <v>262</v>
      </c>
      <c r="AF54">
        <v>12.591349515482751</v>
      </c>
      <c r="AG54">
        <v>11.304347826086961</v>
      </c>
      <c r="AH54">
        <f>11.4943178117856*1</f>
        <v>11.494317811785599</v>
      </c>
      <c r="AI54">
        <f>5.26068110252301*1</f>
        <v>5.2606811025230096</v>
      </c>
      <c r="AJ54">
        <v>1</v>
      </c>
      <c r="AK54">
        <v>0</v>
      </c>
      <c r="AL54">
        <v>0</v>
      </c>
    </row>
    <row r="55" spans="1:38" hidden="1" x14ac:dyDescent="0.2">
      <c r="A55" t="s">
        <v>154</v>
      </c>
      <c r="B55" t="s">
        <v>155</v>
      </c>
      <c r="C55" t="s">
        <v>155</v>
      </c>
      <c r="D55" t="s">
        <v>4</v>
      </c>
      <c r="E55">
        <v>0</v>
      </c>
      <c r="F55">
        <v>1</v>
      </c>
      <c r="G55">
        <v>0</v>
      </c>
      <c r="H55">
        <v>0</v>
      </c>
      <c r="I55" t="s">
        <v>17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4.2</v>
      </c>
      <c r="AE55">
        <v>263</v>
      </c>
      <c r="AF55">
        <v>10.58823529411765</v>
      </c>
      <c r="AG55">
        <v>11</v>
      </c>
      <c r="AH55">
        <f>9.66572656782352*1</f>
        <v>9.6657265678235191</v>
      </c>
      <c r="AI55">
        <f>2.41643164195588*1</f>
        <v>2.4164316419558798</v>
      </c>
      <c r="AJ55">
        <v>1</v>
      </c>
      <c r="AK55">
        <v>0</v>
      </c>
      <c r="AL55">
        <v>0</v>
      </c>
    </row>
    <row r="56" spans="1:38" hidden="1" x14ac:dyDescent="0.2">
      <c r="A56" t="s">
        <v>156</v>
      </c>
      <c r="B56" t="s">
        <v>157</v>
      </c>
      <c r="C56" t="s">
        <v>157</v>
      </c>
      <c r="D56" t="s">
        <v>5</v>
      </c>
      <c r="E56">
        <v>0</v>
      </c>
      <c r="F56">
        <v>0</v>
      </c>
      <c r="G56">
        <v>1</v>
      </c>
      <c r="H56">
        <v>0</v>
      </c>
      <c r="I56" t="s">
        <v>17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6.3</v>
      </c>
      <c r="AE56">
        <v>267</v>
      </c>
      <c r="AF56">
        <v>10.25</v>
      </c>
      <c r="AG56">
        <v>10.58333333333333</v>
      </c>
      <c r="AH56">
        <f>9.3569603024625*1</f>
        <v>9.3569603024625003</v>
      </c>
      <c r="AI56">
        <f>2.33924007561562*1</f>
        <v>2.3392400756156202</v>
      </c>
      <c r="AJ56">
        <v>1</v>
      </c>
      <c r="AK56">
        <v>0</v>
      </c>
      <c r="AL56">
        <v>0</v>
      </c>
    </row>
    <row r="57" spans="1:38" hidden="1" x14ac:dyDescent="0.2">
      <c r="A57" t="s">
        <v>158</v>
      </c>
      <c r="B57" t="s">
        <v>159</v>
      </c>
      <c r="C57" t="s">
        <v>160</v>
      </c>
      <c r="D57" t="s">
        <v>6</v>
      </c>
      <c r="E57">
        <v>0</v>
      </c>
      <c r="F57">
        <v>0</v>
      </c>
      <c r="G57">
        <v>0</v>
      </c>
      <c r="H57">
        <v>1</v>
      </c>
      <c r="I57" t="s">
        <v>17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6.8</v>
      </c>
      <c r="AE57">
        <v>268</v>
      </c>
      <c r="AF57">
        <v>12.952380952380951</v>
      </c>
      <c r="AG57">
        <v>13.934546619138951</v>
      </c>
      <c r="AH57">
        <f>11.8238940871999*1</f>
        <v>11.8238940871999</v>
      </c>
      <c r="AI57">
        <f>2.95597352179999*1</f>
        <v>2.9559735217999901</v>
      </c>
      <c r="AJ57">
        <v>1</v>
      </c>
      <c r="AK57">
        <v>0</v>
      </c>
      <c r="AL57">
        <v>0</v>
      </c>
    </row>
    <row r="58" spans="1:38" x14ac:dyDescent="0.2">
      <c r="A58" t="s">
        <v>237</v>
      </c>
      <c r="B58" t="s">
        <v>238</v>
      </c>
      <c r="C58" t="s">
        <v>237</v>
      </c>
      <c r="D58" t="s">
        <v>4</v>
      </c>
      <c r="E58">
        <v>0</v>
      </c>
      <c r="F58">
        <v>1</v>
      </c>
      <c r="G58">
        <v>0</v>
      </c>
      <c r="H58">
        <v>0</v>
      </c>
      <c r="I58" t="s">
        <v>21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6.4</v>
      </c>
      <c r="AE58">
        <v>425</v>
      </c>
      <c r="AF58">
        <v>23.650306748466249</v>
      </c>
      <c r="AG58">
        <v>20.974509829618551</v>
      </c>
      <c r="AH58">
        <f>22.2945705438778*1</f>
        <v>22.2945705438778</v>
      </c>
      <c r="AI58">
        <f>8.99500829962295*1</f>
        <v>8.9950082996229508</v>
      </c>
      <c r="AJ58">
        <v>1</v>
      </c>
      <c r="AK58">
        <v>1</v>
      </c>
      <c r="AL58">
        <v>1</v>
      </c>
    </row>
    <row r="59" spans="1:38" hidden="1" x14ac:dyDescent="0.2">
      <c r="A59" t="s">
        <v>163</v>
      </c>
      <c r="B59" t="s">
        <v>164</v>
      </c>
      <c r="C59" t="s">
        <v>165</v>
      </c>
      <c r="D59" t="s">
        <v>4</v>
      </c>
      <c r="E59">
        <v>0</v>
      </c>
      <c r="F59">
        <v>1</v>
      </c>
      <c r="G59">
        <v>0</v>
      </c>
      <c r="H59">
        <v>0</v>
      </c>
      <c r="I59" t="s">
        <v>17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</v>
      </c>
      <c r="AE59">
        <v>274</v>
      </c>
      <c r="AF59">
        <v>13.28205128205127</v>
      </c>
      <c r="AG59">
        <v>12.360655737704921</v>
      </c>
      <c r="AH59">
        <f>0*0</f>
        <v>0</v>
      </c>
      <c r="AI59">
        <f>3.03121040442499*0</f>
        <v>0</v>
      </c>
      <c r="AJ59">
        <v>0</v>
      </c>
      <c r="AK59">
        <v>1</v>
      </c>
      <c r="AL59">
        <v>0</v>
      </c>
    </row>
    <row r="60" spans="1:38" x14ac:dyDescent="0.2">
      <c r="A60" t="s">
        <v>270</v>
      </c>
      <c r="B60" t="s">
        <v>271</v>
      </c>
      <c r="C60" t="s">
        <v>271</v>
      </c>
      <c r="D60" t="s">
        <v>4</v>
      </c>
      <c r="E60">
        <v>0</v>
      </c>
      <c r="F60">
        <v>1</v>
      </c>
      <c r="G60">
        <v>0</v>
      </c>
      <c r="H60">
        <v>0</v>
      </c>
      <c r="I60" t="s">
        <v>23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5.5</v>
      </c>
      <c r="AE60">
        <v>510</v>
      </c>
      <c r="AF60">
        <v>19.187854851488879</v>
      </c>
      <c r="AG60">
        <v>21.17562146047139</v>
      </c>
      <c r="AH60">
        <f>24.6632435473573*1</f>
        <v>24.6632435473573</v>
      </c>
      <c r="AI60">
        <f>8.2692973018429*1</f>
        <v>8.2692973018429008</v>
      </c>
      <c r="AJ60">
        <v>1</v>
      </c>
      <c r="AK60">
        <v>0</v>
      </c>
      <c r="AL60">
        <v>1</v>
      </c>
    </row>
    <row r="61" spans="1:38" hidden="1" x14ac:dyDescent="0.2">
      <c r="A61" t="s">
        <v>168</v>
      </c>
      <c r="B61" t="s">
        <v>169</v>
      </c>
      <c r="C61" t="s">
        <v>170</v>
      </c>
      <c r="D61" t="s">
        <v>5</v>
      </c>
      <c r="E61">
        <v>0</v>
      </c>
      <c r="F61">
        <v>0</v>
      </c>
      <c r="G61">
        <v>1</v>
      </c>
      <c r="H61">
        <v>0</v>
      </c>
      <c r="I61" t="s">
        <v>18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5.4</v>
      </c>
      <c r="AE61">
        <v>298</v>
      </c>
      <c r="AF61">
        <v>13.806818181818199</v>
      </c>
      <c r="AG61">
        <v>14.196428571428569</v>
      </c>
      <c r="AH61">
        <f>14.7485630344261*1</f>
        <v>14.7485630344261</v>
      </c>
      <c r="AI61">
        <f>2.94971260688523*1</f>
        <v>2.94971260688523</v>
      </c>
      <c r="AJ61">
        <v>1</v>
      </c>
      <c r="AK61">
        <v>0</v>
      </c>
      <c r="AL61">
        <v>0</v>
      </c>
    </row>
    <row r="62" spans="1:38" hidden="1" x14ac:dyDescent="0.2">
      <c r="A62" t="s">
        <v>171</v>
      </c>
      <c r="B62" t="s">
        <v>172</v>
      </c>
      <c r="C62" t="s">
        <v>172</v>
      </c>
      <c r="D62" t="s">
        <v>5</v>
      </c>
      <c r="E62">
        <v>0</v>
      </c>
      <c r="F62">
        <v>0</v>
      </c>
      <c r="G62">
        <v>1</v>
      </c>
      <c r="H62">
        <v>0</v>
      </c>
      <c r="I62" t="s">
        <v>18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6</v>
      </c>
      <c r="AE62">
        <v>303</v>
      </c>
      <c r="AF62">
        <v>18.697916666666671</v>
      </c>
      <c r="AG62">
        <v>18.191520121733841</v>
      </c>
      <c r="AH62">
        <f>19.7438102533261*1</f>
        <v>19.7438102533261</v>
      </c>
      <c r="AI62">
        <f>3.94876204640427*1</f>
        <v>3.9487620464042701</v>
      </c>
      <c r="AJ62">
        <v>1</v>
      </c>
      <c r="AK62">
        <v>0</v>
      </c>
      <c r="AL62">
        <v>0</v>
      </c>
    </row>
    <row r="63" spans="1:38" hidden="1" x14ac:dyDescent="0.2">
      <c r="A63" t="s">
        <v>173</v>
      </c>
      <c r="B63" t="s">
        <v>174</v>
      </c>
      <c r="C63" t="s">
        <v>175</v>
      </c>
      <c r="D63" t="s">
        <v>5</v>
      </c>
      <c r="E63">
        <v>0</v>
      </c>
      <c r="F63">
        <v>0</v>
      </c>
      <c r="G63">
        <v>1</v>
      </c>
      <c r="H63">
        <v>0</v>
      </c>
      <c r="I63" t="s">
        <v>18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4.7</v>
      </c>
      <c r="AE63">
        <v>308</v>
      </c>
      <c r="AF63">
        <v>13.36363636363636</v>
      </c>
      <c r="AG63">
        <v>13.837209302325579</v>
      </c>
      <c r="AH63">
        <f>14.2965602329984*1</f>
        <v>14.296560232998401</v>
      </c>
      <c r="AI63">
        <f>2.85931204659968*1</f>
        <v>2.8593120465996802</v>
      </c>
      <c r="AJ63">
        <v>1</v>
      </c>
      <c r="AK63">
        <v>0</v>
      </c>
      <c r="AL63">
        <v>0</v>
      </c>
    </row>
    <row r="64" spans="1:38" hidden="1" x14ac:dyDescent="0.2">
      <c r="A64" t="s">
        <v>176</v>
      </c>
      <c r="B64" t="s">
        <v>177</v>
      </c>
      <c r="C64" t="s">
        <v>177</v>
      </c>
      <c r="D64" t="s">
        <v>6</v>
      </c>
      <c r="E64">
        <v>0</v>
      </c>
      <c r="F64">
        <v>0</v>
      </c>
      <c r="G64">
        <v>0</v>
      </c>
      <c r="H64">
        <v>1</v>
      </c>
      <c r="I64" t="s">
        <v>18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4.9000000000000004</v>
      </c>
      <c r="AE64">
        <v>309</v>
      </c>
      <c r="AF64">
        <v>11.381578947368419</v>
      </c>
      <c r="AG64">
        <v>12.375</v>
      </c>
      <c r="AH64">
        <f>12.3070835905372*1</f>
        <v>12.3070835905372</v>
      </c>
      <c r="AI64">
        <f>2.46141671810744*1</f>
        <v>2.46141671810744</v>
      </c>
      <c r="AJ64">
        <v>1</v>
      </c>
      <c r="AK64">
        <v>0</v>
      </c>
      <c r="AL64">
        <v>0</v>
      </c>
    </row>
    <row r="65" spans="1:38" hidden="1" x14ac:dyDescent="0.2">
      <c r="A65" t="s">
        <v>178</v>
      </c>
      <c r="B65" t="s">
        <v>179</v>
      </c>
      <c r="C65" t="s">
        <v>179</v>
      </c>
      <c r="D65" t="s">
        <v>4</v>
      </c>
      <c r="E65">
        <v>0</v>
      </c>
      <c r="F65">
        <v>1</v>
      </c>
      <c r="G65">
        <v>0</v>
      </c>
      <c r="H65">
        <v>0</v>
      </c>
      <c r="I65" t="s">
        <v>19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4.2</v>
      </c>
      <c r="AE65">
        <v>332</v>
      </c>
      <c r="AF65">
        <v>12.21829896780114</v>
      </c>
      <c r="AG65">
        <v>14.1792934024826</v>
      </c>
      <c r="AH65">
        <f>16.5653425856079*1</f>
        <v>16.565342585607901</v>
      </c>
      <c r="AI65">
        <f>3.26981296938231*1</f>
        <v>3.2698129693823099</v>
      </c>
      <c r="AJ65">
        <v>1</v>
      </c>
      <c r="AK65">
        <v>0</v>
      </c>
      <c r="AL65">
        <v>0</v>
      </c>
    </row>
    <row r="66" spans="1:38" hidden="1" x14ac:dyDescent="0.2">
      <c r="A66" t="s">
        <v>101</v>
      </c>
      <c r="B66" t="s">
        <v>180</v>
      </c>
      <c r="C66" t="s">
        <v>180</v>
      </c>
      <c r="D66" t="s">
        <v>6</v>
      </c>
      <c r="E66">
        <v>0</v>
      </c>
      <c r="F66">
        <v>0</v>
      </c>
      <c r="G66">
        <v>0</v>
      </c>
      <c r="H66">
        <v>1</v>
      </c>
      <c r="I66" t="s">
        <v>19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5.8</v>
      </c>
      <c r="AE66">
        <v>333</v>
      </c>
      <c r="AF66">
        <v>16.741813961115518</v>
      </c>
      <c r="AG66">
        <v>16.53641802577631</v>
      </c>
      <c r="AH66">
        <f>19.3191196346528*1</f>
        <v>19.3191196346528</v>
      </c>
      <c r="AI66">
        <f>3.84383863413297*1</f>
        <v>3.84383863413297</v>
      </c>
      <c r="AJ66">
        <v>1</v>
      </c>
      <c r="AK66">
        <v>0</v>
      </c>
      <c r="AL66">
        <v>0</v>
      </c>
    </row>
    <row r="67" spans="1:38" hidden="1" x14ac:dyDescent="0.2">
      <c r="A67" t="s">
        <v>181</v>
      </c>
      <c r="B67" t="s">
        <v>182</v>
      </c>
      <c r="C67" t="s">
        <v>183</v>
      </c>
      <c r="D67" t="s">
        <v>5</v>
      </c>
      <c r="E67">
        <v>0</v>
      </c>
      <c r="F67">
        <v>0</v>
      </c>
      <c r="G67">
        <v>1</v>
      </c>
      <c r="H67">
        <v>0</v>
      </c>
      <c r="I67" t="s">
        <v>19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5.5</v>
      </c>
      <c r="AE67">
        <v>336</v>
      </c>
      <c r="AF67">
        <v>16.15151515151517</v>
      </c>
      <c r="AG67">
        <v>14.732824427480921</v>
      </c>
      <c r="AH67">
        <f>17.212023665046*1</f>
        <v>17.212023665046001</v>
      </c>
      <c r="AI67">
        <f>3.44240473300921*1</f>
        <v>3.44240473300921</v>
      </c>
      <c r="AJ67">
        <v>1</v>
      </c>
      <c r="AK67">
        <v>0</v>
      </c>
      <c r="AL67">
        <v>0</v>
      </c>
    </row>
    <row r="68" spans="1:38" hidden="1" x14ac:dyDescent="0.2">
      <c r="A68" t="s">
        <v>146</v>
      </c>
      <c r="B68" t="s">
        <v>184</v>
      </c>
      <c r="C68" t="s">
        <v>184</v>
      </c>
      <c r="D68" t="s">
        <v>5</v>
      </c>
      <c r="E68">
        <v>0</v>
      </c>
      <c r="F68">
        <v>0</v>
      </c>
      <c r="G68">
        <v>1</v>
      </c>
      <c r="H68">
        <v>0</v>
      </c>
      <c r="I68" t="s">
        <v>19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4.9000000000000004</v>
      </c>
      <c r="AE68">
        <v>337</v>
      </c>
      <c r="AF68">
        <v>8.8083988232665789</v>
      </c>
      <c r="AG68">
        <v>12.1875</v>
      </c>
      <c r="AH68">
        <f>14.2383744152156*1</f>
        <v>14.238374415215601</v>
      </c>
      <c r="AI68">
        <f>2.84767470714584*1</f>
        <v>2.8476747071458401</v>
      </c>
      <c r="AJ68">
        <v>1</v>
      </c>
      <c r="AK68">
        <v>0</v>
      </c>
      <c r="AL68">
        <v>0</v>
      </c>
    </row>
    <row r="69" spans="1:38" x14ac:dyDescent="0.2">
      <c r="A69" t="s">
        <v>166</v>
      </c>
      <c r="B69" t="s">
        <v>167</v>
      </c>
      <c r="C69" t="s">
        <v>167</v>
      </c>
      <c r="D69" t="s">
        <v>5</v>
      </c>
      <c r="E69">
        <v>0</v>
      </c>
      <c r="F69">
        <v>0</v>
      </c>
      <c r="G69">
        <v>1</v>
      </c>
      <c r="H69">
        <v>0</v>
      </c>
      <c r="I69" t="s">
        <v>17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5.9</v>
      </c>
      <c r="AE69">
        <v>276</v>
      </c>
      <c r="AF69">
        <v>30.862335277903551</v>
      </c>
      <c r="AG69">
        <v>10.89619823068201</v>
      </c>
      <c r="AH69">
        <f>28.1734288816225*1</f>
        <v>28.173428881622499</v>
      </c>
      <c r="AI69">
        <f>7.04335722040564*1</f>
        <v>7.0433572204056398</v>
      </c>
      <c r="AJ69">
        <v>1</v>
      </c>
      <c r="AK69">
        <v>1</v>
      </c>
      <c r="AL69">
        <v>1</v>
      </c>
    </row>
    <row r="70" spans="1:38" hidden="1" x14ac:dyDescent="0.2">
      <c r="A70" t="s">
        <v>168</v>
      </c>
      <c r="B70" t="s">
        <v>187</v>
      </c>
      <c r="C70" t="s">
        <v>187</v>
      </c>
      <c r="D70" t="s">
        <v>3</v>
      </c>
      <c r="E70">
        <v>1</v>
      </c>
      <c r="F70">
        <v>0</v>
      </c>
      <c r="G70">
        <v>0</v>
      </c>
      <c r="H70">
        <v>0</v>
      </c>
      <c r="I70" t="s">
        <v>19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4.5</v>
      </c>
      <c r="AE70">
        <v>347</v>
      </c>
      <c r="AF70">
        <v>17.780612244897942</v>
      </c>
      <c r="AG70">
        <v>17.940624559331461</v>
      </c>
      <c r="AH70">
        <f>20.9596216799229*1</f>
        <v>20.9596216799229</v>
      </c>
      <c r="AI70">
        <f>4.27301103238829*1</f>
        <v>4.2730110323882897</v>
      </c>
      <c r="AJ70">
        <v>1</v>
      </c>
      <c r="AK70">
        <v>0</v>
      </c>
      <c r="AL70">
        <v>0</v>
      </c>
    </row>
    <row r="71" spans="1:38" hidden="1" x14ac:dyDescent="0.2">
      <c r="A71" t="s">
        <v>146</v>
      </c>
      <c r="B71" t="s">
        <v>188</v>
      </c>
      <c r="C71" t="s">
        <v>188</v>
      </c>
      <c r="D71" t="s">
        <v>4</v>
      </c>
      <c r="E71">
        <v>0</v>
      </c>
      <c r="F71">
        <v>1</v>
      </c>
      <c r="G71">
        <v>0</v>
      </c>
      <c r="H71">
        <v>0</v>
      </c>
      <c r="I71" t="s">
        <v>19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4.5999999999999996</v>
      </c>
      <c r="AE71">
        <v>349</v>
      </c>
      <c r="AF71">
        <v>15.50577894345685</v>
      </c>
      <c r="AG71">
        <v>14.601910828025479</v>
      </c>
      <c r="AH71">
        <f>17.0590797752279*1</f>
        <v>17.0590797752279</v>
      </c>
      <c r="AI71">
        <f>3.41181553223538*1</f>
        <v>3.41181553223538</v>
      </c>
      <c r="AJ71">
        <v>1</v>
      </c>
      <c r="AK71">
        <v>0</v>
      </c>
      <c r="AL71">
        <v>0</v>
      </c>
    </row>
    <row r="72" spans="1:38" hidden="1" x14ac:dyDescent="0.2">
      <c r="A72" t="s">
        <v>189</v>
      </c>
      <c r="B72" t="s">
        <v>190</v>
      </c>
      <c r="C72" t="s">
        <v>190</v>
      </c>
      <c r="D72" t="s">
        <v>5</v>
      </c>
      <c r="E72">
        <v>0</v>
      </c>
      <c r="F72">
        <v>0</v>
      </c>
      <c r="G72">
        <v>1</v>
      </c>
      <c r="H72">
        <v>0</v>
      </c>
      <c r="I72" t="s">
        <v>19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5.5</v>
      </c>
      <c r="AE72">
        <v>358</v>
      </c>
      <c r="AF72">
        <v>19.789915966386548</v>
      </c>
      <c r="AG72">
        <v>19.560923282817431</v>
      </c>
      <c r="AH72">
        <f>22.8525800594583*1</f>
        <v>22.852580059458301</v>
      </c>
      <c r="AI72">
        <f>4.57051601189166*1</f>
        <v>4.5705160118916597</v>
      </c>
      <c r="AJ72">
        <v>1</v>
      </c>
      <c r="AK72">
        <v>0</v>
      </c>
      <c r="AL72">
        <v>0</v>
      </c>
    </row>
    <row r="73" spans="1:38" hidden="1" x14ac:dyDescent="0.2">
      <c r="A73" t="s">
        <v>191</v>
      </c>
      <c r="B73" t="s">
        <v>192</v>
      </c>
      <c r="C73" t="s">
        <v>192</v>
      </c>
      <c r="D73" t="s">
        <v>5</v>
      </c>
      <c r="E73">
        <v>0</v>
      </c>
      <c r="F73">
        <v>0</v>
      </c>
      <c r="G73">
        <v>1</v>
      </c>
      <c r="H73">
        <v>0</v>
      </c>
      <c r="I73" t="s">
        <v>20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5.3</v>
      </c>
      <c r="AE73">
        <v>364</v>
      </c>
      <c r="AF73">
        <v>13.690476190476179</v>
      </c>
      <c r="AG73">
        <v>13.928571428571431</v>
      </c>
      <c r="AH73">
        <f>15.9815203553928*1</f>
        <v>15.981520355392799</v>
      </c>
      <c r="AI73">
        <f>3.19630407107857*1</f>
        <v>3.1963040710785702</v>
      </c>
      <c r="AJ73">
        <v>1</v>
      </c>
      <c r="AK73">
        <v>0</v>
      </c>
      <c r="AL73">
        <v>0</v>
      </c>
    </row>
    <row r="74" spans="1:38" hidden="1" x14ac:dyDescent="0.2">
      <c r="A74" t="s">
        <v>193</v>
      </c>
      <c r="B74" t="s">
        <v>194</v>
      </c>
      <c r="C74" t="s">
        <v>193</v>
      </c>
      <c r="D74" t="s">
        <v>5</v>
      </c>
      <c r="E74">
        <v>0</v>
      </c>
      <c r="F74">
        <v>0</v>
      </c>
      <c r="G74">
        <v>1</v>
      </c>
      <c r="H74">
        <v>0</v>
      </c>
      <c r="I74" t="s">
        <v>20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5.3</v>
      </c>
      <c r="AE74">
        <v>365</v>
      </c>
      <c r="AF74">
        <v>17.678571428571431</v>
      </c>
      <c r="AG74">
        <v>15.96590909090909</v>
      </c>
      <c r="AH74">
        <f>18.5551477181983*1</f>
        <v>18.555147718198299</v>
      </c>
      <c r="AI74">
        <f>3.71102954363967*1</f>
        <v>3.7110295436396701</v>
      </c>
      <c r="AJ74">
        <v>1</v>
      </c>
      <c r="AK74">
        <v>0</v>
      </c>
      <c r="AL74">
        <v>0</v>
      </c>
    </row>
    <row r="75" spans="1:38" hidden="1" x14ac:dyDescent="0.2">
      <c r="A75" t="s">
        <v>195</v>
      </c>
      <c r="B75" t="s">
        <v>196</v>
      </c>
      <c r="C75" t="s">
        <v>196</v>
      </c>
      <c r="D75" t="s">
        <v>5</v>
      </c>
      <c r="E75">
        <v>0</v>
      </c>
      <c r="F75">
        <v>0</v>
      </c>
      <c r="G75">
        <v>1</v>
      </c>
      <c r="H75">
        <v>0</v>
      </c>
      <c r="I75" t="s">
        <v>20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4.9000000000000004</v>
      </c>
      <c r="AE75">
        <v>366</v>
      </c>
      <c r="AF75">
        <v>10.920301064219769</v>
      </c>
      <c r="AG75">
        <v>12.3972602739726</v>
      </c>
      <c r="AH75">
        <f>14.0741462837465*1</f>
        <v>14.074146283746501</v>
      </c>
      <c r="AI75">
        <f>2.81168342354622*1</f>
        <v>2.8116834235462198</v>
      </c>
      <c r="AJ75">
        <v>1</v>
      </c>
      <c r="AK75">
        <v>0</v>
      </c>
      <c r="AL75">
        <v>0</v>
      </c>
    </row>
    <row r="76" spans="1:38" hidden="1" x14ac:dyDescent="0.2">
      <c r="A76" t="s">
        <v>197</v>
      </c>
      <c r="B76" t="s">
        <v>198</v>
      </c>
      <c r="C76" t="s">
        <v>198</v>
      </c>
      <c r="D76" t="s">
        <v>5</v>
      </c>
      <c r="E76">
        <v>0</v>
      </c>
      <c r="F76">
        <v>0</v>
      </c>
      <c r="G76">
        <v>1</v>
      </c>
      <c r="H76">
        <v>0</v>
      </c>
      <c r="I76" t="s">
        <v>20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5.3</v>
      </c>
      <c r="AE76">
        <v>368</v>
      </c>
      <c r="AF76">
        <v>13.445882066766091</v>
      </c>
      <c r="AG76">
        <v>13.46590909090909</v>
      </c>
      <c r="AH76">
        <f>15.4756449518775*1</f>
        <v>15.4756449518775</v>
      </c>
      <c r="AI76">
        <f>2.96368559078404*1</f>
        <v>2.9636855907840398</v>
      </c>
      <c r="AJ76">
        <v>1</v>
      </c>
      <c r="AK76">
        <v>0</v>
      </c>
      <c r="AL76">
        <v>0</v>
      </c>
    </row>
    <row r="77" spans="1:38" hidden="1" x14ac:dyDescent="0.2">
      <c r="A77" t="s">
        <v>199</v>
      </c>
      <c r="B77" t="s">
        <v>200</v>
      </c>
      <c r="C77" t="s">
        <v>200</v>
      </c>
      <c r="D77" t="s">
        <v>3</v>
      </c>
      <c r="E77">
        <v>1</v>
      </c>
      <c r="F77">
        <v>0</v>
      </c>
      <c r="G77">
        <v>0</v>
      </c>
      <c r="H77">
        <v>0</v>
      </c>
      <c r="I77" t="s">
        <v>20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4.8</v>
      </c>
      <c r="AE77">
        <v>373</v>
      </c>
      <c r="AF77">
        <v>18.21618801801689</v>
      </c>
      <c r="AG77">
        <v>16.431451612903221</v>
      </c>
      <c r="AH77">
        <f>19.098819625294*1</f>
        <v>19.098819625293999</v>
      </c>
      <c r="AI77">
        <f>3.82713647780508*1</f>
        <v>3.8271364778050798</v>
      </c>
      <c r="AJ77">
        <v>1</v>
      </c>
      <c r="AK77">
        <v>0</v>
      </c>
      <c r="AL77">
        <v>0</v>
      </c>
    </row>
    <row r="78" spans="1:38" hidden="1" x14ac:dyDescent="0.2">
      <c r="A78" t="s">
        <v>201</v>
      </c>
      <c r="B78" t="s">
        <v>202</v>
      </c>
      <c r="C78" t="s">
        <v>203</v>
      </c>
      <c r="D78" t="s">
        <v>5</v>
      </c>
      <c r="E78">
        <v>0</v>
      </c>
      <c r="F78">
        <v>0</v>
      </c>
      <c r="G78">
        <v>1</v>
      </c>
      <c r="H78">
        <v>0</v>
      </c>
      <c r="I78" t="s">
        <v>20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</v>
      </c>
      <c r="AE78">
        <v>378</v>
      </c>
      <c r="AF78">
        <v>11.97299538280493</v>
      </c>
      <c r="AG78">
        <v>13.452380952380951</v>
      </c>
      <c r="AH78">
        <f>15.2866378427606*1</f>
        <v>15.2866378427606</v>
      </c>
      <c r="AI78">
        <f>2.97550932723895*1</f>
        <v>2.9755093272389499</v>
      </c>
      <c r="AJ78">
        <v>1</v>
      </c>
      <c r="AK78">
        <v>0</v>
      </c>
      <c r="AL78">
        <v>0</v>
      </c>
    </row>
    <row r="79" spans="1:38" hidden="1" x14ac:dyDescent="0.2">
      <c r="A79" t="s">
        <v>204</v>
      </c>
      <c r="B79" t="s">
        <v>205</v>
      </c>
      <c r="C79" t="s">
        <v>205</v>
      </c>
      <c r="D79" t="s">
        <v>4</v>
      </c>
      <c r="E79">
        <v>0</v>
      </c>
      <c r="F79">
        <v>1</v>
      </c>
      <c r="G79">
        <v>0</v>
      </c>
      <c r="H79">
        <v>0</v>
      </c>
      <c r="I79" t="s">
        <v>20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4.4000000000000004</v>
      </c>
      <c r="AE79">
        <v>381</v>
      </c>
      <c r="AF79">
        <v>12.168674698795179</v>
      </c>
      <c r="AG79">
        <v>13.38461538461538</v>
      </c>
      <c r="AH79">
        <f>15.2400592757877*1</f>
        <v>15.240059275787701</v>
      </c>
      <c r="AI79">
        <f>3.04801185515755*1</f>
        <v>3.0480118551575499</v>
      </c>
      <c r="AJ79">
        <v>1</v>
      </c>
      <c r="AK79">
        <v>0</v>
      </c>
      <c r="AL79">
        <v>0</v>
      </c>
    </row>
    <row r="80" spans="1:38" hidden="1" x14ac:dyDescent="0.2">
      <c r="A80" t="s">
        <v>206</v>
      </c>
      <c r="B80" t="s">
        <v>207</v>
      </c>
      <c r="C80" t="s">
        <v>206</v>
      </c>
      <c r="D80" t="s">
        <v>6</v>
      </c>
      <c r="E80">
        <v>0</v>
      </c>
      <c r="F80">
        <v>0</v>
      </c>
      <c r="G80">
        <v>0</v>
      </c>
      <c r="H80">
        <v>1</v>
      </c>
      <c r="I80" t="s">
        <v>20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5.0999999999999996</v>
      </c>
      <c r="AE80">
        <v>387</v>
      </c>
      <c r="AF80">
        <v>16.116230335025499</v>
      </c>
      <c r="AG80">
        <v>20.978322120984728</v>
      </c>
      <c r="AH80">
        <f>23.535063272348*1</f>
        <v>23.535063272348001</v>
      </c>
      <c r="AI80">
        <f>4.71204172360253*1</f>
        <v>4.71204172360253</v>
      </c>
      <c r="AJ80">
        <v>1</v>
      </c>
      <c r="AK80">
        <v>0</v>
      </c>
      <c r="AL80">
        <v>0</v>
      </c>
    </row>
    <row r="81" spans="1:38" hidden="1" x14ac:dyDescent="0.2">
      <c r="A81" t="s">
        <v>208</v>
      </c>
      <c r="B81" t="s">
        <v>209</v>
      </c>
      <c r="C81" t="s">
        <v>208</v>
      </c>
      <c r="D81" t="s">
        <v>5</v>
      </c>
      <c r="E81">
        <v>0</v>
      </c>
      <c r="F81">
        <v>0</v>
      </c>
      <c r="G81">
        <v>1</v>
      </c>
      <c r="H81">
        <v>0</v>
      </c>
      <c r="I81" t="s">
        <v>20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5.3</v>
      </c>
      <c r="AE81">
        <v>388</v>
      </c>
      <c r="AF81">
        <v>19.98986228265515</v>
      </c>
      <c r="AG81">
        <v>19.962685843823969</v>
      </c>
      <c r="AH81">
        <f>22.9487999850406*1</f>
        <v>22.948799985040601</v>
      </c>
      <c r="AI81">
        <f>4.58193870507284*1</f>
        <v>4.5819387050728402</v>
      </c>
      <c r="AJ81">
        <v>1</v>
      </c>
      <c r="AK81">
        <v>0</v>
      </c>
      <c r="AL81">
        <v>0</v>
      </c>
    </row>
    <row r="82" spans="1:38" hidden="1" x14ac:dyDescent="0.2">
      <c r="A82" t="s">
        <v>210</v>
      </c>
      <c r="B82" t="s">
        <v>211</v>
      </c>
      <c r="C82" t="s">
        <v>211</v>
      </c>
      <c r="D82" t="s">
        <v>4</v>
      </c>
      <c r="E82">
        <v>0</v>
      </c>
      <c r="F82">
        <v>1</v>
      </c>
      <c r="G82">
        <v>0</v>
      </c>
      <c r="H82">
        <v>0</v>
      </c>
      <c r="I82" t="s">
        <v>20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4.5</v>
      </c>
      <c r="AE82">
        <v>395</v>
      </c>
      <c r="AF82">
        <v>15.14026128803237</v>
      </c>
      <c r="AG82">
        <v>15.14880952380952</v>
      </c>
      <c r="AH82">
        <f>17.4113737350722*1</f>
        <v>17.4113737350722</v>
      </c>
      <c r="AI82">
        <f>3.47572547221078*1</f>
        <v>3.47572547221078</v>
      </c>
      <c r="AJ82">
        <v>1</v>
      </c>
      <c r="AK82">
        <v>0</v>
      </c>
      <c r="AL82">
        <v>0</v>
      </c>
    </row>
    <row r="83" spans="1:38" hidden="1" x14ac:dyDescent="0.2">
      <c r="A83" t="s">
        <v>212</v>
      </c>
      <c r="B83" t="s">
        <v>213</v>
      </c>
      <c r="C83" t="s">
        <v>213</v>
      </c>
      <c r="D83" t="s">
        <v>4</v>
      </c>
      <c r="E83">
        <v>0</v>
      </c>
      <c r="F83">
        <v>1</v>
      </c>
      <c r="G83">
        <v>0</v>
      </c>
      <c r="H83">
        <v>0</v>
      </c>
      <c r="I83" t="s">
        <v>21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8.6</v>
      </c>
      <c r="AE83">
        <v>402</v>
      </c>
      <c r="AF83">
        <v>26.294961512442839</v>
      </c>
      <c r="AG83">
        <v>22.136391998019569</v>
      </c>
      <c r="AH83">
        <f>0*0</f>
        <v>0</v>
      </c>
      <c r="AI83">
        <f>9.30981800998157*0</f>
        <v>0</v>
      </c>
      <c r="AJ83">
        <v>0</v>
      </c>
      <c r="AK83">
        <v>1</v>
      </c>
      <c r="AL83">
        <v>0</v>
      </c>
    </row>
    <row r="84" spans="1:38" hidden="1" x14ac:dyDescent="0.2">
      <c r="A84" t="s">
        <v>214</v>
      </c>
      <c r="B84" t="s">
        <v>215</v>
      </c>
      <c r="C84" t="s">
        <v>216</v>
      </c>
      <c r="D84" t="s">
        <v>3</v>
      </c>
      <c r="E84">
        <v>1</v>
      </c>
      <c r="F84">
        <v>0</v>
      </c>
      <c r="G84">
        <v>0</v>
      </c>
      <c r="H84">
        <v>0</v>
      </c>
      <c r="I84" t="s">
        <v>21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5.8</v>
      </c>
      <c r="AE84">
        <v>403</v>
      </c>
      <c r="AF84">
        <v>21.722933004198811</v>
      </c>
      <c r="AG84">
        <v>18.80334311543054</v>
      </c>
      <c r="AH84">
        <f>19.9867584513021*1</f>
        <v>19.986758451302101</v>
      </c>
      <c r="AI84">
        <f>7.96553352534628*1</f>
        <v>7.96553352534628</v>
      </c>
      <c r="AJ84">
        <v>1</v>
      </c>
      <c r="AK84">
        <v>0</v>
      </c>
      <c r="AL84">
        <v>0</v>
      </c>
    </row>
    <row r="85" spans="1:38" hidden="1" x14ac:dyDescent="0.2">
      <c r="A85" t="s">
        <v>217</v>
      </c>
      <c r="B85" t="s">
        <v>218</v>
      </c>
      <c r="C85" t="s">
        <v>217</v>
      </c>
      <c r="D85" t="s">
        <v>6</v>
      </c>
      <c r="E85">
        <v>0</v>
      </c>
      <c r="F85">
        <v>0</v>
      </c>
      <c r="G85">
        <v>0</v>
      </c>
      <c r="H85">
        <v>1</v>
      </c>
      <c r="I85" t="s">
        <v>21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7.6</v>
      </c>
      <c r="AE85">
        <v>405</v>
      </c>
      <c r="AF85">
        <v>19.400000000000009</v>
      </c>
      <c r="AG85">
        <v>16.666666666666671</v>
      </c>
      <c r="AH85">
        <f>17.7156072366455*1</f>
        <v>17.7156072366455</v>
      </c>
      <c r="AI85">
        <f>7.08624289465821*1</f>
        <v>7.0862428946582101</v>
      </c>
      <c r="AJ85">
        <v>1</v>
      </c>
      <c r="AK85">
        <v>0</v>
      </c>
      <c r="AL85">
        <v>0</v>
      </c>
    </row>
    <row r="86" spans="1:38" hidden="1" x14ac:dyDescent="0.2">
      <c r="A86" t="s">
        <v>219</v>
      </c>
      <c r="B86" t="s">
        <v>220</v>
      </c>
      <c r="C86" t="s">
        <v>221</v>
      </c>
      <c r="D86" t="s">
        <v>5</v>
      </c>
      <c r="E86">
        <v>0</v>
      </c>
      <c r="F86">
        <v>0</v>
      </c>
      <c r="G86">
        <v>1</v>
      </c>
      <c r="H86">
        <v>0</v>
      </c>
      <c r="I86" t="s">
        <v>21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8.3000000000000007</v>
      </c>
      <c r="AE86">
        <v>406</v>
      </c>
      <c r="AF86">
        <v>21.891891891891898</v>
      </c>
      <c r="AG86">
        <v>15.892857142857141</v>
      </c>
      <c r="AH86">
        <f>16.8930975377885*1</f>
        <v>16.893097537788499</v>
      </c>
      <c r="AI86">
        <f>6.7572390151154*1</f>
        <v>6.7572390151153998</v>
      </c>
      <c r="AJ86">
        <v>1</v>
      </c>
      <c r="AK86">
        <v>0</v>
      </c>
      <c r="AL86">
        <v>0</v>
      </c>
    </row>
    <row r="87" spans="1:38" hidden="1" x14ac:dyDescent="0.2">
      <c r="A87" t="s">
        <v>222</v>
      </c>
      <c r="B87" t="s">
        <v>223</v>
      </c>
      <c r="C87" t="s">
        <v>223</v>
      </c>
      <c r="D87" t="s">
        <v>6</v>
      </c>
      <c r="E87">
        <v>0</v>
      </c>
      <c r="F87">
        <v>0</v>
      </c>
      <c r="G87">
        <v>0</v>
      </c>
      <c r="H87">
        <v>1</v>
      </c>
      <c r="I87" t="s">
        <v>21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7.2</v>
      </c>
      <c r="AE87">
        <v>409</v>
      </c>
      <c r="AF87">
        <v>11.64049704365874</v>
      </c>
      <c r="AG87">
        <v>15.08064516129032</v>
      </c>
      <c r="AH87">
        <f>16.029766082629*1</f>
        <v>16.029766082628999</v>
      </c>
      <c r="AI87">
        <f>6.41190646060667*1</f>
        <v>6.4119064606066702</v>
      </c>
      <c r="AJ87">
        <v>1</v>
      </c>
      <c r="AK87">
        <v>0</v>
      </c>
      <c r="AL87">
        <v>0</v>
      </c>
    </row>
    <row r="88" spans="1:38" hidden="1" x14ac:dyDescent="0.2">
      <c r="A88" t="s">
        <v>224</v>
      </c>
      <c r="B88" t="s">
        <v>225</v>
      </c>
      <c r="C88" t="s">
        <v>225</v>
      </c>
      <c r="D88" t="s">
        <v>4</v>
      </c>
      <c r="E88">
        <v>0</v>
      </c>
      <c r="F88">
        <v>1</v>
      </c>
      <c r="G88">
        <v>0</v>
      </c>
      <c r="H88">
        <v>0</v>
      </c>
      <c r="I88" t="s">
        <v>21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4.5999999999999996</v>
      </c>
      <c r="AE88">
        <v>410</v>
      </c>
      <c r="AF88">
        <v>13.75</v>
      </c>
      <c r="AG88">
        <v>11.66666666666667</v>
      </c>
      <c r="AH88">
        <f>12.4009250975778*1</f>
        <v>12.400925097577799</v>
      </c>
      <c r="AI88">
        <f>4.96037003903112*1</f>
        <v>4.9603700390311198</v>
      </c>
      <c r="AJ88">
        <v>1</v>
      </c>
      <c r="AK88">
        <v>0</v>
      </c>
      <c r="AL88">
        <v>0</v>
      </c>
    </row>
    <row r="89" spans="1:38" hidden="1" x14ac:dyDescent="0.2">
      <c r="A89" t="s">
        <v>226</v>
      </c>
      <c r="B89" t="s">
        <v>227</v>
      </c>
      <c r="C89" t="s">
        <v>227</v>
      </c>
      <c r="D89" t="s">
        <v>5</v>
      </c>
      <c r="E89">
        <v>0</v>
      </c>
      <c r="F89">
        <v>0</v>
      </c>
      <c r="G89">
        <v>1</v>
      </c>
      <c r="H89">
        <v>0</v>
      </c>
      <c r="I89" t="s">
        <v>21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4.9000000000000004</v>
      </c>
      <c r="AE89">
        <v>412</v>
      </c>
      <c r="AF89">
        <v>11.25</v>
      </c>
      <c r="AG89">
        <v>12.95833333333333</v>
      </c>
      <c r="AH89">
        <f>13.7738839065621*1</f>
        <v>13.7738839065621</v>
      </c>
      <c r="AI89">
        <f>5.50955356262486*1</f>
        <v>5.50955356262486</v>
      </c>
      <c r="AJ89">
        <v>1</v>
      </c>
      <c r="AK89">
        <v>0</v>
      </c>
      <c r="AL89">
        <v>0</v>
      </c>
    </row>
    <row r="90" spans="1:38" hidden="1" x14ac:dyDescent="0.2">
      <c r="A90" t="s">
        <v>228</v>
      </c>
      <c r="B90" t="s">
        <v>229</v>
      </c>
      <c r="C90" t="s">
        <v>230</v>
      </c>
      <c r="D90" t="s">
        <v>5</v>
      </c>
      <c r="E90">
        <v>0</v>
      </c>
      <c r="F90">
        <v>0</v>
      </c>
      <c r="G90">
        <v>1</v>
      </c>
      <c r="H90">
        <v>0</v>
      </c>
      <c r="I90" t="s">
        <v>21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7.5</v>
      </c>
      <c r="AE90">
        <v>415</v>
      </c>
      <c r="AF90">
        <v>17.755102040816329</v>
      </c>
      <c r="AG90">
        <v>15.32894736842105</v>
      </c>
      <c r="AH90">
        <f>16.293696639322*1</f>
        <v>16.293696639322</v>
      </c>
      <c r="AI90">
        <f>6.51747865572883*1</f>
        <v>6.51747865572883</v>
      </c>
      <c r="AJ90">
        <v>1</v>
      </c>
      <c r="AK90">
        <v>0</v>
      </c>
      <c r="AL90">
        <v>0</v>
      </c>
    </row>
    <row r="91" spans="1:38" hidden="1" x14ac:dyDescent="0.2">
      <c r="A91" t="s">
        <v>231</v>
      </c>
      <c r="B91" t="s">
        <v>232</v>
      </c>
      <c r="C91" t="s">
        <v>232</v>
      </c>
      <c r="D91" t="s">
        <v>5</v>
      </c>
      <c r="E91">
        <v>0</v>
      </c>
      <c r="F91">
        <v>0</v>
      </c>
      <c r="G91">
        <v>1</v>
      </c>
      <c r="H91">
        <v>0</v>
      </c>
      <c r="I91" t="s">
        <v>21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5.8</v>
      </c>
      <c r="AE91">
        <v>416</v>
      </c>
      <c r="AF91">
        <v>14.07407407407408</v>
      </c>
      <c r="AG91">
        <v>15.15367055694238</v>
      </c>
      <c r="AH91">
        <f>16.1073878773509*1</f>
        <v>16.107387877350899</v>
      </c>
      <c r="AI91">
        <f>6.44295515092745*1</f>
        <v>6.4429551509274496</v>
      </c>
      <c r="AJ91">
        <v>1</v>
      </c>
      <c r="AK91">
        <v>0</v>
      </c>
      <c r="AL91">
        <v>0</v>
      </c>
    </row>
    <row r="92" spans="1:38" hidden="1" x14ac:dyDescent="0.2">
      <c r="A92" t="s">
        <v>233</v>
      </c>
      <c r="B92" t="s">
        <v>234</v>
      </c>
      <c r="C92" t="s">
        <v>234</v>
      </c>
      <c r="D92" t="s">
        <v>5</v>
      </c>
      <c r="E92">
        <v>0</v>
      </c>
      <c r="F92">
        <v>0</v>
      </c>
      <c r="G92">
        <v>1</v>
      </c>
      <c r="H92">
        <v>0</v>
      </c>
      <c r="I92" t="s">
        <v>21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13</v>
      </c>
      <c r="AE92">
        <v>420</v>
      </c>
      <c r="AF92">
        <v>34.687499999999993</v>
      </c>
      <c r="AG92">
        <v>34.104084623699563</v>
      </c>
      <c r="AH92">
        <f>36.2504731607159*1</f>
        <v>36.250473160715899</v>
      </c>
      <c r="AI92">
        <f>14.5001892642852*1</f>
        <v>14.500189264285201</v>
      </c>
      <c r="AJ92">
        <v>1</v>
      </c>
      <c r="AK92">
        <v>0</v>
      </c>
      <c r="AL92">
        <v>0</v>
      </c>
    </row>
    <row r="93" spans="1:38" hidden="1" x14ac:dyDescent="0.2">
      <c r="A93" t="s">
        <v>235</v>
      </c>
      <c r="B93" t="s">
        <v>236</v>
      </c>
      <c r="C93" t="s">
        <v>236</v>
      </c>
      <c r="D93" t="s">
        <v>5</v>
      </c>
      <c r="E93">
        <v>0</v>
      </c>
      <c r="F93">
        <v>0</v>
      </c>
      <c r="G93">
        <v>1</v>
      </c>
      <c r="H93">
        <v>0</v>
      </c>
      <c r="I93" t="s">
        <v>21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7.1</v>
      </c>
      <c r="AE93">
        <v>421</v>
      </c>
      <c r="AF93">
        <v>17.777238707300221</v>
      </c>
      <c r="AG93">
        <v>16.71875</v>
      </c>
      <c r="AH93">
        <f>17.7709681931207*1</f>
        <v>17.770968193120702</v>
      </c>
      <c r="AI93">
        <f>7.10838710608937*1</f>
        <v>7.1083871060893697</v>
      </c>
      <c r="AJ93">
        <v>1</v>
      </c>
      <c r="AK93">
        <v>0</v>
      </c>
      <c r="AL93">
        <v>0</v>
      </c>
    </row>
    <row r="94" spans="1:38" x14ac:dyDescent="0.2">
      <c r="A94" t="s">
        <v>321</v>
      </c>
      <c r="B94" t="s">
        <v>322</v>
      </c>
      <c r="C94" t="s">
        <v>322</v>
      </c>
      <c r="D94" t="s">
        <v>5</v>
      </c>
      <c r="E94">
        <v>0</v>
      </c>
      <c r="F94">
        <v>0</v>
      </c>
      <c r="G94">
        <v>1</v>
      </c>
      <c r="H94">
        <v>0</v>
      </c>
      <c r="I94" t="s">
        <v>28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B94">
        <v>0</v>
      </c>
      <c r="AC94">
        <v>0</v>
      </c>
      <c r="AD94">
        <v>6.9</v>
      </c>
      <c r="AE94">
        <v>709</v>
      </c>
      <c r="AF94">
        <v>13.74648755351765</v>
      </c>
      <c r="AG94">
        <v>16.09706473490759</v>
      </c>
      <c r="AH94">
        <f>19.3019742833496*1</f>
        <v>19.301974283349601</v>
      </c>
      <c r="AI94">
        <f>4.82549354378641*1</f>
        <v>4.8254935437864104</v>
      </c>
      <c r="AJ94">
        <v>1</v>
      </c>
      <c r="AK94">
        <v>1</v>
      </c>
      <c r="AL94">
        <v>1</v>
      </c>
    </row>
    <row r="95" spans="1:38" hidden="1" x14ac:dyDescent="0.2">
      <c r="A95" t="s">
        <v>239</v>
      </c>
      <c r="B95" t="s">
        <v>240</v>
      </c>
      <c r="C95" t="s">
        <v>240</v>
      </c>
      <c r="D95" t="s">
        <v>6</v>
      </c>
      <c r="E95">
        <v>0</v>
      </c>
      <c r="F95">
        <v>0</v>
      </c>
      <c r="G95">
        <v>0</v>
      </c>
      <c r="H95">
        <v>1</v>
      </c>
      <c r="I95" t="s">
        <v>22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4.9000000000000004</v>
      </c>
      <c r="AE95">
        <v>443</v>
      </c>
      <c r="AF95">
        <v>21.54545454545454</v>
      </c>
      <c r="AG95">
        <v>16.5</v>
      </c>
      <c r="AH95">
        <f>26.237598385913*1</f>
        <v>26.237598385913</v>
      </c>
      <c r="AI95">
        <f>8.74586612863768*1</f>
        <v>8.7458661286376795</v>
      </c>
      <c r="AJ95">
        <v>1</v>
      </c>
      <c r="AK95">
        <v>0</v>
      </c>
      <c r="AL95">
        <v>0</v>
      </c>
    </row>
    <row r="96" spans="1:38" x14ac:dyDescent="0.2">
      <c r="A96" t="s">
        <v>337</v>
      </c>
      <c r="B96" t="s">
        <v>338</v>
      </c>
      <c r="C96" t="s">
        <v>338</v>
      </c>
      <c r="D96" t="s">
        <v>5</v>
      </c>
      <c r="E96">
        <v>0</v>
      </c>
      <c r="F96">
        <v>0</v>
      </c>
      <c r="G96">
        <v>1</v>
      </c>
      <c r="H96">
        <v>0</v>
      </c>
      <c r="I96" t="s">
        <v>29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v>0</v>
      </c>
      <c r="AD96">
        <v>7.8</v>
      </c>
      <c r="AE96">
        <v>744</v>
      </c>
      <c r="AF96">
        <v>22.256944444444429</v>
      </c>
      <c r="AG96">
        <v>18.114035087719301</v>
      </c>
      <c r="AH96">
        <f>22.3657224919037*1</f>
        <v>22.3657224919037</v>
      </c>
      <c r="AI96">
        <f>4.47314449838074*1</f>
        <v>4.4731444983807398</v>
      </c>
      <c r="AJ96">
        <v>1</v>
      </c>
      <c r="AK96">
        <v>1</v>
      </c>
      <c r="AL96">
        <v>1</v>
      </c>
    </row>
    <row r="97" spans="1:38" x14ac:dyDescent="0.2">
      <c r="A97" t="s">
        <v>101</v>
      </c>
      <c r="B97" t="s">
        <v>102</v>
      </c>
      <c r="C97" t="s">
        <v>102</v>
      </c>
      <c r="D97" t="s">
        <v>6</v>
      </c>
      <c r="E97">
        <v>0</v>
      </c>
      <c r="F97">
        <v>0</v>
      </c>
      <c r="G97">
        <v>0</v>
      </c>
      <c r="H97">
        <v>1</v>
      </c>
      <c r="I97" t="s">
        <v>13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6.9</v>
      </c>
      <c r="AE97">
        <v>100</v>
      </c>
      <c r="AF97">
        <v>30.73863803650563</v>
      </c>
      <c r="AG97">
        <v>17.131578947368421</v>
      </c>
      <c r="AH97">
        <f>25.5109831822738*1</f>
        <v>25.510983182273801</v>
      </c>
      <c r="AI97">
        <f>4.4423209249399*1</f>
        <v>4.4423209249399003</v>
      </c>
      <c r="AJ97">
        <v>1</v>
      </c>
      <c r="AK97">
        <v>1</v>
      </c>
      <c r="AL97">
        <v>1</v>
      </c>
    </row>
    <row r="98" spans="1:38" hidden="1" x14ac:dyDescent="0.2">
      <c r="A98" t="s">
        <v>245</v>
      </c>
      <c r="B98" t="s">
        <v>246</v>
      </c>
      <c r="C98" t="s">
        <v>246</v>
      </c>
      <c r="D98" t="s">
        <v>6</v>
      </c>
      <c r="E98">
        <v>0</v>
      </c>
      <c r="F98">
        <v>0</v>
      </c>
      <c r="G98">
        <v>0</v>
      </c>
      <c r="H98">
        <v>1</v>
      </c>
      <c r="I98" t="s">
        <v>22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4.9000000000000004</v>
      </c>
      <c r="AE98">
        <v>457</v>
      </c>
      <c r="AF98">
        <v>14.571428571428561</v>
      </c>
      <c r="AG98">
        <v>14.625</v>
      </c>
      <c r="AH98">
        <f>23.2560530356465*1</f>
        <v>23.256053035646499</v>
      </c>
      <c r="AI98">
        <f>7.75201767854883*1</f>
        <v>7.7520176785488299</v>
      </c>
      <c r="AJ98">
        <v>1</v>
      </c>
      <c r="AK98">
        <v>0</v>
      </c>
      <c r="AL98">
        <v>0</v>
      </c>
    </row>
    <row r="99" spans="1:38" hidden="1" x14ac:dyDescent="0.2">
      <c r="A99" t="s">
        <v>247</v>
      </c>
      <c r="B99" t="s">
        <v>248</v>
      </c>
      <c r="C99" t="s">
        <v>248</v>
      </c>
      <c r="D99" t="s">
        <v>3</v>
      </c>
      <c r="E99">
        <v>1</v>
      </c>
      <c r="F99">
        <v>0</v>
      </c>
      <c r="G99">
        <v>0</v>
      </c>
      <c r="H99">
        <v>0</v>
      </c>
      <c r="I99" t="s">
        <v>22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4.5</v>
      </c>
      <c r="AE99">
        <v>476</v>
      </c>
      <c r="AF99">
        <v>14.18181818181818</v>
      </c>
      <c r="AG99">
        <v>15.75</v>
      </c>
      <c r="AH99">
        <f>25.0449801658209*1</f>
        <v>25.044980165820899</v>
      </c>
      <c r="AI99">
        <f>8.34832672194031*1</f>
        <v>8.3483267219403103</v>
      </c>
      <c r="AJ99">
        <v>1</v>
      </c>
      <c r="AK99">
        <v>0</v>
      </c>
      <c r="AL99">
        <v>0</v>
      </c>
    </row>
    <row r="100" spans="1:38" hidden="1" x14ac:dyDescent="0.2">
      <c r="A100" t="s">
        <v>249</v>
      </c>
      <c r="B100" t="s">
        <v>250</v>
      </c>
      <c r="C100" t="s">
        <v>250</v>
      </c>
      <c r="D100" t="s">
        <v>5</v>
      </c>
      <c r="E100">
        <v>0</v>
      </c>
      <c r="F100">
        <v>0</v>
      </c>
      <c r="G100">
        <v>1</v>
      </c>
      <c r="H100">
        <v>0</v>
      </c>
      <c r="I100" t="s">
        <v>22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5</v>
      </c>
      <c r="AE100">
        <v>477</v>
      </c>
      <c r="AF100">
        <v>20.277486826084221</v>
      </c>
      <c r="AG100">
        <v>17.09210526315789</v>
      </c>
      <c r="AH100">
        <f>27.1791389621547*1</f>
        <v>27.179138962154699</v>
      </c>
      <c r="AI100">
        <f>9.05971300510537*1</f>
        <v>9.0597130051053707</v>
      </c>
      <c r="AJ100">
        <v>1</v>
      </c>
      <c r="AK100">
        <v>0</v>
      </c>
      <c r="AL100">
        <v>0</v>
      </c>
    </row>
    <row r="101" spans="1:38" hidden="1" x14ac:dyDescent="0.2">
      <c r="A101" t="s">
        <v>251</v>
      </c>
      <c r="B101" t="s">
        <v>252</v>
      </c>
      <c r="C101" t="s">
        <v>252</v>
      </c>
      <c r="D101" t="s">
        <v>4</v>
      </c>
      <c r="E101">
        <v>0</v>
      </c>
      <c r="F101">
        <v>1</v>
      </c>
      <c r="G101">
        <v>0</v>
      </c>
      <c r="H101">
        <v>0</v>
      </c>
      <c r="I101" t="s">
        <v>23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4.9000000000000004</v>
      </c>
      <c r="AE101">
        <v>486</v>
      </c>
      <c r="AF101">
        <v>18.243639747255401</v>
      </c>
      <c r="AG101">
        <v>17.625</v>
      </c>
      <c r="AH101">
        <f>20.5278351964125*1</f>
        <v>20.5278351964125</v>
      </c>
      <c r="AI101">
        <f>6.8426117321375*1</f>
        <v>6.8426117321374997</v>
      </c>
      <c r="AJ101">
        <v>1</v>
      </c>
      <c r="AK101">
        <v>0</v>
      </c>
      <c r="AL101">
        <v>0</v>
      </c>
    </row>
    <row r="102" spans="1:38" hidden="1" x14ac:dyDescent="0.2">
      <c r="A102" t="s">
        <v>105</v>
      </c>
      <c r="B102" t="s">
        <v>253</v>
      </c>
      <c r="C102" t="s">
        <v>253</v>
      </c>
      <c r="D102" t="s">
        <v>4</v>
      </c>
      <c r="E102">
        <v>0</v>
      </c>
      <c r="F102">
        <v>1</v>
      </c>
      <c r="G102">
        <v>0</v>
      </c>
      <c r="H102">
        <v>0</v>
      </c>
      <c r="I102" t="s">
        <v>23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5</v>
      </c>
      <c r="AE102">
        <v>487</v>
      </c>
      <c r="AF102">
        <v>19.791044776119399</v>
      </c>
      <c r="AG102">
        <v>17.830188679245289</v>
      </c>
      <c r="AH102">
        <f>20.7668184243113*1</f>
        <v>20.7668184243113</v>
      </c>
      <c r="AI102">
        <f>6.92227280810377*1</f>
        <v>6.9222728081037701</v>
      </c>
      <c r="AJ102">
        <v>1</v>
      </c>
      <c r="AK102">
        <v>0</v>
      </c>
      <c r="AL102">
        <v>0</v>
      </c>
    </row>
    <row r="103" spans="1:38" hidden="1" x14ac:dyDescent="0.2">
      <c r="A103" t="s">
        <v>254</v>
      </c>
      <c r="B103" t="s">
        <v>255</v>
      </c>
      <c r="C103" t="s">
        <v>256</v>
      </c>
      <c r="D103" t="s">
        <v>6</v>
      </c>
      <c r="E103">
        <v>0</v>
      </c>
      <c r="F103">
        <v>0</v>
      </c>
      <c r="G103">
        <v>0</v>
      </c>
      <c r="H103">
        <v>1</v>
      </c>
      <c r="I103" t="s">
        <v>23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6.7</v>
      </c>
      <c r="AE103">
        <v>488</v>
      </c>
      <c r="AF103">
        <v>22.96153846153846</v>
      </c>
      <c r="AG103">
        <v>21.385672707481159</v>
      </c>
      <c r="AH103">
        <f>24.9078902072958*1</f>
        <v>24.9078902072958</v>
      </c>
      <c r="AI103">
        <f>8.30767021280391*1</f>
        <v>8.3076702128039095</v>
      </c>
      <c r="AJ103">
        <v>1</v>
      </c>
      <c r="AK103">
        <v>0</v>
      </c>
      <c r="AL103">
        <v>0</v>
      </c>
    </row>
    <row r="104" spans="1:38" hidden="1" x14ac:dyDescent="0.2">
      <c r="A104" t="s">
        <v>257</v>
      </c>
      <c r="B104" t="s">
        <v>258</v>
      </c>
      <c r="C104" t="s">
        <v>257</v>
      </c>
      <c r="D104" t="s">
        <v>5</v>
      </c>
      <c r="E104">
        <v>0</v>
      </c>
      <c r="F104">
        <v>0</v>
      </c>
      <c r="G104">
        <v>1</v>
      </c>
      <c r="H104">
        <v>0</v>
      </c>
      <c r="I104" t="s">
        <v>23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6.4</v>
      </c>
      <c r="AE104">
        <v>489</v>
      </c>
      <c r="AF104">
        <v>23.16</v>
      </c>
      <c r="AG104">
        <v>23.61849811069839</v>
      </c>
      <c r="AH104">
        <f>27.5084616625927*1</f>
        <v>27.508461662592701</v>
      </c>
      <c r="AI104">
        <f>9.16950490068051*1</f>
        <v>9.1695049006805096</v>
      </c>
      <c r="AJ104">
        <v>1</v>
      </c>
      <c r="AK104">
        <v>0</v>
      </c>
      <c r="AL104">
        <v>0</v>
      </c>
    </row>
    <row r="105" spans="1:38" hidden="1" x14ac:dyDescent="0.2">
      <c r="A105" t="s">
        <v>259</v>
      </c>
      <c r="B105" t="s">
        <v>260</v>
      </c>
      <c r="C105" t="s">
        <v>259</v>
      </c>
      <c r="D105" t="s">
        <v>4</v>
      </c>
      <c r="E105">
        <v>0</v>
      </c>
      <c r="F105">
        <v>1</v>
      </c>
      <c r="G105">
        <v>0</v>
      </c>
      <c r="H105">
        <v>0</v>
      </c>
      <c r="I105" t="s">
        <v>23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5.5</v>
      </c>
      <c r="AE105">
        <v>495</v>
      </c>
      <c r="AF105">
        <v>17.162790697674421</v>
      </c>
      <c r="AG105">
        <v>17.63636363636364</v>
      </c>
      <c r="AH105">
        <f>20.5410704221999*1</f>
        <v>20.541070422199901</v>
      </c>
      <c r="AI105">
        <f>6.84702347406666*1</f>
        <v>6.8470234740666598</v>
      </c>
      <c r="AJ105">
        <v>1</v>
      </c>
      <c r="AK105">
        <v>0</v>
      </c>
      <c r="AL105">
        <v>0</v>
      </c>
    </row>
    <row r="106" spans="1:38" hidden="1" x14ac:dyDescent="0.2">
      <c r="A106" t="s">
        <v>261</v>
      </c>
      <c r="B106" t="s">
        <v>262</v>
      </c>
      <c r="C106" t="s">
        <v>263</v>
      </c>
      <c r="D106" t="s">
        <v>3</v>
      </c>
      <c r="E106">
        <v>1</v>
      </c>
      <c r="F106">
        <v>0</v>
      </c>
      <c r="G106">
        <v>0</v>
      </c>
      <c r="H106">
        <v>0</v>
      </c>
      <c r="I106" t="s">
        <v>23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5.5</v>
      </c>
      <c r="AE106">
        <v>496</v>
      </c>
      <c r="AF106">
        <v>23.375000000000011</v>
      </c>
      <c r="AG106">
        <v>21.272943893261321</v>
      </c>
      <c r="AH106">
        <f>24.7765949721076*1</f>
        <v>24.776594972107599</v>
      </c>
      <c r="AI106">
        <f>8.25748877793273*1</f>
        <v>8.2574887779327302</v>
      </c>
      <c r="AJ106">
        <v>1</v>
      </c>
      <c r="AK106">
        <v>0</v>
      </c>
      <c r="AL106">
        <v>0</v>
      </c>
    </row>
    <row r="107" spans="1:38" x14ac:dyDescent="0.2">
      <c r="A107" t="s">
        <v>92</v>
      </c>
      <c r="B107" t="s">
        <v>93</v>
      </c>
      <c r="C107" t="s">
        <v>94</v>
      </c>
      <c r="D107" t="s">
        <v>3</v>
      </c>
      <c r="E107">
        <v>1</v>
      </c>
      <c r="F107">
        <v>0</v>
      </c>
      <c r="G107">
        <v>0</v>
      </c>
      <c r="H107">
        <v>0</v>
      </c>
      <c r="I107" t="s">
        <v>13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4.5999999999999996</v>
      </c>
      <c r="AE107">
        <v>92</v>
      </c>
      <c r="AF107">
        <v>21.700584998227729</v>
      </c>
      <c r="AG107">
        <v>19.416666666666671</v>
      </c>
      <c r="AH107">
        <f>24.8022480203325*1</f>
        <v>24.802248020332499</v>
      </c>
      <c r="AI107">
        <f>4.09094795889088*1</f>
        <v>4.0909479588908804</v>
      </c>
      <c r="AJ107">
        <v>1</v>
      </c>
      <c r="AK107">
        <v>1</v>
      </c>
      <c r="AL107">
        <v>1</v>
      </c>
    </row>
    <row r="108" spans="1:38" x14ac:dyDescent="0.2">
      <c r="A108" t="s">
        <v>161</v>
      </c>
      <c r="B108" t="s">
        <v>162</v>
      </c>
      <c r="C108" t="s">
        <v>162</v>
      </c>
      <c r="D108" t="s">
        <v>5</v>
      </c>
      <c r="E108">
        <v>0</v>
      </c>
      <c r="F108">
        <v>0</v>
      </c>
      <c r="G108">
        <v>1</v>
      </c>
      <c r="H108">
        <v>0</v>
      </c>
      <c r="I108" t="s">
        <v>17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7</v>
      </c>
      <c r="AE108">
        <v>273</v>
      </c>
      <c r="AF108">
        <v>16.588861516277611</v>
      </c>
      <c r="AG108">
        <v>22.737443581381559</v>
      </c>
      <c r="AH108">
        <f>15.1435432849617*1</f>
        <v>15.1435432849617</v>
      </c>
      <c r="AI108">
        <f>3.78588582124042*1</f>
        <v>3.7858858212404201</v>
      </c>
      <c r="AJ108">
        <v>1</v>
      </c>
      <c r="AK108">
        <v>1</v>
      </c>
      <c r="AL108">
        <v>1</v>
      </c>
    </row>
    <row r="109" spans="1:38" hidden="1" x14ac:dyDescent="0.2">
      <c r="A109" t="s">
        <v>268</v>
      </c>
      <c r="B109" t="s">
        <v>269</v>
      </c>
      <c r="C109" t="s">
        <v>268</v>
      </c>
      <c r="D109" t="s">
        <v>5</v>
      </c>
      <c r="E109">
        <v>0</v>
      </c>
      <c r="F109">
        <v>0</v>
      </c>
      <c r="G109">
        <v>1</v>
      </c>
      <c r="H109">
        <v>0</v>
      </c>
      <c r="I109" t="s">
        <v>23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5.6</v>
      </c>
      <c r="AE109">
        <v>506</v>
      </c>
      <c r="AF109">
        <v>19.764572401641271</v>
      </c>
      <c r="AG109">
        <v>17.495798319327729</v>
      </c>
      <c r="AH109">
        <f>20.3773540158201*1</f>
        <v>20.377354015820099</v>
      </c>
      <c r="AI109">
        <f>6.79245133860672*1</f>
        <v>6.7924513386067202</v>
      </c>
      <c r="AJ109">
        <v>1</v>
      </c>
      <c r="AK109">
        <v>0</v>
      </c>
      <c r="AL109">
        <v>0</v>
      </c>
    </row>
    <row r="110" spans="1:38" x14ac:dyDescent="0.2">
      <c r="A110" t="s">
        <v>56</v>
      </c>
      <c r="B110" t="s">
        <v>57</v>
      </c>
      <c r="C110" t="s">
        <v>57</v>
      </c>
      <c r="D110" t="s">
        <v>4</v>
      </c>
      <c r="E110">
        <v>0</v>
      </c>
      <c r="F110">
        <v>1</v>
      </c>
      <c r="G110">
        <v>0</v>
      </c>
      <c r="H110">
        <v>0</v>
      </c>
      <c r="I110" t="s">
        <v>11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5.6</v>
      </c>
      <c r="AE110">
        <v>18</v>
      </c>
      <c r="AF110">
        <v>18.217404566884401</v>
      </c>
      <c r="AG110">
        <v>19.065496153059801</v>
      </c>
      <c r="AH110">
        <f>20.4859392927446*1</f>
        <v>20.4859392927446</v>
      </c>
      <c r="AI110">
        <f>3.61005959840199*1</f>
        <v>3.6100595984019899</v>
      </c>
      <c r="AJ110">
        <v>1</v>
      </c>
      <c r="AK110">
        <v>1</v>
      </c>
      <c r="AL110">
        <v>1</v>
      </c>
    </row>
    <row r="111" spans="1:38" hidden="1" x14ac:dyDescent="0.2">
      <c r="A111" t="s">
        <v>272</v>
      </c>
      <c r="B111" t="s">
        <v>273</v>
      </c>
      <c r="C111" t="s">
        <v>273</v>
      </c>
      <c r="D111" t="s">
        <v>4</v>
      </c>
      <c r="E111">
        <v>0</v>
      </c>
      <c r="F111">
        <v>1</v>
      </c>
      <c r="G111">
        <v>0</v>
      </c>
      <c r="H111">
        <v>0</v>
      </c>
      <c r="I111" t="s">
        <v>23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4.8</v>
      </c>
      <c r="AE111">
        <v>512</v>
      </c>
      <c r="AF111">
        <v>13.950157252957499</v>
      </c>
      <c r="AG111">
        <v>17.13095168509231</v>
      </c>
      <c r="AH111">
        <f>19.9524171886116*1</f>
        <v>19.952417188611602</v>
      </c>
      <c r="AI111">
        <f>6.65540514364493*1</f>
        <v>6.6554051436449297</v>
      </c>
      <c r="AJ111">
        <v>1</v>
      </c>
      <c r="AK111">
        <v>0</v>
      </c>
      <c r="AL111">
        <v>0</v>
      </c>
    </row>
    <row r="112" spans="1:38" hidden="1" x14ac:dyDescent="0.2">
      <c r="A112" t="s">
        <v>274</v>
      </c>
      <c r="B112" t="s">
        <v>275</v>
      </c>
      <c r="C112" t="s">
        <v>276</v>
      </c>
      <c r="D112" t="s">
        <v>5</v>
      </c>
      <c r="E112">
        <v>0</v>
      </c>
      <c r="F112">
        <v>0</v>
      </c>
      <c r="G112">
        <v>1</v>
      </c>
      <c r="H112">
        <v>0</v>
      </c>
      <c r="I112" t="s">
        <v>24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8.1999999999999993</v>
      </c>
      <c r="AE112">
        <v>521</v>
      </c>
      <c r="AF112">
        <v>20.36363636363636</v>
      </c>
      <c r="AG112">
        <v>21.574155216070611</v>
      </c>
      <c r="AH112">
        <f>21.8798842689347*1</f>
        <v>21.879884268934699</v>
      </c>
      <c r="AI112">
        <f>4.37488470353801*1</f>
        <v>4.3748847035380098</v>
      </c>
      <c r="AJ112">
        <v>1</v>
      </c>
      <c r="AK112">
        <v>0</v>
      </c>
      <c r="AL112">
        <v>0</v>
      </c>
    </row>
    <row r="113" spans="1:38" hidden="1" x14ac:dyDescent="0.2">
      <c r="A113" t="s">
        <v>219</v>
      </c>
      <c r="B113" t="s">
        <v>277</v>
      </c>
      <c r="C113" t="s">
        <v>278</v>
      </c>
      <c r="D113" t="s">
        <v>4</v>
      </c>
      <c r="E113">
        <v>0</v>
      </c>
      <c r="F113">
        <v>1</v>
      </c>
      <c r="G113">
        <v>0</v>
      </c>
      <c r="H113">
        <v>0</v>
      </c>
      <c r="I113" t="s">
        <v>24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5.0999999999999996</v>
      </c>
      <c r="AE113">
        <v>525</v>
      </c>
      <c r="AF113">
        <v>17.934782608695659</v>
      </c>
      <c r="AG113">
        <v>17.076913374124079</v>
      </c>
      <c r="AH113">
        <f>17.3189118571096*1</f>
        <v>17.318911857109601</v>
      </c>
      <c r="AI113">
        <f>3.48984761248768*1</f>
        <v>3.4898476124876798</v>
      </c>
      <c r="AJ113">
        <v>1</v>
      </c>
      <c r="AK113">
        <v>0</v>
      </c>
      <c r="AL113">
        <v>0</v>
      </c>
    </row>
    <row r="114" spans="1:38" hidden="1" x14ac:dyDescent="0.2">
      <c r="A114" t="s">
        <v>279</v>
      </c>
      <c r="B114" t="s">
        <v>280</v>
      </c>
      <c r="C114" t="s">
        <v>280</v>
      </c>
      <c r="D114" t="s">
        <v>5</v>
      </c>
      <c r="E114">
        <v>0</v>
      </c>
      <c r="F114">
        <v>0</v>
      </c>
      <c r="G114">
        <v>1</v>
      </c>
      <c r="H114">
        <v>0</v>
      </c>
      <c r="I114" t="s">
        <v>24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4.9000000000000004</v>
      </c>
      <c r="AE114">
        <v>529</v>
      </c>
      <c r="AF114">
        <v>24.919580375022001</v>
      </c>
      <c r="AG114">
        <v>11.896551724137931</v>
      </c>
      <c r="AH114">
        <f>12.0651401920074*1</f>
        <v>12.0651401920074</v>
      </c>
      <c r="AI114">
        <f>2.41302781621929*1</f>
        <v>2.41302781621929</v>
      </c>
      <c r="AJ114">
        <v>1</v>
      </c>
      <c r="AK114">
        <v>0</v>
      </c>
      <c r="AL114">
        <v>0</v>
      </c>
    </row>
    <row r="115" spans="1:38" hidden="1" x14ac:dyDescent="0.2">
      <c r="A115" t="s">
        <v>281</v>
      </c>
      <c r="B115" t="s">
        <v>282</v>
      </c>
      <c r="C115" t="s">
        <v>283</v>
      </c>
      <c r="D115" t="s">
        <v>4</v>
      </c>
      <c r="E115">
        <v>0</v>
      </c>
      <c r="F115">
        <v>1</v>
      </c>
      <c r="G115">
        <v>0</v>
      </c>
      <c r="H115">
        <v>0</v>
      </c>
      <c r="I115" t="s">
        <v>24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4.5</v>
      </c>
      <c r="AE115">
        <v>532</v>
      </c>
      <c r="AF115">
        <v>14.85171432795514</v>
      </c>
      <c r="AG115">
        <v>15.23706896551724</v>
      </c>
      <c r="AH115">
        <f>15.4529947213071*1</f>
        <v>15.4529947213071</v>
      </c>
      <c r="AI115">
        <f>3.0905988960711*1</f>
        <v>3.0905988960710999</v>
      </c>
      <c r="AJ115">
        <v>1</v>
      </c>
      <c r="AK115">
        <v>0</v>
      </c>
      <c r="AL115">
        <v>0</v>
      </c>
    </row>
    <row r="116" spans="1:38" hidden="1" x14ac:dyDescent="0.2">
      <c r="A116" t="s">
        <v>284</v>
      </c>
      <c r="B116" t="s">
        <v>285</v>
      </c>
      <c r="C116" t="s">
        <v>285</v>
      </c>
      <c r="D116" t="s">
        <v>5</v>
      </c>
      <c r="E116">
        <v>0</v>
      </c>
      <c r="F116">
        <v>0</v>
      </c>
      <c r="G116">
        <v>1</v>
      </c>
      <c r="H116">
        <v>0</v>
      </c>
      <c r="I116" t="s">
        <v>24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4.5999999999999996</v>
      </c>
      <c r="AE116">
        <v>538</v>
      </c>
      <c r="AF116">
        <v>13.133802816901399</v>
      </c>
      <c r="AG116">
        <v>13.236607142857141</v>
      </c>
      <c r="AH116">
        <f>13.4241842152049*1</f>
        <v>13.4241842152049</v>
      </c>
      <c r="AI116">
        <f>2.68483684304099*1</f>
        <v>2.6848368430409901</v>
      </c>
      <c r="AJ116">
        <v>1</v>
      </c>
      <c r="AK116">
        <v>0</v>
      </c>
      <c r="AL116">
        <v>0</v>
      </c>
    </row>
    <row r="117" spans="1:38" hidden="1" x14ac:dyDescent="0.2">
      <c r="A117" t="s">
        <v>103</v>
      </c>
      <c r="B117" t="s">
        <v>286</v>
      </c>
      <c r="C117" t="s">
        <v>286</v>
      </c>
      <c r="D117" t="s">
        <v>5</v>
      </c>
      <c r="E117">
        <v>0</v>
      </c>
      <c r="F117">
        <v>0</v>
      </c>
      <c r="G117">
        <v>1</v>
      </c>
      <c r="H117">
        <v>0</v>
      </c>
      <c r="I117" t="s">
        <v>24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8.4</v>
      </c>
      <c r="AE117">
        <v>541</v>
      </c>
      <c r="AF117">
        <v>22.587209302325601</v>
      </c>
      <c r="AG117">
        <v>22.942750410248891</v>
      </c>
      <c r="AH117">
        <f>23.2678740352483*1</f>
        <v>23.267874035248301</v>
      </c>
      <c r="AI117">
        <f>4.65357480704966*1</f>
        <v>4.6535748070496599</v>
      </c>
      <c r="AJ117">
        <v>1</v>
      </c>
      <c r="AK117">
        <v>0</v>
      </c>
      <c r="AL117">
        <v>0</v>
      </c>
    </row>
    <row r="118" spans="1:38" hidden="1" x14ac:dyDescent="0.2">
      <c r="A118" t="s">
        <v>287</v>
      </c>
      <c r="B118" t="s">
        <v>288</v>
      </c>
      <c r="C118" t="s">
        <v>288</v>
      </c>
      <c r="D118" t="s">
        <v>3</v>
      </c>
      <c r="E118">
        <v>1</v>
      </c>
      <c r="F118">
        <v>0</v>
      </c>
      <c r="G118">
        <v>0</v>
      </c>
      <c r="H118">
        <v>0</v>
      </c>
      <c r="I118" t="s">
        <v>24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4.8</v>
      </c>
      <c r="AE118">
        <v>547</v>
      </c>
      <c r="AF118">
        <v>18.125</v>
      </c>
      <c r="AG118">
        <v>16.944444444444439</v>
      </c>
      <c r="AH118">
        <f>17.1845657342501*1</f>
        <v>17.1845657342501</v>
      </c>
      <c r="AI118">
        <f>3.43691314685003*1</f>
        <v>3.43691314685003</v>
      </c>
      <c r="AJ118">
        <v>1</v>
      </c>
      <c r="AK118">
        <v>0</v>
      </c>
      <c r="AL118">
        <v>0</v>
      </c>
    </row>
    <row r="119" spans="1:38" hidden="1" x14ac:dyDescent="0.2">
      <c r="A119" t="s">
        <v>289</v>
      </c>
      <c r="B119" t="s">
        <v>290</v>
      </c>
      <c r="C119" t="s">
        <v>290</v>
      </c>
      <c r="D119" t="s">
        <v>6</v>
      </c>
      <c r="E119">
        <v>0</v>
      </c>
      <c r="F119">
        <v>0</v>
      </c>
      <c r="G119">
        <v>0</v>
      </c>
      <c r="H119">
        <v>1</v>
      </c>
      <c r="I119" t="s">
        <v>24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7.1</v>
      </c>
      <c r="AE119">
        <v>548</v>
      </c>
      <c r="AF119">
        <v>23.838035463344109</v>
      </c>
      <c r="AG119">
        <v>11.428571428571431</v>
      </c>
      <c r="AH119">
        <f>11.5905280408803*1</f>
        <v>11.590528040880301</v>
      </c>
      <c r="AI119">
        <f>2.31810568370741*1</f>
        <v>2.3181056837074099</v>
      </c>
      <c r="AJ119">
        <v>1</v>
      </c>
      <c r="AK119">
        <v>0</v>
      </c>
      <c r="AL119">
        <v>0</v>
      </c>
    </row>
    <row r="120" spans="1:38" hidden="1" x14ac:dyDescent="0.2">
      <c r="A120" t="s">
        <v>274</v>
      </c>
      <c r="B120" t="s">
        <v>291</v>
      </c>
      <c r="C120" t="s">
        <v>292</v>
      </c>
      <c r="D120" t="s">
        <v>5</v>
      </c>
      <c r="E120">
        <v>0</v>
      </c>
      <c r="F120">
        <v>0</v>
      </c>
      <c r="G120">
        <v>1</v>
      </c>
      <c r="H120">
        <v>0</v>
      </c>
      <c r="I120" t="s">
        <v>25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5.8</v>
      </c>
      <c r="AE120">
        <v>563</v>
      </c>
      <c r="AF120">
        <v>17.313432835820901</v>
      </c>
      <c r="AG120">
        <v>17.357963086891079</v>
      </c>
      <c r="AH120">
        <f>15.6019448948395*1</f>
        <v>15.6019448948395</v>
      </c>
      <c r="AI120">
        <f>3.1203889789679*1</f>
        <v>3.1203889789678998</v>
      </c>
      <c r="AJ120">
        <v>1</v>
      </c>
      <c r="AK120">
        <v>0</v>
      </c>
      <c r="AL120">
        <v>0</v>
      </c>
    </row>
    <row r="121" spans="1:38" hidden="1" x14ac:dyDescent="0.2">
      <c r="A121" t="s">
        <v>293</v>
      </c>
      <c r="B121" t="s">
        <v>294</v>
      </c>
      <c r="C121" t="s">
        <v>294</v>
      </c>
      <c r="D121" t="s">
        <v>5</v>
      </c>
      <c r="E121">
        <v>0</v>
      </c>
      <c r="F121">
        <v>0</v>
      </c>
      <c r="G121">
        <v>1</v>
      </c>
      <c r="H121">
        <v>0</v>
      </c>
      <c r="I121" t="s">
        <v>25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6.1</v>
      </c>
      <c r="AE121">
        <v>569</v>
      </c>
      <c r="AF121">
        <v>19.256895302319538</v>
      </c>
      <c r="AG121">
        <v>13.18181818181818</v>
      </c>
      <c r="AH121">
        <f>13.0240657592075*1</f>
        <v>13.024065759207501</v>
      </c>
      <c r="AI121">
        <f>2.6048131518415*1</f>
        <v>2.6048131518414999</v>
      </c>
      <c r="AJ121">
        <v>1</v>
      </c>
      <c r="AK121">
        <v>0</v>
      </c>
      <c r="AL121">
        <v>0</v>
      </c>
    </row>
    <row r="122" spans="1:38" hidden="1" x14ac:dyDescent="0.2">
      <c r="A122" t="s">
        <v>295</v>
      </c>
      <c r="B122" t="s">
        <v>296</v>
      </c>
      <c r="C122" t="s">
        <v>296</v>
      </c>
      <c r="D122" t="s">
        <v>6</v>
      </c>
      <c r="E122">
        <v>0</v>
      </c>
      <c r="F122">
        <v>0</v>
      </c>
      <c r="G122">
        <v>0</v>
      </c>
      <c r="H122">
        <v>1</v>
      </c>
      <c r="I122" t="s">
        <v>25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7.5</v>
      </c>
      <c r="AE122">
        <v>572</v>
      </c>
      <c r="AF122">
        <v>23.24324324324326</v>
      </c>
      <c r="AG122">
        <v>19.384524778102499</v>
      </c>
      <c r="AH122">
        <f>18.1757530859792*1</f>
        <v>18.175753085979199</v>
      </c>
      <c r="AI122">
        <f>3.63561158586197*1</f>
        <v>3.63561158586197</v>
      </c>
      <c r="AJ122">
        <v>1</v>
      </c>
      <c r="AK122">
        <v>0</v>
      </c>
      <c r="AL122">
        <v>0</v>
      </c>
    </row>
    <row r="123" spans="1:38" hidden="1" x14ac:dyDescent="0.2">
      <c r="A123" t="s">
        <v>297</v>
      </c>
      <c r="B123" t="s">
        <v>298</v>
      </c>
      <c r="C123" t="s">
        <v>299</v>
      </c>
      <c r="D123" t="s">
        <v>5</v>
      </c>
      <c r="E123">
        <v>0</v>
      </c>
      <c r="F123">
        <v>0</v>
      </c>
      <c r="G123">
        <v>1</v>
      </c>
      <c r="H123">
        <v>0</v>
      </c>
      <c r="I123" t="s">
        <v>25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5.8</v>
      </c>
      <c r="AE123">
        <v>573</v>
      </c>
      <c r="AF123">
        <v>15.24565566934573</v>
      </c>
      <c r="AG123">
        <v>13.43220338983051</v>
      </c>
      <c r="AH123">
        <f>12.4290043532665*1</f>
        <v>12.4290043532665</v>
      </c>
      <c r="AI123">
        <f>2.4858008706533*1</f>
        <v>2.4858008706532999</v>
      </c>
      <c r="AJ123">
        <v>1</v>
      </c>
      <c r="AK123">
        <v>0</v>
      </c>
      <c r="AL123">
        <v>0</v>
      </c>
    </row>
    <row r="124" spans="1:38" hidden="1" x14ac:dyDescent="0.2">
      <c r="A124" t="s">
        <v>300</v>
      </c>
      <c r="B124" t="s">
        <v>301</v>
      </c>
      <c r="C124" t="s">
        <v>301</v>
      </c>
      <c r="D124" t="s">
        <v>5</v>
      </c>
      <c r="E124">
        <v>0</v>
      </c>
      <c r="F124">
        <v>0</v>
      </c>
      <c r="G124">
        <v>1</v>
      </c>
      <c r="H124">
        <v>0</v>
      </c>
      <c r="I124" t="s">
        <v>25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4.8</v>
      </c>
      <c r="AE124">
        <v>578</v>
      </c>
      <c r="AF124">
        <v>16.066034318782229</v>
      </c>
      <c r="AG124">
        <v>12.985436893203881</v>
      </c>
      <c r="AH124">
        <f>12.2711033282747*1</f>
        <v>12.2711033282747</v>
      </c>
      <c r="AI124">
        <f>2.21852648734419*1</f>
        <v>2.2185264873441901</v>
      </c>
      <c r="AJ124">
        <v>1</v>
      </c>
      <c r="AK124">
        <v>0</v>
      </c>
      <c r="AL124">
        <v>0</v>
      </c>
    </row>
    <row r="125" spans="1:38" hidden="1" x14ac:dyDescent="0.2">
      <c r="A125" t="s">
        <v>302</v>
      </c>
      <c r="B125" t="s">
        <v>303</v>
      </c>
      <c r="C125" t="s">
        <v>303</v>
      </c>
      <c r="D125" t="s">
        <v>4</v>
      </c>
      <c r="E125">
        <v>0</v>
      </c>
      <c r="F125">
        <v>1</v>
      </c>
      <c r="G125">
        <v>0</v>
      </c>
      <c r="H125">
        <v>0</v>
      </c>
      <c r="I125" t="s">
        <v>25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5.3</v>
      </c>
      <c r="AE125">
        <v>584</v>
      </c>
      <c r="AF125">
        <v>17.72187815247279</v>
      </c>
      <c r="AG125">
        <v>15.28508771929824</v>
      </c>
      <c r="AH125">
        <f>14.2153311878622*1</f>
        <v>14.2153311878622</v>
      </c>
      <c r="AI125">
        <f>2.93021141715915*1</f>
        <v>2.9302114171591498</v>
      </c>
      <c r="AJ125">
        <v>1</v>
      </c>
      <c r="AK125">
        <v>0</v>
      </c>
      <c r="AL125">
        <v>0</v>
      </c>
    </row>
    <row r="126" spans="1:38" hidden="1" x14ac:dyDescent="0.2">
      <c r="A126" t="s">
        <v>304</v>
      </c>
      <c r="B126" t="s">
        <v>305</v>
      </c>
      <c r="C126" t="s">
        <v>305</v>
      </c>
      <c r="D126" t="s">
        <v>4</v>
      </c>
      <c r="E126">
        <v>0</v>
      </c>
      <c r="F126">
        <v>1</v>
      </c>
      <c r="G126">
        <v>0</v>
      </c>
      <c r="H126">
        <v>0</v>
      </c>
      <c r="I126" t="s">
        <v>25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6.8</v>
      </c>
      <c r="AE126">
        <v>587</v>
      </c>
      <c r="AF126">
        <v>23.58688981805577</v>
      </c>
      <c r="AG126">
        <v>18.838028169014081</v>
      </c>
      <c r="AH126">
        <f>17.8555998826732*1</f>
        <v>17.8555998826732</v>
      </c>
      <c r="AI126">
        <f>3.46812202557537*1</f>
        <v>3.46812202557537</v>
      </c>
      <c r="AJ126">
        <v>1</v>
      </c>
      <c r="AK126">
        <v>0</v>
      </c>
      <c r="AL126">
        <v>0</v>
      </c>
    </row>
    <row r="127" spans="1:38" hidden="1" x14ac:dyDescent="0.2">
      <c r="A127" t="s">
        <v>306</v>
      </c>
      <c r="B127" t="s">
        <v>307</v>
      </c>
      <c r="C127" t="s">
        <v>307</v>
      </c>
      <c r="D127" t="s">
        <v>3</v>
      </c>
      <c r="E127">
        <v>1</v>
      </c>
      <c r="F127">
        <v>0</v>
      </c>
      <c r="G127">
        <v>0</v>
      </c>
      <c r="H127">
        <v>0</v>
      </c>
      <c r="I127" t="s">
        <v>26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3.9</v>
      </c>
      <c r="AE127">
        <v>603</v>
      </c>
      <c r="AF127">
        <v>12.352941176470591</v>
      </c>
      <c r="AG127">
        <v>13.95833333333333</v>
      </c>
      <c r="AH127">
        <f>18.4736736123852*1</f>
        <v>18.473673612385198</v>
      </c>
      <c r="AI127">
        <f>3.69473472247705*1</f>
        <v>3.6947347224770501</v>
      </c>
      <c r="AJ127">
        <v>1</v>
      </c>
      <c r="AK127">
        <v>0</v>
      </c>
      <c r="AL127">
        <v>0</v>
      </c>
    </row>
    <row r="128" spans="1:38" hidden="1" x14ac:dyDescent="0.2">
      <c r="A128" t="s">
        <v>293</v>
      </c>
      <c r="B128" t="s">
        <v>308</v>
      </c>
      <c r="C128" t="s">
        <v>308</v>
      </c>
      <c r="D128" t="s">
        <v>5</v>
      </c>
      <c r="E128">
        <v>0</v>
      </c>
      <c r="F128">
        <v>0</v>
      </c>
      <c r="G128">
        <v>1</v>
      </c>
      <c r="H128">
        <v>0</v>
      </c>
      <c r="I128" t="s">
        <v>26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5.0999999999999996</v>
      </c>
      <c r="AE128">
        <v>605</v>
      </c>
      <c r="AF128">
        <v>19.152112421947159</v>
      </c>
      <c r="AG128">
        <v>13</v>
      </c>
      <c r="AH128">
        <f>17.2054245411238*1</f>
        <v>17.205424541123801</v>
      </c>
      <c r="AI128">
        <f>3.4410944911639*1</f>
        <v>3.4410944911638999</v>
      </c>
      <c r="AJ128">
        <v>1</v>
      </c>
      <c r="AK128">
        <v>0</v>
      </c>
      <c r="AL128">
        <v>0</v>
      </c>
    </row>
    <row r="129" spans="1:38" hidden="1" x14ac:dyDescent="0.2">
      <c r="A129" t="s">
        <v>309</v>
      </c>
      <c r="B129" t="s">
        <v>310</v>
      </c>
      <c r="C129" t="s">
        <v>310</v>
      </c>
      <c r="D129" t="s">
        <v>5</v>
      </c>
      <c r="E129">
        <v>0</v>
      </c>
      <c r="F129">
        <v>0</v>
      </c>
      <c r="G129">
        <v>1</v>
      </c>
      <c r="H129">
        <v>0</v>
      </c>
      <c r="I129" t="s">
        <v>26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5.7</v>
      </c>
      <c r="AE129">
        <v>619</v>
      </c>
      <c r="AF129">
        <v>17.328436668193739</v>
      </c>
      <c r="AG129">
        <v>13.871951219512191</v>
      </c>
      <c r="AH129">
        <f>18.3594092409497*1</f>
        <v>18.359409240949699</v>
      </c>
      <c r="AI129">
        <f>3.67188184818995*1</f>
        <v>3.6718818481899498</v>
      </c>
      <c r="AJ129">
        <v>1</v>
      </c>
      <c r="AK129">
        <v>0</v>
      </c>
      <c r="AL129">
        <v>0</v>
      </c>
    </row>
    <row r="130" spans="1:38" hidden="1" x14ac:dyDescent="0.2">
      <c r="A130" t="s">
        <v>311</v>
      </c>
      <c r="B130" t="s">
        <v>312</v>
      </c>
      <c r="C130" t="s">
        <v>312</v>
      </c>
      <c r="D130" t="s">
        <v>6</v>
      </c>
      <c r="E130">
        <v>0</v>
      </c>
      <c r="F130">
        <v>0</v>
      </c>
      <c r="G130">
        <v>0</v>
      </c>
      <c r="H130">
        <v>1</v>
      </c>
      <c r="I130" t="s">
        <v>26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4.9000000000000004</v>
      </c>
      <c r="AE130">
        <v>639</v>
      </c>
      <c r="AF130">
        <v>16.793067035552799</v>
      </c>
      <c r="AG130">
        <v>16.267857142857139</v>
      </c>
      <c r="AH130">
        <f>21.53032754675*1</f>
        <v>21.530327546750001</v>
      </c>
      <c r="AI130">
        <f>4.30606136225695*1</f>
        <v>4.3060613622569504</v>
      </c>
      <c r="AJ130">
        <v>1</v>
      </c>
      <c r="AK130">
        <v>0</v>
      </c>
      <c r="AL130">
        <v>0</v>
      </c>
    </row>
    <row r="131" spans="1:38" hidden="1" x14ac:dyDescent="0.2">
      <c r="A131" t="s">
        <v>313</v>
      </c>
      <c r="B131" t="s">
        <v>314</v>
      </c>
      <c r="C131" t="s">
        <v>314</v>
      </c>
      <c r="D131" t="s">
        <v>6</v>
      </c>
      <c r="E131">
        <v>0</v>
      </c>
      <c r="F131">
        <v>0</v>
      </c>
      <c r="G131">
        <v>0</v>
      </c>
      <c r="H131">
        <v>1</v>
      </c>
      <c r="I131" t="s">
        <v>27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0</v>
      </c>
      <c r="AB131">
        <v>0</v>
      </c>
      <c r="AC131">
        <v>0</v>
      </c>
      <c r="AD131">
        <v>4.3</v>
      </c>
      <c r="AE131">
        <v>659</v>
      </c>
      <c r="AF131">
        <v>12.32193145915922</v>
      </c>
      <c r="AG131">
        <v>12.327948323859189</v>
      </c>
      <c r="AH131">
        <f>14.1578464814499*1</f>
        <v>14.1578464814499</v>
      </c>
      <c r="AI131">
        <f>2.83492311387942*1</f>
        <v>2.83492311387942</v>
      </c>
      <c r="AJ131">
        <v>1</v>
      </c>
      <c r="AK131">
        <v>0</v>
      </c>
      <c r="AL131">
        <v>0</v>
      </c>
    </row>
    <row r="132" spans="1:38" hidden="1" x14ac:dyDescent="0.2">
      <c r="A132" t="s">
        <v>146</v>
      </c>
      <c r="B132" t="s">
        <v>315</v>
      </c>
      <c r="C132" t="s">
        <v>315</v>
      </c>
      <c r="D132" t="s">
        <v>5</v>
      </c>
      <c r="E132">
        <v>0</v>
      </c>
      <c r="F132">
        <v>0</v>
      </c>
      <c r="G132">
        <v>1</v>
      </c>
      <c r="H132">
        <v>0</v>
      </c>
      <c r="I132" t="s">
        <v>27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0</v>
      </c>
      <c r="AB132">
        <v>0</v>
      </c>
      <c r="AC132">
        <v>0</v>
      </c>
      <c r="AD132">
        <v>4.4000000000000004</v>
      </c>
      <c r="AE132">
        <v>661</v>
      </c>
      <c r="AF132">
        <v>21.712211646326821</v>
      </c>
      <c r="AG132">
        <v>12.8125</v>
      </c>
      <c r="AH132">
        <f>14.7143225521562*1</f>
        <v>14.714322552156201</v>
      </c>
      <c r="AI132">
        <f>2.94286451043125*1</f>
        <v>2.9428645104312499</v>
      </c>
      <c r="AJ132">
        <v>1</v>
      </c>
      <c r="AK132">
        <v>0</v>
      </c>
      <c r="AL132">
        <v>0</v>
      </c>
    </row>
    <row r="133" spans="1:38" hidden="1" x14ac:dyDescent="0.2">
      <c r="A133" t="s">
        <v>316</v>
      </c>
      <c r="B133" t="s">
        <v>317</v>
      </c>
      <c r="C133" t="s">
        <v>318</v>
      </c>
      <c r="D133" t="s">
        <v>5</v>
      </c>
      <c r="E133">
        <v>0</v>
      </c>
      <c r="F133">
        <v>0</v>
      </c>
      <c r="G133">
        <v>1</v>
      </c>
      <c r="H133">
        <v>0</v>
      </c>
      <c r="I133" t="s">
        <v>27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5</v>
      </c>
      <c r="AE133">
        <v>685</v>
      </c>
      <c r="AF133">
        <v>11.52173913043478</v>
      </c>
      <c r="AG133">
        <v>11.76470588235294</v>
      </c>
      <c r="AH133">
        <f>13.5109991870588*1</f>
        <v>13.5109991870588</v>
      </c>
      <c r="AI133">
        <f>2.70219983741176*1</f>
        <v>2.7021998374117602</v>
      </c>
      <c r="AJ133">
        <v>1</v>
      </c>
      <c r="AK133">
        <v>0</v>
      </c>
      <c r="AL133">
        <v>0</v>
      </c>
    </row>
    <row r="134" spans="1:38" hidden="1" x14ac:dyDescent="0.2">
      <c r="A134" t="s">
        <v>319</v>
      </c>
      <c r="B134" t="s">
        <v>320</v>
      </c>
      <c r="C134" t="s">
        <v>320</v>
      </c>
      <c r="D134" t="s">
        <v>5</v>
      </c>
      <c r="E134">
        <v>0</v>
      </c>
      <c r="F134">
        <v>0</v>
      </c>
      <c r="G134">
        <v>1</v>
      </c>
      <c r="H134">
        <v>0</v>
      </c>
      <c r="I134" t="s">
        <v>28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0</v>
      </c>
      <c r="AC134">
        <v>0</v>
      </c>
      <c r="AD134">
        <v>5.8</v>
      </c>
      <c r="AE134">
        <v>698</v>
      </c>
      <c r="AF134">
        <v>12.600636698714711</v>
      </c>
      <c r="AG134">
        <v>12.222051682388621</v>
      </c>
      <c r="AH134">
        <f>14.6554507179905*1</f>
        <v>14.655450717990499</v>
      </c>
      <c r="AI134">
        <f>3.66386215395219*1</f>
        <v>3.6638621539521901</v>
      </c>
      <c r="AJ134">
        <v>1</v>
      </c>
      <c r="AK134">
        <v>0</v>
      </c>
      <c r="AL134">
        <v>0</v>
      </c>
    </row>
    <row r="135" spans="1:38" x14ac:dyDescent="0.2">
      <c r="A135" t="s">
        <v>136</v>
      </c>
      <c r="B135" t="s">
        <v>137</v>
      </c>
      <c r="C135" t="s">
        <v>137</v>
      </c>
      <c r="D135" t="s">
        <v>3</v>
      </c>
      <c r="E135">
        <v>1</v>
      </c>
      <c r="F135">
        <v>0</v>
      </c>
      <c r="G135">
        <v>0</v>
      </c>
      <c r="H135">
        <v>0</v>
      </c>
      <c r="I135" t="s">
        <v>15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4.2</v>
      </c>
      <c r="AE135">
        <v>182</v>
      </c>
      <c r="AF135">
        <v>17.93452918934074</v>
      </c>
      <c r="AG135">
        <v>15.65789473684211</v>
      </c>
      <c r="AH135">
        <f>16.1998109067931*1</f>
        <v>16.1998109067931</v>
      </c>
      <c r="AI135">
        <f>3.23996241914661*1</f>
        <v>3.2399624191466101</v>
      </c>
      <c r="AJ135">
        <v>1</v>
      </c>
      <c r="AK135">
        <v>1</v>
      </c>
      <c r="AL135">
        <v>1</v>
      </c>
    </row>
    <row r="136" spans="1:38" hidden="1" x14ac:dyDescent="0.2">
      <c r="A136" t="s">
        <v>146</v>
      </c>
      <c r="B136" t="s">
        <v>323</v>
      </c>
      <c r="C136" t="s">
        <v>323</v>
      </c>
      <c r="D136" t="s">
        <v>5</v>
      </c>
      <c r="E136">
        <v>0</v>
      </c>
      <c r="F136">
        <v>0</v>
      </c>
      <c r="G136">
        <v>1</v>
      </c>
      <c r="H136">
        <v>0</v>
      </c>
      <c r="I136" t="s">
        <v>28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0</v>
      </c>
      <c r="AD136">
        <v>8</v>
      </c>
      <c r="AE136">
        <v>712</v>
      </c>
      <c r="AF136">
        <v>17.560865841990179</v>
      </c>
      <c r="AG136">
        <v>17.56670406483104</v>
      </c>
      <c r="AH136">
        <f>21.0642181966248*1</f>
        <v>21.0642181966248</v>
      </c>
      <c r="AI136">
        <f>5.26605452087376*1</f>
        <v>5.2660545208737597</v>
      </c>
      <c r="AJ136">
        <v>1</v>
      </c>
      <c r="AK136">
        <v>0</v>
      </c>
      <c r="AL136">
        <v>0</v>
      </c>
    </row>
    <row r="137" spans="1:38" hidden="1" x14ac:dyDescent="0.2">
      <c r="A137" t="s">
        <v>324</v>
      </c>
      <c r="B137" t="s">
        <v>325</v>
      </c>
      <c r="C137" t="s">
        <v>326</v>
      </c>
      <c r="D137" t="s">
        <v>4</v>
      </c>
      <c r="E137">
        <v>0</v>
      </c>
      <c r="F137">
        <v>1</v>
      </c>
      <c r="G137">
        <v>0</v>
      </c>
      <c r="H137">
        <v>0</v>
      </c>
      <c r="I137" t="s">
        <v>28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0</v>
      </c>
      <c r="AC137">
        <v>0</v>
      </c>
      <c r="AD137">
        <v>5.8</v>
      </c>
      <c r="AE137">
        <v>714</v>
      </c>
      <c r="AF137">
        <v>15.368421052631581</v>
      </c>
      <c r="AG137">
        <v>13.992388734275551</v>
      </c>
      <c r="AH137">
        <f>16.7782605334842*1</f>
        <v>16.7782605334842</v>
      </c>
      <c r="AI137">
        <f>4.21188320293535*1</f>
        <v>4.2118832029353497</v>
      </c>
      <c r="AJ137">
        <v>1</v>
      </c>
      <c r="AK137">
        <v>0</v>
      </c>
      <c r="AL137">
        <v>0</v>
      </c>
    </row>
    <row r="138" spans="1:38" hidden="1" x14ac:dyDescent="0.2">
      <c r="A138" t="s">
        <v>327</v>
      </c>
      <c r="B138" t="s">
        <v>328</v>
      </c>
      <c r="C138" t="s">
        <v>327</v>
      </c>
      <c r="D138" t="s">
        <v>5</v>
      </c>
      <c r="E138">
        <v>0</v>
      </c>
      <c r="F138">
        <v>0</v>
      </c>
      <c r="G138">
        <v>1</v>
      </c>
      <c r="H138">
        <v>0</v>
      </c>
      <c r="I138" t="s">
        <v>28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7.2</v>
      </c>
      <c r="AE138">
        <v>716</v>
      </c>
      <c r="AF138">
        <v>15.79310344827587</v>
      </c>
      <c r="AG138">
        <v>13.913043478260869</v>
      </c>
      <c r="AH138">
        <f>16.6831178809992*1</f>
        <v>16.683117880999198</v>
      </c>
      <c r="AI138">
        <f>4.17077947024981*1</f>
        <v>4.1707794702498102</v>
      </c>
      <c r="AJ138">
        <v>1</v>
      </c>
      <c r="AK138">
        <v>0</v>
      </c>
      <c r="AL138">
        <v>0</v>
      </c>
    </row>
    <row r="139" spans="1:38" hidden="1" x14ac:dyDescent="0.2">
      <c r="A139" t="s">
        <v>329</v>
      </c>
      <c r="B139" t="s">
        <v>330</v>
      </c>
      <c r="C139" t="s">
        <v>330</v>
      </c>
      <c r="D139" t="s">
        <v>5</v>
      </c>
      <c r="E139">
        <v>0</v>
      </c>
      <c r="F139">
        <v>0</v>
      </c>
      <c r="G139">
        <v>1</v>
      </c>
      <c r="H139">
        <v>0</v>
      </c>
      <c r="I139" t="s">
        <v>28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0</v>
      </c>
      <c r="AD139">
        <v>4.4000000000000004</v>
      </c>
      <c r="AE139">
        <v>720</v>
      </c>
      <c r="AF139">
        <v>9.8064516129032242</v>
      </c>
      <c r="AG139">
        <v>9.5833333333333339</v>
      </c>
      <c r="AH139">
        <f>11.4913659939186*1</f>
        <v>11.491365993918601</v>
      </c>
      <c r="AI139">
        <f>2.87284149847965*1</f>
        <v>2.8728414984796502</v>
      </c>
      <c r="AJ139">
        <v>1</v>
      </c>
      <c r="AK139">
        <v>0</v>
      </c>
      <c r="AL139">
        <v>0</v>
      </c>
    </row>
    <row r="140" spans="1:38" hidden="1" x14ac:dyDescent="0.2">
      <c r="A140" t="s">
        <v>331</v>
      </c>
      <c r="B140" t="s">
        <v>332</v>
      </c>
      <c r="C140" t="s">
        <v>331</v>
      </c>
      <c r="D140" t="s">
        <v>5</v>
      </c>
      <c r="E140">
        <v>0</v>
      </c>
      <c r="F140">
        <v>0</v>
      </c>
      <c r="G140">
        <v>1</v>
      </c>
      <c r="H140">
        <v>0</v>
      </c>
      <c r="I140" t="s">
        <v>28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0</v>
      </c>
      <c r="AD140">
        <v>9.6</v>
      </c>
      <c r="AE140">
        <v>723</v>
      </c>
      <c r="AF140">
        <v>20.714285714285719</v>
      </c>
      <c r="AG140">
        <v>20.046187273676939</v>
      </c>
      <c r="AH140">
        <f>24.0373643886118*1</f>
        <v>24.037364388611799</v>
      </c>
      <c r="AI140">
        <f>6.00934038678413*1</f>
        <v>6.00934038678413</v>
      </c>
      <c r="AJ140">
        <v>1</v>
      </c>
      <c r="AK140">
        <v>0</v>
      </c>
      <c r="AL140">
        <v>0</v>
      </c>
    </row>
    <row r="141" spans="1:38" hidden="1" x14ac:dyDescent="0.2">
      <c r="A141" t="s">
        <v>333</v>
      </c>
      <c r="B141" t="s">
        <v>334</v>
      </c>
      <c r="C141" t="s">
        <v>334</v>
      </c>
      <c r="D141" t="s">
        <v>4</v>
      </c>
      <c r="E141">
        <v>0</v>
      </c>
      <c r="F141">
        <v>1</v>
      </c>
      <c r="G141">
        <v>0</v>
      </c>
      <c r="H141">
        <v>0</v>
      </c>
      <c r="I141" t="s">
        <v>28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0</v>
      </c>
      <c r="AD141">
        <v>4.9000000000000004</v>
      </c>
      <c r="AE141">
        <v>726</v>
      </c>
      <c r="AF141">
        <v>12.19047619047619</v>
      </c>
      <c r="AG141">
        <v>11.125</v>
      </c>
      <c r="AH141">
        <f>13.3399773152291*1</f>
        <v>13.339977315229101</v>
      </c>
      <c r="AI141">
        <f>3.33499432880729*1</f>
        <v>3.3349943288072899</v>
      </c>
      <c r="AJ141">
        <v>1</v>
      </c>
      <c r="AK141">
        <v>0</v>
      </c>
      <c r="AL141">
        <v>0</v>
      </c>
    </row>
    <row r="142" spans="1:38" hidden="1" x14ac:dyDescent="0.2">
      <c r="A142" t="s">
        <v>335</v>
      </c>
      <c r="B142" t="s">
        <v>336</v>
      </c>
      <c r="C142" t="s">
        <v>336</v>
      </c>
      <c r="D142" t="s">
        <v>3</v>
      </c>
      <c r="E142">
        <v>1</v>
      </c>
      <c r="F142">
        <v>0</v>
      </c>
      <c r="G142">
        <v>0</v>
      </c>
      <c r="H142">
        <v>0</v>
      </c>
      <c r="I142" t="s">
        <v>29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0</v>
      </c>
      <c r="AD142">
        <v>4.2</v>
      </c>
      <c r="AE142">
        <v>742</v>
      </c>
      <c r="AF142">
        <v>15.65972724879127</v>
      </c>
      <c r="AG142">
        <v>15.851063829787231</v>
      </c>
      <c r="AH142">
        <f>17.3982061894261*1</f>
        <v>17.398206189426102</v>
      </c>
      <c r="AI142">
        <f>3.201805193482*1</f>
        <v>3.201805193482</v>
      </c>
      <c r="AJ142">
        <v>1</v>
      </c>
      <c r="AK142">
        <v>0</v>
      </c>
      <c r="AL142">
        <v>0</v>
      </c>
    </row>
    <row r="143" spans="1:38" x14ac:dyDescent="0.2">
      <c r="A143" t="s">
        <v>185</v>
      </c>
      <c r="B143" t="s">
        <v>186</v>
      </c>
      <c r="C143" t="s">
        <v>186</v>
      </c>
      <c r="D143" t="s">
        <v>4</v>
      </c>
      <c r="E143">
        <v>0</v>
      </c>
      <c r="F143">
        <v>1</v>
      </c>
      <c r="G143">
        <v>0</v>
      </c>
      <c r="H143">
        <v>0</v>
      </c>
      <c r="I143" t="s">
        <v>19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4.5999999999999996</v>
      </c>
      <c r="AE143">
        <v>344</v>
      </c>
      <c r="AF143">
        <v>14.51006622148819</v>
      </c>
      <c r="AG143">
        <v>13.64583333333333</v>
      </c>
      <c r="AH143">
        <f>15.9421162383405*1</f>
        <v>15.9421162383405</v>
      </c>
      <c r="AI143">
        <f>3.18842296613119*1</f>
        <v>3.1884229661311898</v>
      </c>
      <c r="AJ143">
        <v>1</v>
      </c>
      <c r="AK143">
        <v>1</v>
      </c>
      <c r="AL143">
        <v>1</v>
      </c>
    </row>
    <row r="144" spans="1:38" hidden="1" x14ac:dyDescent="0.2">
      <c r="A144" t="s">
        <v>339</v>
      </c>
      <c r="B144" t="s">
        <v>340</v>
      </c>
      <c r="C144" t="s">
        <v>340</v>
      </c>
      <c r="D144" t="s">
        <v>4</v>
      </c>
      <c r="E144">
        <v>0</v>
      </c>
      <c r="F144">
        <v>1</v>
      </c>
      <c r="G144">
        <v>0</v>
      </c>
      <c r="H144">
        <v>0</v>
      </c>
      <c r="I144" t="s">
        <v>29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4.5999999999999996</v>
      </c>
      <c r="AE144">
        <v>746</v>
      </c>
      <c r="AF144">
        <v>11.98534316362259</v>
      </c>
      <c r="AG144">
        <v>14.15472827111542</v>
      </c>
      <c r="AH144">
        <f>14.3982507591512*1</f>
        <v>14.3982507591512</v>
      </c>
      <c r="AI144">
        <f>2.25359547376042*1</f>
        <v>2.25359547376042</v>
      </c>
      <c r="AJ144">
        <v>1</v>
      </c>
      <c r="AK144">
        <v>0</v>
      </c>
      <c r="AL144">
        <v>0</v>
      </c>
    </row>
    <row r="145" spans="1:38" hidden="1" x14ac:dyDescent="0.2">
      <c r="A145" t="s">
        <v>73</v>
      </c>
      <c r="B145" t="s">
        <v>341</v>
      </c>
      <c r="C145" t="s">
        <v>342</v>
      </c>
      <c r="D145" t="s">
        <v>5</v>
      </c>
      <c r="E145">
        <v>0</v>
      </c>
      <c r="F145">
        <v>0</v>
      </c>
      <c r="G145">
        <v>1</v>
      </c>
      <c r="H145">
        <v>0</v>
      </c>
      <c r="I145" t="s">
        <v>29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6</v>
      </c>
      <c r="AE145">
        <v>757</v>
      </c>
      <c r="AF145">
        <v>17.72727272727273</v>
      </c>
      <c r="AG145">
        <v>15.856576594632701</v>
      </c>
      <c r="AH145">
        <f>18.5785082627151*1</f>
        <v>18.578508262715101</v>
      </c>
      <c r="AI145">
        <f>3.71583637133138*1</f>
        <v>3.7158363713313798</v>
      </c>
      <c r="AJ145">
        <v>1</v>
      </c>
      <c r="AK145">
        <v>0</v>
      </c>
      <c r="AL145">
        <v>0</v>
      </c>
    </row>
    <row r="146" spans="1:38" hidden="1" x14ac:dyDescent="0.2">
      <c r="A146" t="s">
        <v>343</v>
      </c>
      <c r="B146" t="s">
        <v>344</v>
      </c>
      <c r="C146" t="s">
        <v>344</v>
      </c>
      <c r="D146" t="s">
        <v>5</v>
      </c>
      <c r="E146">
        <v>0</v>
      </c>
      <c r="F146">
        <v>0</v>
      </c>
      <c r="G146">
        <v>1</v>
      </c>
      <c r="H146">
        <v>0</v>
      </c>
      <c r="I146" t="s">
        <v>29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4.9000000000000004</v>
      </c>
      <c r="AE146">
        <v>759</v>
      </c>
      <c r="AF146">
        <v>17.175430099310532</v>
      </c>
      <c r="AG146">
        <v>18.26402061705048</v>
      </c>
      <c r="AH146">
        <f>19.552329086269*1</f>
        <v>19.552329086269001</v>
      </c>
      <c r="AI146">
        <f>3.77648799563246*1</f>
        <v>3.77648799563246</v>
      </c>
      <c r="AJ146">
        <v>1</v>
      </c>
      <c r="AK146">
        <v>0</v>
      </c>
      <c r="AL146">
        <v>0</v>
      </c>
    </row>
    <row r="147" spans="1:38" hidden="1" x14ac:dyDescent="0.2">
      <c r="A147" t="s">
        <v>146</v>
      </c>
      <c r="B147" t="s">
        <v>345</v>
      </c>
      <c r="C147" t="s">
        <v>345</v>
      </c>
      <c r="D147" t="s">
        <v>5</v>
      </c>
      <c r="E147">
        <v>0</v>
      </c>
      <c r="F147">
        <v>0</v>
      </c>
      <c r="G147">
        <v>1</v>
      </c>
      <c r="H147">
        <v>0</v>
      </c>
      <c r="I147" t="s">
        <v>29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6</v>
      </c>
      <c r="AE147">
        <v>765</v>
      </c>
      <c r="AF147">
        <v>19.278155696797</v>
      </c>
      <c r="AG147">
        <v>19.070437890643209</v>
      </c>
      <c r="AH147">
        <f>21.1811754999952*1</f>
        <v>21.181175499995199</v>
      </c>
      <c r="AI147">
        <f>4.13795715753821*1</f>
        <v>4.1379571575382101</v>
      </c>
      <c r="AJ147">
        <v>1</v>
      </c>
      <c r="AK147">
        <v>0</v>
      </c>
      <c r="AL147">
        <v>0</v>
      </c>
    </row>
    <row r="148" spans="1:38" hidden="1" x14ac:dyDescent="0.2">
      <c r="A148" t="s">
        <v>346</v>
      </c>
      <c r="B148" t="s">
        <v>347</v>
      </c>
      <c r="C148" t="s">
        <v>347</v>
      </c>
      <c r="D148" t="s">
        <v>5</v>
      </c>
      <c r="E148">
        <v>0</v>
      </c>
      <c r="F148">
        <v>0</v>
      </c>
      <c r="G148">
        <v>1</v>
      </c>
      <c r="H148">
        <v>0</v>
      </c>
      <c r="I148" t="s">
        <v>29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6.8</v>
      </c>
      <c r="AE148">
        <v>767</v>
      </c>
      <c r="AF148">
        <v>22.10526315789475</v>
      </c>
      <c r="AG148">
        <v>24.112028202141481</v>
      </c>
      <c r="AH148">
        <f>25.4884791753039*1</f>
        <v>25.488479175303901</v>
      </c>
      <c r="AI148">
        <f>5.09803514540306*1</f>
        <v>5.0980351454030597</v>
      </c>
      <c r="AJ148">
        <v>1</v>
      </c>
      <c r="AK148">
        <v>0</v>
      </c>
      <c r="AL148">
        <v>0</v>
      </c>
    </row>
    <row r="149" spans="1:38" hidden="1" x14ac:dyDescent="0.2">
      <c r="A149" t="s">
        <v>348</v>
      </c>
      <c r="B149" t="s">
        <v>349</v>
      </c>
      <c r="C149" t="s">
        <v>349</v>
      </c>
      <c r="D149" t="s">
        <v>4</v>
      </c>
      <c r="E149">
        <v>0</v>
      </c>
      <c r="F149">
        <v>1</v>
      </c>
      <c r="G149">
        <v>0</v>
      </c>
      <c r="H149">
        <v>0</v>
      </c>
      <c r="I149" t="s">
        <v>30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4.5</v>
      </c>
      <c r="AE149">
        <v>779</v>
      </c>
      <c r="AF149">
        <v>10.209417594621129</v>
      </c>
      <c r="AG149">
        <v>14.01960784313725</v>
      </c>
      <c r="AH149">
        <f>15.7418562495465*1</f>
        <v>15.741856249546499</v>
      </c>
      <c r="AI149">
        <f>3.38962548309863*1</f>
        <v>3.3896254830986301</v>
      </c>
      <c r="AJ149">
        <v>1</v>
      </c>
      <c r="AK149">
        <v>0</v>
      </c>
      <c r="AL149">
        <v>0</v>
      </c>
    </row>
    <row r="150" spans="1:38" hidden="1" x14ac:dyDescent="0.2">
      <c r="A150" t="s">
        <v>350</v>
      </c>
      <c r="B150" t="s">
        <v>351</v>
      </c>
      <c r="C150" t="s">
        <v>352</v>
      </c>
      <c r="D150" t="s">
        <v>5</v>
      </c>
      <c r="E150">
        <v>0</v>
      </c>
      <c r="F150">
        <v>0</v>
      </c>
      <c r="G150">
        <v>1</v>
      </c>
      <c r="H150">
        <v>0</v>
      </c>
      <c r="I150" t="s">
        <v>30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1</v>
      </c>
      <c r="AD150">
        <v>5.5</v>
      </c>
      <c r="AE150">
        <v>784</v>
      </c>
      <c r="AF150">
        <v>32.131937659858643</v>
      </c>
      <c r="AG150">
        <v>14.58333333333333</v>
      </c>
      <c r="AH150">
        <f>30.0842963400507*1</f>
        <v>30.084296340050699</v>
      </c>
      <c r="AI150">
        <f>5.83816220136664*1</f>
        <v>5.8381622013666403</v>
      </c>
      <c r="AJ150">
        <v>1</v>
      </c>
      <c r="AK150">
        <v>0</v>
      </c>
      <c r="AL150">
        <v>0</v>
      </c>
    </row>
    <row r="151" spans="1:38" hidden="1" x14ac:dyDescent="0.2">
      <c r="A151" t="s">
        <v>353</v>
      </c>
      <c r="B151" t="s">
        <v>354</v>
      </c>
      <c r="C151" t="s">
        <v>355</v>
      </c>
      <c r="D151" t="s">
        <v>5</v>
      </c>
      <c r="E151">
        <v>0</v>
      </c>
      <c r="F151">
        <v>0</v>
      </c>
      <c r="G151">
        <v>1</v>
      </c>
      <c r="H151">
        <v>0</v>
      </c>
      <c r="I151" t="s">
        <v>30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4.9000000000000004</v>
      </c>
      <c r="AE151">
        <v>785</v>
      </c>
      <c r="AF151">
        <v>9.8437500000000018</v>
      </c>
      <c r="AG151">
        <v>11.5625</v>
      </c>
      <c r="AH151">
        <f>13.8901914506859*1</f>
        <v>13.890191450685901</v>
      </c>
      <c r="AI151">
        <f>2.77803829013718*1</f>
        <v>2.7780382901371801</v>
      </c>
      <c r="AJ151">
        <v>1</v>
      </c>
      <c r="AK151">
        <v>0</v>
      </c>
      <c r="AL151">
        <v>0</v>
      </c>
    </row>
    <row r="152" spans="1:38" hidden="1" x14ac:dyDescent="0.2">
      <c r="A152" t="s">
        <v>356</v>
      </c>
      <c r="B152" t="s">
        <v>357</v>
      </c>
      <c r="C152" t="s">
        <v>357</v>
      </c>
      <c r="D152" t="s">
        <v>4</v>
      </c>
      <c r="E152">
        <v>0</v>
      </c>
      <c r="F152">
        <v>1</v>
      </c>
      <c r="G152">
        <v>0</v>
      </c>
      <c r="H152">
        <v>0</v>
      </c>
      <c r="I152" t="s">
        <v>30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1</v>
      </c>
      <c r="AD152">
        <v>4.5</v>
      </c>
      <c r="AE152">
        <v>789</v>
      </c>
      <c r="AF152">
        <v>15.13513513513514</v>
      </c>
      <c r="AG152">
        <v>15.08522727272727</v>
      </c>
      <c r="AH152">
        <f>19.5829650621152*1</f>
        <v>19.5829650621152</v>
      </c>
      <c r="AI152">
        <f>3.91659301242305*1</f>
        <v>3.9165930124230499</v>
      </c>
      <c r="AJ152">
        <v>1</v>
      </c>
      <c r="AK152">
        <v>0</v>
      </c>
      <c r="AL152">
        <v>0</v>
      </c>
    </row>
    <row r="153" spans="1:38" hidden="1" x14ac:dyDescent="0.2">
      <c r="A153" t="s">
        <v>358</v>
      </c>
      <c r="B153" t="s">
        <v>359</v>
      </c>
      <c r="C153" t="s">
        <v>360</v>
      </c>
      <c r="D153" t="s">
        <v>5</v>
      </c>
      <c r="E153">
        <v>0</v>
      </c>
      <c r="F153">
        <v>0</v>
      </c>
      <c r="G153">
        <v>1</v>
      </c>
      <c r="H153">
        <v>0</v>
      </c>
      <c r="I153" t="s">
        <v>30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4.9000000000000004</v>
      </c>
      <c r="AE153">
        <v>791</v>
      </c>
      <c r="AF153">
        <v>11.16279069767443</v>
      </c>
      <c r="AG153">
        <v>12.5</v>
      </c>
      <c r="AH153">
        <f>15.3483887246162*1</f>
        <v>15.3483887246162</v>
      </c>
      <c r="AI153">
        <f>3.06967774492325*1</f>
        <v>3.0696777449232502</v>
      </c>
      <c r="AJ153">
        <v>1</v>
      </c>
      <c r="AK153">
        <v>0</v>
      </c>
      <c r="AL153">
        <v>0</v>
      </c>
    </row>
    <row r="154" spans="1:38" hidden="1" x14ac:dyDescent="0.2">
      <c r="A154" t="s">
        <v>361</v>
      </c>
      <c r="B154" t="s">
        <v>362</v>
      </c>
      <c r="C154" t="s">
        <v>363</v>
      </c>
      <c r="D154" t="s">
        <v>3</v>
      </c>
      <c r="E154">
        <v>1</v>
      </c>
      <c r="F154">
        <v>0</v>
      </c>
      <c r="G154">
        <v>0</v>
      </c>
      <c r="H154">
        <v>0</v>
      </c>
      <c r="I154" t="s">
        <v>30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1</v>
      </c>
      <c r="AD154">
        <v>5</v>
      </c>
      <c r="AE154">
        <v>794</v>
      </c>
      <c r="AF154">
        <v>19.544342658663432</v>
      </c>
      <c r="AG154">
        <v>18.566506997921099</v>
      </c>
      <c r="AH154">
        <f>24.6862287309347*1</f>
        <v>24.686228730934701</v>
      </c>
      <c r="AI154">
        <f>5.03653641000964*1</f>
        <v>5.0365364100096404</v>
      </c>
      <c r="AJ154">
        <v>1</v>
      </c>
      <c r="AK154">
        <v>0</v>
      </c>
      <c r="AL154">
        <v>0</v>
      </c>
    </row>
    <row r="155" spans="1:38" hidden="1" x14ac:dyDescent="0.2">
      <c r="A155" t="s">
        <v>364</v>
      </c>
      <c r="B155" t="s">
        <v>365</v>
      </c>
      <c r="C155" t="s">
        <v>365</v>
      </c>
      <c r="D155" t="s">
        <v>5</v>
      </c>
      <c r="E155">
        <v>0</v>
      </c>
      <c r="F155">
        <v>0</v>
      </c>
      <c r="G155">
        <v>1</v>
      </c>
      <c r="H155">
        <v>0</v>
      </c>
      <c r="I155" t="s">
        <v>30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1</v>
      </c>
      <c r="AD155">
        <v>4.7</v>
      </c>
      <c r="AE155">
        <v>795</v>
      </c>
      <c r="AF155">
        <v>17.23075014348974</v>
      </c>
      <c r="AG155">
        <v>12.4923400386583</v>
      </c>
      <c r="AH155">
        <f>19.2104151153184*1</f>
        <v>19.210415115318401</v>
      </c>
      <c r="AI155">
        <f>4.58741119095865*1</f>
        <v>4.5874111909586501</v>
      </c>
      <c r="AJ155">
        <v>1</v>
      </c>
      <c r="AK155">
        <v>0</v>
      </c>
      <c r="AL155">
        <v>0</v>
      </c>
    </row>
    <row r="156" spans="1:38" hidden="1" x14ac:dyDescent="0.2">
      <c r="A156" t="s">
        <v>366</v>
      </c>
      <c r="B156" t="s">
        <v>367</v>
      </c>
      <c r="C156" t="s">
        <v>368</v>
      </c>
      <c r="D156" t="s">
        <v>4</v>
      </c>
      <c r="E156">
        <v>0</v>
      </c>
      <c r="F156">
        <v>1</v>
      </c>
      <c r="G156">
        <v>0</v>
      </c>
      <c r="H156">
        <v>0</v>
      </c>
      <c r="I156" t="s">
        <v>30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</v>
      </c>
      <c r="AD156">
        <v>4.4000000000000004</v>
      </c>
      <c r="AE156">
        <v>798</v>
      </c>
      <c r="AF156">
        <v>11.9047619047619</v>
      </c>
      <c r="AG156">
        <v>12.265625</v>
      </c>
      <c r="AH156">
        <f>15.6668470789319*1</f>
        <v>15.6668470789319</v>
      </c>
      <c r="AI156">
        <f>3.13336941578639*1</f>
        <v>3.1333694157863898</v>
      </c>
      <c r="AJ156">
        <v>1</v>
      </c>
      <c r="AK156">
        <v>0</v>
      </c>
      <c r="AL156">
        <v>0</v>
      </c>
    </row>
    <row r="157" spans="1:38" hidden="1" x14ac:dyDescent="0.2">
      <c r="A157" t="s">
        <v>369</v>
      </c>
      <c r="B157" t="s">
        <v>370</v>
      </c>
      <c r="C157" t="s">
        <v>371</v>
      </c>
      <c r="D157" t="s">
        <v>6</v>
      </c>
      <c r="E157">
        <v>0</v>
      </c>
      <c r="F157">
        <v>0</v>
      </c>
      <c r="G157">
        <v>0</v>
      </c>
      <c r="H157">
        <v>1</v>
      </c>
      <c r="I157" t="s">
        <v>30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1</v>
      </c>
      <c r="AD157">
        <v>5.8</v>
      </c>
      <c r="AE157">
        <v>800</v>
      </c>
      <c r="AF157">
        <v>32.486403882667389</v>
      </c>
      <c r="AG157">
        <v>14.363653210419759</v>
      </c>
      <c r="AH157">
        <f>0*0</f>
        <v>0</v>
      </c>
      <c r="AI157">
        <f>3.68417227895628*0</f>
        <v>0</v>
      </c>
      <c r="AJ157">
        <v>0</v>
      </c>
      <c r="AK157">
        <v>1</v>
      </c>
      <c r="AL157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Corridore, Gabe</cp:lastModifiedBy>
  <dcterms:created xsi:type="dcterms:W3CDTF">2024-02-17T04:36:49Z</dcterms:created>
  <dcterms:modified xsi:type="dcterms:W3CDTF">2024-02-17T04:40:07Z</dcterms:modified>
</cp:coreProperties>
</file>