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S" sheetId="1" r:id="rId1"/>
    <sheet name="AVL" sheetId="2" r:id="rId2"/>
    <sheet name="BOU" sheetId="3" r:id="rId3"/>
    <sheet name="BRE" sheetId="4" r:id="rId4"/>
    <sheet name="BHA" sheetId="5" r:id="rId5"/>
    <sheet name="BUR" sheetId="6" r:id="rId6"/>
    <sheet name="CHE" sheetId="7" r:id="rId7"/>
    <sheet name="CRY" sheetId="8" r:id="rId8"/>
    <sheet name="EVE" sheetId="9" r:id="rId9"/>
    <sheet name="FUL" sheetId="10" r:id="rId10"/>
    <sheet name="LIV" sheetId="11" r:id="rId11"/>
    <sheet name="LUT" sheetId="12" r:id="rId12"/>
    <sheet name="MCI" sheetId="13" r:id="rId13"/>
    <sheet name="MUN" sheetId="14" r:id="rId14"/>
    <sheet name="NEW" sheetId="15" r:id="rId15"/>
    <sheet name="NFO" sheetId="16" r:id="rId16"/>
    <sheet name="SHU" sheetId="17" r:id="rId17"/>
    <sheet name="TOT" sheetId="18" r:id="rId18"/>
    <sheet name="WHU" sheetId="19" r:id="rId19"/>
    <sheet name="WOL" sheetId="20" r:id="rId20"/>
  </sheets>
  <calcPr calcId="124519" fullCalcOnLoad="1"/>
</workbook>
</file>

<file path=xl/sharedStrings.xml><?xml version="1.0" encoding="utf-8"?>
<sst xmlns="http://schemas.openxmlformats.org/spreadsheetml/2006/main" count="361" uniqueCount="169">
  <si>
    <t>ARIMA</t>
  </si>
  <si>
    <t>LSTM</t>
  </si>
  <si>
    <t>OFF</t>
  </si>
  <si>
    <t>AVG</t>
  </si>
  <si>
    <t>Name</t>
  </si>
  <si>
    <t>ARIMAPP</t>
  </si>
  <si>
    <t>LSTMPP</t>
  </si>
  <si>
    <t>PP</t>
  </si>
  <si>
    <t>AP</t>
  </si>
  <si>
    <t>DIFF</t>
  </si>
  <si>
    <t>Rice</t>
  </si>
  <si>
    <t>G.Jesus</t>
  </si>
  <si>
    <t>Zinchenko</t>
  </si>
  <si>
    <t>Saka</t>
  </si>
  <si>
    <t>Trossard</t>
  </si>
  <si>
    <t>Havertz</t>
  </si>
  <si>
    <t>Ødegaard</t>
  </si>
  <si>
    <t>Raya</t>
  </si>
  <si>
    <t>Saliba</t>
  </si>
  <si>
    <t>White</t>
  </si>
  <si>
    <t>Martinelli</t>
  </si>
  <si>
    <t>Gabriel</t>
  </si>
  <si>
    <t>Digne</t>
  </si>
  <si>
    <t>Tielemans</t>
  </si>
  <si>
    <t>Douglas Luiz</t>
  </si>
  <si>
    <t>McGinn</t>
  </si>
  <si>
    <t>Konsa</t>
  </si>
  <si>
    <t>Watkins</t>
  </si>
  <si>
    <t>Bailey</t>
  </si>
  <si>
    <t>Martinez</t>
  </si>
  <si>
    <t>Diaby</t>
  </si>
  <si>
    <t>Smith</t>
  </si>
  <si>
    <t>Solanke</t>
  </si>
  <si>
    <t>Christie</t>
  </si>
  <si>
    <t>Tavernier</t>
  </si>
  <si>
    <t>Senesi</t>
  </si>
  <si>
    <t>Neto</t>
  </si>
  <si>
    <t>Semenyo</t>
  </si>
  <si>
    <t>Zabarnyi</t>
  </si>
  <si>
    <t>Maupay</t>
  </si>
  <si>
    <t>Nørgaard</t>
  </si>
  <si>
    <t>Janelt</t>
  </si>
  <si>
    <t>Mbeumo</t>
  </si>
  <si>
    <t>Wissa</t>
  </si>
  <si>
    <t>Jensen</t>
  </si>
  <si>
    <t>Collins</t>
  </si>
  <si>
    <t>Lewis-Potter</t>
  </si>
  <si>
    <t>Flekken</t>
  </si>
  <si>
    <t>Gross</t>
  </si>
  <si>
    <t>Welbeck</t>
  </si>
  <si>
    <t>João Pedro</t>
  </si>
  <si>
    <t>Steele</t>
  </si>
  <si>
    <t>Mitoma</t>
  </si>
  <si>
    <t>Berge</t>
  </si>
  <si>
    <t>Brownhill</t>
  </si>
  <si>
    <t>O'Shea</t>
  </si>
  <si>
    <t>Trafford</t>
  </si>
  <si>
    <t>Amdouni</t>
  </si>
  <si>
    <t>Sterling</t>
  </si>
  <si>
    <t>Gallagher</t>
  </si>
  <si>
    <t>Palmer</t>
  </si>
  <si>
    <t>T.Silva</t>
  </si>
  <si>
    <t>Colwill</t>
  </si>
  <si>
    <t>Mudryk</t>
  </si>
  <si>
    <t>Enzo</t>
  </si>
  <si>
    <t>N.Jackson</t>
  </si>
  <si>
    <t>Ward</t>
  </si>
  <si>
    <t>J.Ayew</t>
  </si>
  <si>
    <t>Eze</t>
  </si>
  <si>
    <t>Johnstone</t>
  </si>
  <si>
    <t>Mateta</t>
  </si>
  <si>
    <t>Edouard</t>
  </si>
  <si>
    <t>Lerma</t>
  </si>
  <si>
    <t>A.Doucoure</t>
  </si>
  <si>
    <t>Tarkowski</t>
  </si>
  <si>
    <t>Pickford</t>
  </si>
  <si>
    <t>Calvert-Lewin</t>
  </si>
  <si>
    <t>McNeil</t>
  </si>
  <si>
    <t>Garner</t>
  </si>
  <si>
    <t>Branthwaite</t>
  </si>
  <si>
    <t>Harrison</t>
  </si>
  <si>
    <t>Mykolenko</t>
  </si>
  <si>
    <t>Onana</t>
  </si>
  <si>
    <t>Raúl</t>
  </si>
  <si>
    <t>Cairney</t>
  </si>
  <si>
    <t>Iwobi</t>
  </si>
  <si>
    <t>Leno</t>
  </si>
  <si>
    <t>Wilson</t>
  </si>
  <si>
    <t>Castagne</t>
  </si>
  <si>
    <t>Robinson</t>
  </si>
  <si>
    <t>J.Palhinha</t>
  </si>
  <si>
    <t>Andreas</t>
  </si>
  <si>
    <t>De Cordova-Reid</t>
  </si>
  <si>
    <t>Willian</t>
  </si>
  <si>
    <t>A.Becker</t>
  </si>
  <si>
    <t>Salah</t>
  </si>
  <si>
    <t>Alexander-Arnold</t>
  </si>
  <si>
    <t>Virgil</t>
  </si>
  <si>
    <t>Jones</t>
  </si>
  <si>
    <t>Mac Allister</t>
  </si>
  <si>
    <t>Konaté</t>
  </si>
  <si>
    <t>Luis Díaz</t>
  </si>
  <si>
    <t>Darwin</t>
  </si>
  <si>
    <t>Diogo J.</t>
  </si>
  <si>
    <t>Gakpo</t>
  </si>
  <si>
    <t>Szoboszlai</t>
  </si>
  <si>
    <t>Barkley</t>
  </si>
  <si>
    <t>Kaminski</t>
  </si>
  <si>
    <t>Adebayo</t>
  </si>
  <si>
    <t>Ogbene</t>
  </si>
  <si>
    <t>Doughty</t>
  </si>
  <si>
    <t>Morris</t>
  </si>
  <si>
    <t>Ederson M.</t>
  </si>
  <si>
    <t>Walker</t>
  </si>
  <si>
    <t>Aké</t>
  </si>
  <si>
    <t>Foden</t>
  </si>
  <si>
    <t>Rodrigo</t>
  </si>
  <si>
    <t>Haaland</t>
  </si>
  <si>
    <t>Bernardo</t>
  </si>
  <si>
    <t>J.Alvarez</t>
  </si>
  <si>
    <t>Akanji</t>
  </si>
  <si>
    <t>Rashford</t>
  </si>
  <si>
    <t>McTominay</t>
  </si>
  <si>
    <t>Lindelof</t>
  </si>
  <si>
    <t>B.Fernandes</t>
  </si>
  <si>
    <t>Dalot</t>
  </si>
  <si>
    <t>Garnacho</t>
  </si>
  <si>
    <t>Trippier</t>
  </si>
  <si>
    <t>Schär</t>
  </si>
  <si>
    <t>Longstaff</t>
  </si>
  <si>
    <t>Burn</t>
  </si>
  <si>
    <t>Joelinton</t>
  </si>
  <si>
    <t>Gordon</t>
  </si>
  <si>
    <t>Bruno G.</t>
  </si>
  <si>
    <t>Almirón</t>
  </si>
  <si>
    <t>Isak</t>
  </si>
  <si>
    <t>Wood</t>
  </si>
  <si>
    <t>Gibbs-White</t>
  </si>
  <si>
    <t>Elanga</t>
  </si>
  <si>
    <t>Archer</t>
  </si>
  <si>
    <t>McAtee</t>
  </si>
  <si>
    <t>Vini Souza</t>
  </si>
  <si>
    <t>Foderingham</t>
  </si>
  <si>
    <t>Hamer</t>
  </si>
  <si>
    <t>Maddison</t>
  </si>
  <si>
    <t>Richarlison</t>
  </si>
  <si>
    <t>Romero</t>
  </si>
  <si>
    <t>Kulusevski</t>
  </si>
  <si>
    <t>Johnson</t>
  </si>
  <si>
    <t>Son</t>
  </si>
  <si>
    <t>Sarr</t>
  </si>
  <si>
    <t>Pedro Porro</t>
  </si>
  <si>
    <t>Udogie</t>
  </si>
  <si>
    <t>Vicario</t>
  </si>
  <si>
    <t>Ward-Prowse</t>
  </si>
  <si>
    <t>Emerson</t>
  </si>
  <si>
    <t>Bowen</t>
  </si>
  <si>
    <t>Areola</t>
  </si>
  <si>
    <t>L.Paquetá</t>
  </si>
  <si>
    <t>Coufal</t>
  </si>
  <si>
    <t>Mario Jr.</t>
  </si>
  <si>
    <t>Kilman</t>
  </si>
  <si>
    <t>Dawson</t>
  </si>
  <si>
    <t>José Sá</t>
  </si>
  <si>
    <t>Toti</t>
  </si>
  <si>
    <t>Hee Chan</t>
  </si>
  <si>
    <t>Cunha</t>
  </si>
  <si>
    <t>Sarabia</t>
  </si>
  <si>
    <t>João Gomes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</si>
</sst>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RS" displayName="TableARS" ref="A1:F13" totalsRowShown="0">
  <autoFilter ref="A1:F13"/>
  <tableColumns count="6">
    <tableColumn id="1" name="Name"/>
    <tableColumn id="2" name="ARIMAPP"/>
    <tableColumn id="3" name="LSTMPP"/>
    <tableColumn id="4" name="PP">
      <calculatedColumnFormula>[[#This Row],ARIMAPP]*$I$2+[[#This Row],LSTMPP]*$I$3</calculatedColumnFormula>
    </tableColumn>
    <tableColumn id="5" name="AP"/>
    <tableColumn id="6" name="DIFF">
      <calculatedColumnFormula>ABS([[#This Row],PP]-[[#This Row],AP])</calculatedColumnFormula>
    </tableColumn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0" name="TableFUL" displayName="TableFUL" ref="A1:F12" totalsRowShown="0">
  <autoFilter ref="A1:F12"/>
  <tableColumns count="6">
    <tableColumn id="1" name="Name"/>
    <tableColumn id="2" name="ARIMAPP"/>
    <tableColumn id="3" name="LSTMPP"/>
    <tableColumn id="4" name="PP">
      <calculatedColumnFormula>[[#This Row],ARIMAPP]*$I$2+[[#This Row],LSTMPP]*$I$3</calculatedColumnFormula>
    </tableColumn>
    <tableColumn id="5" name="AP"/>
    <tableColumn id="6" name="DIFF">
      <calculatedColumnFormula>ABS([[#This Row],PP]-[[#This Row],AP])</calculatedColumnFormula>
    </tableColumn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1" name="TableLIV" displayName="TableLIV" ref="A1:F13" totalsRowShown="0">
  <autoFilter ref="A1:F13"/>
  <tableColumns count="6">
    <tableColumn id="1" name="Name"/>
    <tableColumn id="2" name="ARIMAPP"/>
    <tableColumn id="3" name="LSTMPP"/>
    <tableColumn id="4" name="PP">
      <calculatedColumnFormula>[[#This Row],ARIMAPP]*$I$2+[[#This Row],LSTMPP]*$I$3</calculatedColumnFormula>
    </tableColumn>
    <tableColumn id="5" name="AP"/>
    <tableColumn id="6" name="DIFF">
      <calculatedColumnFormula>ABS([[#This Row],PP]-[[#This Row],AP])</calculatedColumnFormula>
    </tableColumn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2" name="TableLUT" displayName="TableLUT" ref="A1:F7" totalsRowShown="0">
  <autoFilter ref="A1:F7"/>
  <tableColumns count="6">
    <tableColumn id="1" name="Name"/>
    <tableColumn id="2" name="ARIMAPP"/>
    <tableColumn id="3" name="LSTMPP"/>
    <tableColumn id="4" name="PP">
      <calculatedColumnFormula>[[#This Row],ARIMAPP]*$I$2+[[#This Row],LSTMPP]*$I$3</calculatedColumnFormula>
    </tableColumn>
    <tableColumn id="5" name="AP"/>
    <tableColumn id="6" name="DIFF">
      <calculatedColumnFormula>ABS([[#This Row],PP]-[[#This Row],AP])</calculatedColumnFormula>
    </tableColumn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13" name="TableMCI" displayName="TableMCI" ref="A1:F10" totalsRowShown="0">
  <autoFilter ref="A1:F10"/>
  <tableColumns count="6">
    <tableColumn id="1" name="Name"/>
    <tableColumn id="2" name="ARIMAPP"/>
    <tableColumn id="3" name="LSTMPP"/>
    <tableColumn id="4" name="PP">
      <calculatedColumnFormula>[[#This Row],ARIMAPP]*$I$2+[[#This Row],LSTMPP]*$I$3</calculatedColumnFormula>
    </tableColumn>
    <tableColumn id="5" name="AP"/>
    <tableColumn id="6" name="DIFF">
      <calculatedColumnFormula>ABS([[#This Row],PP]-[[#This Row],AP])</calculatedColumnFormula>
    </tableColumn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14" name="TableMUN" displayName="TableMUN" ref="A1:F8" totalsRowShown="0">
  <autoFilter ref="A1:F8"/>
  <tableColumns count="6">
    <tableColumn id="1" name="Name"/>
    <tableColumn id="2" name="ARIMAPP"/>
    <tableColumn id="3" name="LSTMPP"/>
    <tableColumn id="4" name="PP">
      <calculatedColumnFormula>[[#This Row],ARIMAPP]*$I$2+[[#This Row],LSTMPP]*$I$3</calculatedColumnFormula>
    </tableColumn>
    <tableColumn id="5" name="AP"/>
    <tableColumn id="6" name="DIFF">
      <calculatedColumnFormula>ABS([[#This Row],PP]-[[#This Row],AP])</calculatedColumnFormula>
    </tableColumn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15" name="TableNEW" displayName="TableNEW" ref="A1:F11" totalsRowShown="0">
  <autoFilter ref="A1:F11"/>
  <tableColumns count="6">
    <tableColumn id="1" name="Name"/>
    <tableColumn id="2" name="ARIMAPP"/>
    <tableColumn id="3" name="LSTMPP"/>
    <tableColumn id="4" name="PP">
      <calculatedColumnFormula>[[#This Row],ARIMAPP]*$I$2+[[#This Row],LSTMPP]*$I$3</calculatedColumnFormula>
    </tableColumn>
    <tableColumn id="5" name="AP"/>
    <tableColumn id="6" name="DIFF">
      <calculatedColumnFormula>ABS([[#This Row],PP]-[[#This Row],AP])</calculatedColumnFormula>
    </tableColumn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id="16" name="TableNFO" displayName="TableNFO" ref="A1:F4" totalsRowShown="0">
  <autoFilter ref="A1:F4"/>
  <tableColumns count="6">
    <tableColumn id="1" name="Name"/>
    <tableColumn id="2" name="ARIMAPP"/>
    <tableColumn id="3" name="LSTMPP"/>
    <tableColumn id="4" name="PP">
      <calculatedColumnFormula>[[#This Row],ARIMAPP]*$I$2+[[#This Row],LSTMPP]*$I$3</calculatedColumnFormula>
    </tableColumn>
    <tableColumn id="5" name="AP"/>
    <tableColumn id="6" name="DIFF">
      <calculatedColumnFormula>ABS([[#This Row],PP]-[[#This Row],AP])</calculatedColumnFormula>
    </tableColumn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id="17" name="TableSHU" displayName="TableSHU" ref="A1:F6" totalsRowShown="0">
  <autoFilter ref="A1:F6"/>
  <tableColumns count="6">
    <tableColumn id="1" name="Name"/>
    <tableColumn id="2" name="ARIMAPP"/>
    <tableColumn id="3" name="LSTMPP"/>
    <tableColumn id="4" name="PP">
      <calculatedColumnFormula>[[#This Row],ARIMAPP]*$I$2+[[#This Row],LSTMPP]*$I$3</calculatedColumnFormula>
    </tableColumn>
    <tableColumn id="5" name="AP"/>
    <tableColumn id="6" name="DIFF">
      <calculatedColumnFormula>ABS([[#This Row],PP]-[[#This Row],AP])</calculatedColumnFormula>
    </tableColumn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id="18" name="TableTOT" displayName="TableTOT" ref="A1:F11" totalsRowShown="0">
  <autoFilter ref="A1:F11"/>
  <tableColumns count="6">
    <tableColumn id="1" name="Name"/>
    <tableColumn id="2" name="ARIMAPP"/>
    <tableColumn id="3" name="LSTMPP"/>
    <tableColumn id="4" name="PP">
      <calculatedColumnFormula>[[#This Row],ARIMAPP]*$I$2+[[#This Row],LSTMPP]*$I$3</calculatedColumnFormula>
    </tableColumn>
    <tableColumn id="5" name="AP"/>
    <tableColumn id="6" name="DIFF">
      <calculatedColumnFormula>ABS([[#This Row],PP]-[[#This Row],AP])</calculatedColumnFormula>
    </tableColumn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id="19" name="TableWHU" displayName="TableWHU" ref="A1:F7" totalsRowShown="0">
  <autoFilter ref="A1:F7"/>
  <tableColumns count="6">
    <tableColumn id="1" name="Name"/>
    <tableColumn id="2" name="ARIMAPP"/>
    <tableColumn id="3" name="LSTMPP"/>
    <tableColumn id="4" name="PP">
      <calculatedColumnFormula>[[#This Row],ARIMAPP]*$I$2+[[#This Row],LSTMPP]*$I$3</calculatedColumnFormula>
    </tableColumn>
    <tableColumn id="5" name="AP"/>
    <tableColumn id="6" name="DIFF">
      <calculatedColumnFormula>ABS([[#This Row],PP]-[[#This Row],AP])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AVL" displayName="TableAVL" ref="A1:F10" totalsRowShown="0">
  <autoFilter ref="A1:F10"/>
  <tableColumns count="6">
    <tableColumn id="1" name="Name"/>
    <tableColumn id="2" name="ARIMAPP"/>
    <tableColumn id="3" name="LSTMPP"/>
    <tableColumn id="4" name="PP">
      <calculatedColumnFormula>[[#This Row],ARIMAPP]*$I$2+[[#This Row],LSTMPP]*$I$3</calculatedColumnFormula>
    </tableColumn>
    <tableColumn id="5" name="AP"/>
    <tableColumn id="6" name="DIFF">
      <calculatedColumnFormula>ABS([[#This Row],PP]-[[#This Row],AP])</calculatedColumnFormula>
    </tableColumn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id="20" name="TableWOL" displayName="TableWOL" ref="A1:F10" totalsRowShown="0">
  <autoFilter ref="A1:F10"/>
  <tableColumns count="6">
    <tableColumn id="1" name="Name"/>
    <tableColumn id="2" name="ARIMAPP"/>
    <tableColumn id="3" name="LSTMPP"/>
    <tableColumn id="4" name="PP">
      <calculatedColumnFormula>[[#This Row],ARIMAPP]*$I$2+[[#This Row],LSTMPP]*$I$3</calculatedColumnFormula>
    </tableColumn>
    <tableColumn id="5" name="AP"/>
    <tableColumn id="6" name="DIFF">
      <calculatedColumnFormula>ABS([[#This Row],PP]-[[#This Row],AP])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BOU" displayName="TableBOU" ref="A1:F9" totalsRowShown="0">
  <autoFilter ref="A1:F9"/>
  <tableColumns count="6">
    <tableColumn id="1" name="Name"/>
    <tableColumn id="2" name="ARIMAPP"/>
    <tableColumn id="3" name="LSTMPP"/>
    <tableColumn id="4" name="PP">
      <calculatedColumnFormula>[[#This Row],ARIMAPP]*$I$2+[[#This Row],LSTMPP]*$I$3</calculatedColumnFormula>
    </tableColumn>
    <tableColumn id="5" name="AP"/>
    <tableColumn id="6" name="DIFF">
      <calculatedColumnFormula>ABS([[#This Row],PP]-[[#This Row],AP])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BRE" displayName="TableBRE" ref="A1:F10" totalsRowShown="0">
  <autoFilter ref="A1:F10"/>
  <tableColumns count="6">
    <tableColumn id="1" name="Name"/>
    <tableColumn id="2" name="ARIMAPP"/>
    <tableColumn id="3" name="LSTMPP"/>
    <tableColumn id="4" name="PP">
      <calculatedColumnFormula>[[#This Row],ARIMAPP]*$I$2+[[#This Row],LSTMPP]*$I$3</calculatedColumnFormula>
    </tableColumn>
    <tableColumn id="5" name="AP"/>
    <tableColumn id="6" name="DIFF">
      <calculatedColumnFormula>ABS([[#This Row],PP]-[[#This Row],AP])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BHA" displayName="TableBHA" ref="A1:F6" totalsRowShown="0">
  <autoFilter ref="A1:F6"/>
  <tableColumns count="6">
    <tableColumn id="1" name="Name"/>
    <tableColumn id="2" name="ARIMAPP"/>
    <tableColumn id="3" name="LSTMPP"/>
    <tableColumn id="4" name="PP">
      <calculatedColumnFormula>[[#This Row],ARIMAPP]*$I$2+[[#This Row],LSTMPP]*$I$3</calculatedColumnFormula>
    </tableColumn>
    <tableColumn id="5" name="AP"/>
    <tableColumn id="6" name="DIFF">
      <calculatedColumnFormula>ABS([[#This Row],PP]-[[#This Row],AP])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BUR" displayName="TableBUR" ref="A1:F6" totalsRowShown="0">
  <autoFilter ref="A1:F6"/>
  <tableColumns count="6">
    <tableColumn id="1" name="Name"/>
    <tableColumn id="2" name="ARIMAPP"/>
    <tableColumn id="3" name="LSTMPP"/>
    <tableColumn id="4" name="PP">
      <calculatedColumnFormula>[[#This Row],ARIMAPP]*$I$2+[[#This Row],LSTMPP]*$I$3</calculatedColumnFormula>
    </tableColumn>
    <tableColumn id="5" name="AP"/>
    <tableColumn id="6" name="DIFF">
      <calculatedColumnFormula>ABS([[#This Row],PP]-[[#This Row],AP])</calculatedColumnFormula>
    </tableColumn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CHE" displayName="TableCHE" ref="A1:F9" totalsRowShown="0">
  <autoFilter ref="A1:F9"/>
  <tableColumns count="6">
    <tableColumn id="1" name="Name"/>
    <tableColumn id="2" name="ARIMAPP"/>
    <tableColumn id="3" name="LSTMPP"/>
    <tableColumn id="4" name="PP">
      <calculatedColumnFormula>[[#This Row],ARIMAPP]*$I$2+[[#This Row],LSTMPP]*$I$3</calculatedColumnFormula>
    </tableColumn>
    <tableColumn id="5" name="AP"/>
    <tableColumn id="6" name="DIFF">
      <calculatedColumnFormula>ABS([[#This Row],PP]-[[#This Row],AP])</calculatedColumnFormula>
    </tableColumn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CRY" displayName="TableCRY" ref="A1:F8" totalsRowShown="0">
  <autoFilter ref="A1:F8"/>
  <tableColumns count="6">
    <tableColumn id="1" name="Name"/>
    <tableColumn id="2" name="ARIMAPP"/>
    <tableColumn id="3" name="LSTMPP"/>
    <tableColumn id="4" name="PP">
      <calculatedColumnFormula>[[#This Row],ARIMAPP]*$I$2+[[#This Row],LSTMPP]*$I$3</calculatedColumnFormula>
    </tableColumn>
    <tableColumn id="5" name="AP"/>
    <tableColumn id="6" name="DIFF">
      <calculatedColumnFormula>ABS([[#This Row],PP]-[[#This Row],AP])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eEVE" displayName="TableEVE" ref="A1:F11" totalsRowShown="0">
  <autoFilter ref="A1:F11"/>
  <tableColumns count="6">
    <tableColumn id="1" name="Name"/>
    <tableColumn id="2" name="ARIMAPP"/>
    <tableColumn id="3" name="LSTMPP"/>
    <tableColumn id="4" name="PP">
      <calculatedColumnFormula>[[#This Row],ARIMAPP]*$I$2+[[#This Row],LSTMPP]*$I$3</calculatedColumnFormula>
    </tableColumn>
    <tableColumn id="5" name="AP"/>
    <tableColumn id="6" name="DIFF">
      <calculatedColumnFormula>ABS([[#This Row],PP]-[[#This Row],AP])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3"/>
  <sheetViews>
    <sheetView tabSelected="1" workbookViewId="0"/>
  </sheetViews>
  <sheetFormatPr defaultRowHeight="15"/>
  <cols>
    <col min="2" max="3" width="0" hidden="1" customWidth="1"/>
  </cols>
  <sheetData>
    <row r="1" spans="1:9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>
      <c r="A2" t="s">
        <v>10</v>
      </c>
      <c r="B2">
        <v>28.58070388093617</v>
      </c>
      <c r="C2">
        <v>28.15436241610738</v>
      </c>
      <c r="D2">
        <f>[[#This Row],ARIMAPP]*$I$2+[[#This Row],LSTMPP]*$I$3</f>
        <v>0</v>
      </c>
      <c r="E2">
        <v>44</v>
      </c>
      <c r="F2">
        <f>ABS([[#This Row],PP]-[[#This Row],AP])</f>
        <v>0</v>
      </c>
      <c r="H2" t="s">
        <v>0</v>
      </c>
      <c r="I2">
        <v>0.24749491537</v>
      </c>
    </row>
    <row r="3" spans="1:9">
      <c r="A3" t="s">
        <v>11</v>
      </c>
      <c r="B3">
        <v>40.40816326530614</v>
      </c>
      <c r="C3">
        <v>34.65811965811966</v>
      </c>
      <c r="D3">
        <f>[[#This Row],ARIMAPP]*$I$2+[[#This Row],LSTMPP]*$I$3</f>
        <v>0</v>
      </c>
      <c r="E3">
        <v>45</v>
      </c>
      <c r="F3">
        <f>ABS([[#This Row],PP]-[[#This Row],AP])</f>
        <v>0</v>
      </c>
      <c r="H3" t="s">
        <v>1</v>
      </c>
      <c r="I3">
        <v>0.83801775537</v>
      </c>
    </row>
    <row r="4" spans="1:9">
      <c r="A4" t="s">
        <v>12</v>
      </c>
      <c r="B4">
        <v>33.43434343434343</v>
      </c>
      <c r="C4">
        <v>31.21274874128079</v>
      </c>
      <c r="D4">
        <f>[[#This Row],ARIMAPP]*$I$2+[[#This Row],LSTMPP]*$I$3</f>
        <v>0</v>
      </c>
      <c r="E4">
        <v>41</v>
      </c>
      <c r="F4">
        <f>ABS([[#This Row],PP]-[[#This Row],AP])</f>
        <v>0</v>
      </c>
    </row>
    <row r="5" spans="1:9">
      <c r="A5" t="s">
        <v>13</v>
      </c>
      <c r="B5">
        <v>57.91843593620575</v>
      </c>
      <c r="C5">
        <v>41.40789613607229</v>
      </c>
      <c r="D5">
        <f>[[#This Row],ARIMAPP]*$I$2+[[#This Row],LSTMPP]*$I$3</f>
        <v>0</v>
      </c>
      <c r="E5">
        <v>57</v>
      </c>
      <c r="F5">
        <f>ABS([[#This Row],PP]-[[#This Row],AP])</f>
        <v>0</v>
      </c>
      <c r="H5" t="s">
        <v>2</v>
      </c>
      <c r="I5">
        <f>SUM(ABS(TableARS[PP]-TableARS[AP]))</f>
        <v>0</v>
      </c>
    </row>
    <row r="6" spans="1:9">
      <c r="A6" t="s">
        <v>14</v>
      </c>
      <c r="B6">
        <v>38.86470458062291</v>
      </c>
      <c r="C6">
        <v>40.01876580340194</v>
      </c>
      <c r="D6">
        <f>[[#This Row],ARIMAPP]*$I$2+[[#This Row],LSTMPP]*$I$3</f>
        <v>0</v>
      </c>
      <c r="E6">
        <v>32</v>
      </c>
      <c r="F6">
        <f>ABS([[#This Row],PP]-[[#This Row],AP])</f>
        <v>0</v>
      </c>
    </row>
    <row r="7" spans="1:9">
      <c r="A7" t="s">
        <v>15</v>
      </c>
      <c r="B7">
        <v>31.71717171717169</v>
      </c>
      <c r="C7">
        <v>34.73328869755288</v>
      </c>
      <c r="D7">
        <f>[[#This Row],ARIMAPP]*$I$2+[[#This Row],LSTMPP]*$I$3</f>
        <v>0</v>
      </c>
      <c r="E7">
        <v>32</v>
      </c>
      <c r="F7">
        <f>ABS([[#This Row],PP]-[[#This Row],AP])</f>
        <v>0</v>
      </c>
      <c r="H7" t="s">
        <v>3</v>
      </c>
      <c r="I7">
        <f>AVERAGE(TableARS[DIFF])/10</f>
        <v>0</v>
      </c>
    </row>
    <row r="8" spans="1:9">
      <c r="A8" t="s">
        <v>16</v>
      </c>
      <c r="B8">
        <v>55.63986343529228</v>
      </c>
      <c r="C8">
        <v>45.6695686348685</v>
      </c>
      <c r="D8">
        <f>[[#This Row],ARIMAPP]*$I$2+[[#This Row],LSTMPP]*$I$3</f>
        <v>0</v>
      </c>
      <c r="E8">
        <v>39</v>
      </c>
      <c r="F8">
        <f>ABS([[#This Row],PP]-[[#This Row],AP])</f>
        <v>0</v>
      </c>
    </row>
    <row r="9" spans="1:9">
      <c r="A9" t="s">
        <v>17</v>
      </c>
      <c r="B9">
        <v>42.26043175011644</v>
      </c>
      <c r="C9">
        <v>35.17374535810707</v>
      </c>
      <c r="D9">
        <f>[[#This Row],ARIMAPP]*$I$2+[[#This Row],LSTMPP]*$I$3</f>
        <v>0</v>
      </c>
      <c r="E9">
        <v>36</v>
      </c>
      <c r="F9">
        <f>ABS([[#This Row],PP]-[[#This Row],AP])</f>
        <v>0</v>
      </c>
    </row>
    <row r="10" spans="1:9">
      <c r="A10" t="s">
        <v>18</v>
      </c>
      <c r="B10">
        <v>45.00977337129862</v>
      </c>
      <c r="C10">
        <v>34.68161339864402</v>
      </c>
      <c r="D10">
        <f>[[#This Row],ARIMAPP]*$I$2+[[#This Row],LSTMPP]*$I$3</f>
        <v>0</v>
      </c>
      <c r="E10">
        <v>34</v>
      </c>
      <c r="F10">
        <f>ABS([[#This Row],PP]-[[#This Row],AP])</f>
        <v>0</v>
      </c>
    </row>
    <row r="11" spans="1:9">
      <c r="A11" t="s">
        <v>19</v>
      </c>
      <c r="B11">
        <v>41.22448979591837</v>
      </c>
      <c r="C11">
        <v>33.58974358974358</v>
      </c>
      <c r="D11">
        <f>[[#This Row],ARIMAPP]*$I$2+[[#This Row],LSTMPP]*$I$3</f>
        <v>0</v>
      </c>
      <c r="E11">
        <v>32</v>
      </c>
      <c r="F11">
        <f>ABS([[#This Row],PP]-[[#This Row],AP])</f>
        <v>0</v>
      </c>
    </row>
    <row r="12" spans="1:9">
      <c r="A12" t="s">
        <v>20</v>
      </c>
      <c r="B12">
        <v>48.04347826086958</v>
      </c>
      <c r="C12">
        <v>40.55555555555556</v>
      </c>
      <c r="D12">
        <f>[[#This Row],ARIMAPP]*$I$2+[[#This Row],LSTMPP]*$I$3</f>
        <v>0</v>
      </c>
      <c r="E12">
        <v>51</v>
      </c>
      <c r="F12">
        <f>ABS([[#This Row],PP]-[[#This Row],AP])</f>
        <v>0</v>
      </c>
    </row>
    <row r="13" spans="1:9">
      <c r="A13" t="s">
        <v>21</v>
      </c>
      <c r="B13">
        <v>35.83333333333335</v>
      </c>
      <c r="C13">
        <v>34.45450159985383</v>
      </c>
      <c r="D13">
        <f>[[#This Row],ARIMAPP]*$I$2+[[#This Row],LSTMPP]*$I$3</f>
        <v>0</v>
      </c>
      <c r="E13">
        <v>51</v>
      </c>
      <c r="F13">
        <f>ABS([[#This Row],PP]-[[#This Row],AP])</f>
        <v>0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I12"/>
  <sheetViews>
    <sheetView workbookViewId="0"/>
  </sheetViews>
  <sheetFormatPr defaultRowHeight="15"/>
  <cols>
    <col min="2" max="3" width="0" hidden="1" customWidth="1"/>
  </cols>
  <sheetData>
    <row r="1" spans="1:9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>
      <c r="A2" t="s">
        <v>83</v>
      </c>
      <c r="B2">
        <v>14.18327017615307</v>
      </c>
      <c r="C2">
        <v>41.09417108649363</v>
      </c>
      <c r="D2">
        <f>[[#This Row],ARIMAPP]*$I$2+[[#This Row],LSTMPP]*$I$3</f>
        <v>0</v>
      </c>
      <c r="E2">
        <v>42</v>
      </c>
      <c r="F2">
        <f>ABS([[#This Row],PP]-[[#This Row],AP])</f>
        <v>0</v>
      </c>
      <c r="H2" t="s">
        <v>0</v>
      </c>
      <c r="I2">
        <v>0.11885876598</v>
      </c>
    </row>
    <row r="3" spans="1:9">
      <c r="A3" t="s">
        <v>84</v>
      </c>
      <c r="B3">
        <v>20.48192771084338</v>
      </c>
      <c r="C3">
        <v>23.86363636363636</v>
      </c>
      <c r="D3">
        <f>[[#This Row],ARIMAPP]*$I$2+[[#This Row],LSTMPP]*$I$3</f>
        <v>0</v>
      </c>
      <c r="E3">
        <v>34</v>
      </c>
      <c r="F3">
        <f>ABS([[#This Row],PP]-[[#This Row],AP])</f>
        <v>0</v>
      </c>
      <c r="H3" t="s">
        <v>1</v>
      </c>
      <c r="I3">
        <v>1.0305642128</v>
      </c>
    </row>
    <row r="4" spans="1:9">
      <c r="A4" t="s">
        <v>85</v>
      </c>
      <c r="B4">
        <v>26.45569620253166</v>
      </c>
      <c r="C4">
        <v>27.93650793650794</v>
      </c>
      <c r="D4">
        <f>[[#This Row],ARIMAPP]*$I$2+[[#This Row],LSTMPP]*$I$3</f>
        <v>0</v>
      </c>
      <c r="E4">
        <v>42</v>
      </c>
      <c r="F4">
        <f>ABS([[#This Row],PP]-[[#This Row],AP])</f>
        <v>0</v>
      </c>
    </row>
    <row r="5" spans="1:9">
      <c r="A5" t="s">
        <v>86</v>
      </c>
      <c r="B5">
        <v>36.80447790775737</v>
      </c>
      <c r="C5">
        <v>32.80172413793104</v>
      </c>
      <c r="D5">
        <f>[[#This Row],ARIMAPP]*$I$2+[[#This Row],LSTMPP]*$I$3</f>
        <v>0</v>
      </c>
      <c r="E5">
        <v>34</v>
      </c>
      <c r="F5">
        <f>ABS([[#This Row],PP]-[[#This Row],AP])</f>
        <v>0</v>
      </c>
      <c r="H5" t="s">
        <v>2</v>
      </c>
      <c r="I5">
        <f>SUM(ABS(TableFUL[PP]-TableFUL[AP]))</f>
        <v>0</v>
      </c>
    </row>
    <row r="6" spans="1:9">
      <c r="A6" t="s">
        <v>87</v>
      </c>
      <c r="B6">
        <v>24.99999999999999</v>
      </c>
      <c r="C6">
        <v>26.96428571428572</v>
      </c>
      <c r="D6">
        <f>[[#This Row],ARIMAPP]*$I$2+[[#This Row],LSTMPP]*$I$3</f>
        <v>0</v>
      </c>
      <c r="E6">
        <v>31</v>
      </c>
      <c r="F6">
        <f>ABS([[#This Row],PP]-[[#This Row],AP])</f>
        <v>0</v>
      </c>
    </row>
    <row r="7" spans="1:9">
      <c r="A7" t="s">
        <v>88</v>
      </c>
      <c r="B7">
        <v>29.88124159517452</v>
      </c>
      <c r="C7">
        <v>30.46052631578948</v>
      </c>
      <c r="D7">
        <f>[[#This Row],ARIMAPP]*$I$2+[[#This Row],LSTMPP]*$I$3</f>
        <v>0</v>
      </c>
      <c r="E7">
        <v>28</v>
      </c>
      <c r="F7">
        <f>ABS([[#This Row],PP]-[[#This Row],AP])</f>
        <v>0</v>
      </c>
      <c r="H7" t="s">
        <v>3</v>
      </c>
      <c r="I7">
        <f>AVERAGE(TableFUL[DIFF])/10</f>
        <v>0</v>
      </c>
    </row>
    <row r="8" spans="1:9">
      <c r="A8" t="s">
        <v>89</v>
      </c>
      <c r="B8">
        <v>23.28767123287673</v>
      </c>
      <c r="C8">
        <v>26.72413793103448</v>
      </c>
      <c r="D8">
        <f>[[#This Row],ARIMAPP]*$I$2+[[#This Row],LSTMPP]*$I$3</f>
        <v>0</v>
      </c>
      <c r="E8">
        <v>32</v>
      </c>
      <c r="F8">
        <f>ABS([[#This Row],PP]-[[#This Row],AP])</f>
        <v>0</v>
      </c>
    </row>
    <row r="9" spans="1:9">
      <c r="A9" t="s">
        <v>90</v>
      </c>
      <c r="B9">
        <v>25.68181818181817</v>
      </c>
      <c r="C9">
        <v>26.42857142857143</v>
      </c>
      <c r="D9">
        <f>[[#This Row],ARIMAPP]*$I$2+[[#This Row],LSTMPP]*$I$3</f>
        <v>0</v>
      </c>
      <c r="E9">
        <v>28</v>
      </c>
      <c r="F9">
        <f>ABS([[#This Row],PP]-[[#This Row],AP])</f>
        <v>0</v>
      </c>
    </row>
    <row r="10" spans="1:9">
      <c r="A10" t="s">
        <v>91</v>
      </c>
      <c r="B10">
        <v>35.23111343576844</v>
      </c>
      <c r="C10">
        <v>33.33333333333333</v>
      </c>
      <c r="D10">
        <f>[[#This Row],ARIMAPP]*$I$2+[[#This Row],LSTMPP]*$I$3</f>
        <v>0</v>
      </c>
      <c r="E10">
        <v>38</v>
      </c>
      <c r="F10">
        <f>ABS([[#This Row],PP]-[[#This Row],AP])</f>
        <v>0</v>
      </c>
    </row>
    <row r="11" spans="1:9">
      <c r="A11" t="s">
        <v>92</v>
      </c>
      <c r="B11">
        <v>26.73913043478261</v>
      </c>
      <c r="C11">
        <v>26.38888888888889</v>
      </c>
      <c r="D11">
        <f>[[#This Row],ARIMAPP]*$I$2+[[#This Row],LSTMPP]*$I$3</f>
        <v>0</v>
      </c>
      <c r="E11">
        <v>33</v>
      </c>
      <c r="F11">
        <f>ABS([[#This Row],PP]-[[#This Row],AP])</f>
        <v>0</v>
      </c>
    </row>
    <row r="12" spans="1:9">
      <c r="A12" t="s">
        <v>93</v>
      </c>
      <c r="B12">
        <v>38.88888888888889</v>
      </c>
      <c r="C12">
        <v>39.62615245884962</v>
      </c>
      <c r="D12">
        <f>[[#This Row],ARIMAPP]*$I$2+[[#This Row],LSTMPP]*$I$3</f>
        <v>0</v>
      </c>
      <c r="E12">
        <v>44</v>
      </c>
      <c r="F12">
        <f>ABS([[#This Row],PP]-[[#This Row],AP])</f>
        <v>0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I13"/>
  <sheetViews>
    <sheetView workbookViewId="0"/>
  </sheetViews>
  <sheetFormatPr defaultRowHeight="15"/>
  <cols>
    <col min="2" max="3" width="0" hidden="1" customWidth="1"/>
  </cols>
  <sheetData>
    <row r="1" spans="1:9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>
      <c r="A2" t="s">
        <v>94</v>
      </c>
      <c r="B2">
        <v>44.73316833758494</v>
      </c>
      <c r="C2">
        <v>41.65534822149419</v>
      </c>
      <c r="D2">
        <f>[[#This Row],ARIMAPP]*$I$2+[[#This Row],LSTMPP]*$I$3</f>
        <v>0</v>
      </c>
      <c r="E2">
        <v>38</v>
      </c>
      <c r="F2">
        <f>ABS([[#This Row],PP]-[[#This Row],AP])</f>
        <v>0</v>
      </c>
      <c r="H2" t="s">
        <v>0</v>
      </c>
      <c r="I2">
        <v>1.8779959857E-07</v>
      </c>
    </row>
    <row r="3" spans="1:9">
      <c r="A3" t="s">
        <v>95</v>
      </c>
      <c r="B3">
        <v>69.1758241758241</v>
      </c>
      <c r="C3">
        <v>68.81621862227675</v>
      </c>
      <c r="D3">
        <f>[[#This Row],ARIMAPP]*$I$2+[[#This Row],LSTMPP]*$I$3</f>
        <v>0</v>
      </c>
      <c r="E3">
        <v>73</v>
      </c>
      <c r="F3">
        <f>ABS([[#This Row],PP]-[[#This Row],AP])</f>
        <v>0</v>
      </c>
      <c r="H3" t="s">
        <v>1</v>
      </c>
      <c r="I3">
        <v>1.0629362156</v>
      </c>
    </row>
    <row r="4" spans="1:9">
      <c r="A4" t="s">
        <v>96</v>
      </c>
      <c r="B4">
        <v>52.91477532557367</v>
      </c>
      <c r="C4">
        <v>49.1107753010049</v>
      </c>
      <c r="D4">
        <f>[[#This Row],ARIMAPP]*$I$2+[[#This Row],LSTMPP]*$I$3</f>
        <v>0</v>
      </c>
      <c r="E4">
        <v>57</v>
      </c>
      <c r="F4">
        <f>ABS([[#This Row],PP]-[[#This Row],AP])</f>
        <v>0</v>
      </c>
    </row>
    <row r="5" spans="1:9">
      <c r="A5" t="s">
        <v>97</v>
      </c>
      <c r="B5">
        <v>47.1244088551308</v>
      </c>
      <c r="C5">
        <v>43.51634099388588</v>
      </c>
      <c r="D5">
        <f>[[#This Row],ARIMAPP]*$I$2+[[#This Row],LSTMPP]*$I$3</f>
        <v>0</v>
      </c>
      <c r="E5">
        <v>43</v>
      </c>
      <c r="F5">
        <f>ABS([[#This Row],PP]-[[#This Row],AP])</f>
        <v>0</v>
      </c>
      <c r="H5" t="s">
        <v>2</v>
      </c>
      <c r="I5">
        <f>SUM(ABS(TableLIV[PP]-TableLIV[AP]))</f>
        <v>0</v>
      </c>
    </row>
    <row r="6" spans="1:9">
      <c r="A6" t="s">
        <v>98</v>
      </c>
      <c r="B6">
        <v>21.81818181818181</v>
      </c>
      <c r="C6">
        <v>24.71153846153846</v>
      </c>
      <c r="D6">
        <f>[[#This Row],ARIMAPP]*$I$2+[[#This Row],LSTMPP]*$I$3</f>
        <v>0</v>
      </c>
      <c r="E6">
        <v>27</v>
      </c>
      <c r="F6">
        <f>ABS([[#This Row],PP]-[[#This Row],AP])</f>
        <v>0</v>
      </c>
    </row>
    <row r="7" spans="1:9">
      <c r="A7" t="s">
        <v>99</v>
      </c>
      <c r="B7">
        <v>28.46938775510203</v>
      </c>
      <c r="C7">
        <v>28.3974358974359</v>
      </c>
      <c r="D7">
        <f>[[#This Row],ARIMAPP]*$I$2+[[#This Row],LSTMPP]*$I$3</f>
        <v>0</v>
      </c>
      <c r="E7">
        <v>25</v>
      </c>
      <c r="F7">
        <f>ABS([[#This Row],PP]-[[#This Row],AP])</f>
        <v>0</v>
      </c>
      <c r="H7" t="s">
        <v>3</v>
      </c>
      <c r="I7">
        <f>AVERAGE(TableLIV[DIFF])/10</f>
        <v>0</v>
      </c>
    </row>
    <row r="8" spans="1:9">
      <c r="A8" t="s">
        <v>100</v>
      </c>
      <c r="B8">
        <v>29.41176470588235</v>
      </c>
      <c r="C8">
        <v>29.81481481481481</v>
      </c>
      <c r="D8">
        <f>[[#This Row],ARIMAPP]*$I$2+[[#This Row],LSTMPP]*$I$3</f>
        <v>0</v>
      </c>
      <c r="E8">
        <v>23</v>
      </c>
      <c r="F8">
        <f>ABS([[#This Row],PP]-[[#This Row],AP])</f>
        <v>0</v>
      </c>
    </row>
    <row r="9" spans="1:9">
      <c r="A9" t="s">
        <v>101</v>
      </c>
      <c r="B9">
        <v>33.58974358974358</v>
      </c>
      <c r="C9">
        <v>34.82460700066978</v>
      </c>
      <c r="D9">
        <f>[[#This Row],ARIMAPP]*$I$2+[[#This Row],LSTMPP]*$I$3</f>
        <v>0</v>
      </c>
      <c r="E9">
        <v>43</v>
      </c>
      <c r="F9">
        <f>ABS([[#This Row],PP]-[[#This Row],AP])</f>
        <v>0</v>
      </c>
    </row>
    <row r="10" spans="1:9">
      <c r="A10" t="s">
        <v>102</v>
      </c>
      <c r="B10">
        <v>38.75</v>
      </c>
      <c r="C10">
        <v>37.05935380108661</v>
      </c>
      <c r="D10">
        <f>[[#This Row],ARIMAPP]*$I$2+[[#This Row],LSTMPP]*$I$3</f>
        <v>0</v>
      </c>
      <c r="E10">
        <v>39</v>
      </c>
      <c r="F10">
        <f>ABS([[#This Row],PP]-[[#This Row],AP])</f>
        <v>0</v>
      </c>
    </row>
    <row r="11" spans="1:9">
      <c r="A11" t="s">
        <v>103</v>
      </c>
      <c r="B11">
        <v>35.18518518518519</v>
      </c>
      <c r="C11">
        <v>40.48207011618611</v>
      </c>
      <c r="D11">
        <f>[[#This Row],ARIMAPP]*$I$2+[[#This Row],LSTMPP]*$I$3</f>
        <v>0</v>
      </c>
      <c r="E11">
        <v>67</v>
      </c>
      <c r="F11">
        <f>ABS([[#This Row],PP]-[[#This Row],AP])</f>
        <v>0</v>
      </c>
    </row>
    <row r="12" spans="1:9">
      <c r="A12" t="s">
        <v>104</v>
      </c>
      <c r="B12">
        <v>35.17207542002758</v>
      </c>
      <c r="C12">
        <v>33.20925364974223</v>
      </c>
      <c r="D12">
        <f>[[#This Row],ARIMAPP]*$I$2+[[#This Row],LSTMPP]*$I$3</f>
        <v>0</v>
      </c>
      <c r="E12">
        <v>23</v>
      </c>
      <c r="F12">
        <f>ABS([[#This Row],PP]-[[#This Row],AP])</f>
        <v>0</v>
      </c>
    </row>
    <row r="13" spans="1:9">
      <c r="A13" t="s">
        <v>105</v>
      </c>
      <c r="B13">
        <v>42.72727272727273</v>
      </c>
      <c r="C13">
        <v>37.67087129781662</v>
      </c>
      <c r="D13">
        <f>[[#This Row],ARIMAPP]*$I$2+[[#This Row],LSTMPP]*$I$3</f>
        <v>0</v>
      </c>
      <c r="E13">
        <v>35</v>
      </c>
      <c r="F13">
        <f>ABS([[#This Row],PP]-[[#This Row],AP])</f>
        <v>0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I7"/>
  <sheetViews>
    <sheetView workbookViewId="0"/>
  </sheetViews>
  <sheetFormatPr defaultRowHeight="15"/>
  <cols>
    <col min="2" max="3" width="0" hidden="1" customWidth="1"/>
  </cols>
  <sheetData>
    <row r="1" spans="1:9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>
      <c r="A2" t="s">
        <v>106</v>
      </c>
      <c r="B2">
        <v>27.64948076863435</v>
      </c>
      <c r="C2">
        <v>29.11764705882352</v>
      </c>
      <c r="D2">
        <f>[[#This Row],ARIMAPP]*$I$2+[[#This Row],LSTMPP]*$I$3</f>
        <v>0</v>
      </c>
      <c r="E2">
        <v>51</v>
      </c>
      <c r="F2">
        <f>ABS([[#This Row],PP]-[[#This Row],AP])</f>
        <v>0</v>
      </c>
      <c r="H2" t="s">
        <v>0</v>
      </c>
      <c r="I2">
        <v>1.7486892762E-08</v>
      </c>
    </row>
    <row r="3" spans="1:9">
      <c r="A3" t="s">
        <v>107</v>
      </c>
      <c r="B3">
        <v>22.49999998826456</v>
      </c>
      <c r="C3">
        <v>23.33333333333333</v>
      </c>
      <c r="D3">
        <f>[[#This Row],ARIMAPP]*$I$2+[[#This Row],LSTMPP]*$I$3</f>
        <v>0</v>
      </c>
      <c r="E3">
        <v>25</v>
      </c>
      <c r="F3">
        <f>ABS([[#This Row],PP]-[[#This Row],AP])</f>
        <v>0</v>
      </c>
      <c r="H3" t="s">
        <v>1</v>
      </c>
      <c r="I3">
        <v>1.5901574551</v>
      </c>
    </row>
    <row r="4" spans="1:9">
      <c r="A4" t="s">
        <v>108</v>
      </c>
      <c r="B4">
        <v>20.83333333333334</v>
      </c>
      <c r="C4">
        <v>26.11499083244038</v>
      </c>
      <c r="D4">
        <f>[[#This Row],ARIMAPP]*$I$2+[[#This Row],LSTMPP]*$I$3</f>
        <v>0</v>
      </c>
      <c r="E4">
        <v>54</v>
      </c>
      <c r="F4">
        <f>ABS([[#This Row],PP]-[[#This Row],AP])</f>
        <v>0</v>
      </c>
    </row>
    <row r="5" spans="1:9">
      <c r="A5" t="s">
        <v>109</v>
      </c>
      <c r="B5">
        <v>21.81818181818181</v>
      </c>
      <c r="C5">
        <v>23.75</v>
      </c>
      <c r="D5">
        <f>[[#This Row],ARIMAPP]*$I$2+[[#This Row],LSTMPP]*$I$3</f>
        <v>0</v>
      </c>
      <c r="E5">
        <v>27</v>
      </c>
      <c r="F5">
        <f>ABS([[#This Row],PP]-[[#This Row],AP])</f>
        <v>0</v>
      </c>
      <c r="H5" t="s">
        <v>2</v>
      </c>
      <c r="I5">
        <f>SUM(ABS(TableLUT[PP]-TableLUT[AP]))</f>
        <v>0</v>
      </c>
    </row>
    <row r="6" spans="1:9">
      <c r="A6" t="s">
        <v>110</v>
      </c>
      <c r="B6">
        <v>13.63636357747555</v>
      </c>
      <c r="C6">
        <v>19.375</v>
      </c>
      <c r="D6">
        <f>[[#This Row],ARIMAPP]*$I$2+[[#This Row],LSTMPP]*$I$3</f>
        <v>0</v>
      </c>
      <c r="E6">
        <v>50</v>
      </c>
      <c r="F6">
        <f>ABS([[#This Row],PP]-[[#This Row],AP])</f>
        <v>0</v>
      </c>
    </row>
    <row r="7" spans="1:9">
      <c r="A7" t="s">
        <v>111</v>
      </c>
      <c r="B7">
        <v>35.00000000000001</v>
      </c>
      <c r="C7">
        <v>31.66666666666667</v>
      </c>
      <c r="D7">
        <f>[[#This Row],ARIMAPP]*$I$2+[[#This Row],LSTMPP]*$I$3</f>
        <v>0</v>
      </c>
      <c r="E7">
        <v>41</v>
      </c>
      <c r="F7">
        <f>ABS([[#This Row],PP]-[[#This Row],AP])</f>
        <v>0</v>
      </c>
      <c r="H7" t="s">
        <v>3</v>
      </c>
      <c r="I7">
        <f>AVERAGE(TableLUT[DIFF])/10</f>
        <v>0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I10"/>
  <sheetViews>
    <sheetView workbookViewId="0"/>
  </sheetViews>
  <sheetFormatPr defaultRowHeight="15"/>
  <cols>
    <col min="2" max="3" width="0" hidden="1" customWidth="1"/>
  </cols>
  <sheetData>
    <row r="1" spans="1:9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>
      <c r="A2" t="s">
        <v>112</v>
      </c>
      <c r="B2">
        <v>39.67032967032964</v>
      </c>
      <c r="C2">
        <v>34.48275862068965</v>
      </c>
      <c r="D2">
        <f>[[#This Row],ARIMAPP]*$I$2+[[#This Row],LSTMPP]*$I$3</f>
        <v>0</v>
      </c>
      <c r="E2">
        <v>26</v>
      </c>
      <c r="F2">
        <f>ABS([[#This Row],PP]-[[#This Row],AP])</f>
        <v>0</v>
      </c>
      <c r="H2" t="s">
        <v>0</v>
      </c>
      <c r="I2">
        <v>0</v>
      </c>
    </row>
    <row r="3" spans="1:9">
      <c r="A3" t="s">
        <v>113</v>
      </c>
      <c r="B3">
        <v>38.44444444444442</v>
      </c>
      <c r="C3">
        <v>36.13676427670944</v>
      </c>
      <c r="D3">
        <f>[[#This Row],ARIMAPP]*$I$2+[[#This Row],LSTMPP]*$I$3</f>
        <v>0</v>
      </c>
      <c r="E3">
        <v>25</v>
      </c>
      <c r="F3">
        <f>ABS([[#This Row],PP]-[[#This Row],AP])</f>
        <v>0</v>
      </c>
      <c r="H3" t="s">
        <v>1</v>
      </c>
      <c r="I3">
        <v>1.1646998693</v>
      </c>
    </row>
    <row r="4" spans="1:9">
      <c r="A4" t="s">
        <v>114</v>
      </c>
      <c r="B4">
        <v>32.58064516129031</v>
      </c>
      <c r="C4">
        <v>29.84848484848485</v>
      </c>
      <c r="D4">
        <f>[[#This Row],ARIMAPP]*$I$2+[[#This Row],LSTMPP]*$I$3</f>
        <v>0</v>
      </c>
      <c r="E4">
        <v>38</v>
      </c>
      <c r="F4">
        <f>ABS([[#This Row],PP]-[[#This Row],AP])</f>
        <v>0</v>
      </c>
    </row>
    <row r="5" spans="1:9">
      <c r="A5" t="s">
        <v>115</v>
      </c>
      <c r="B5">
        <v>44.49438555967483</v>
      </c>
      <c r="C5">
        <v>42.94755241356079</v>
      </c>
      <c r="D5">
        <f>[[#This Row],ARIMAPP]*$I$2+[[#This Row],LSTMPP]*$I$3</f>
        <v>0</v>
      </c>
      <c r="E5">
        <v>70</v>
      </c>
      <c r="F5">
        <f>ABS([[#This Row],PP]-[[#This Row],AP])</f>
        <v>0</v>
      </c>
      <c r="H5" t="s">
        <v>2</v>
      </c>
      <c r="I5">
        <f>SUM(ABS(TableMCI[PP]-TableMCI[AP]))</f>
        <v>0</v>
      </c>
    </row>
    <row r="6" spans="1:9">
      <c r="A6" t="s">
        <v>116</v>
      </c>
      <c r="B6">
        <v>30.7142857142857</v>
      </c>
      <c r="C6">
        <v>29.24107142857143</v>
      </c>
      <c r="D6">
        <f>[[#This Row],ARIMAPP]*$I$2+[[#This Row],LSTMPP]*$I$3</f>
        <v>0</v>
      </c>
      <c r="E6">
        <v>37</v>
      </c>
      <c r="F6">
        <f>ABS([[#This Row],PP]-[[#This Row],AP])</f>
        <v>0</v>
      </c>
    </row>
    <row r="7" spans="1:9">
      <c r="A7" t="s">
        <v>117</v>
      </c>
      <c r="B7">
        <v>80.00000000000001</v>
      </c>
      <c r="C7">
        <v>67.46656329107435</v>
      </c>
      <c r="D7">
        <f>[[#This Row],ARIMAPP]*$I$2+[[#This Row],LSTMPP]*$I$3</f>
        <v>0</v>
      </c>
      <c r="E7">
        <v>76</v>
      </c>
      <c r="F7">
        <f>ABS([[#This Row],PP]-[[#This Row],AP])</f>
        <v>0</v>
      </c>
      <c r="H7" t="s">
        <v>3</v>
      </c>
      <c r="I7">
        <f>AVERAGE(TableMCI[DIFF])/10</f>
        <v>0</v>
      </c>
    </row>
    <row r="8" spans="1:9">
      <c r="A8" t="s">
        <v>118</v>
      </c>
      <c r="B8">
        <v>37.68759318430297</v>
      </c>
      <c r="C8">
        <v>32.80012801498603</v>
      </c>
      <c r="D8">
        <f>[[#This Row],ARIMAPP]*$I$2+[[#This Row],LSTMPP]*$I$3</f>
        <v>0</v>
      </c>
      <c r="E8">
        <v>43</v>
      </c>
      <c r="F8">
        <f>ABS([[#This Row],PP]-[[#This Row],AP])</f>
        <v>0</v>
      </c>
    </row>
    <row r="9" spans="1:9">
      <c r="A9" t="s">
        <v>119</v>
      </c>
      <c r="B9">
        <v>35.95238095238094</v>
      </c>
      <c r="C9">
        <v>33.70543688054335</v>
      </c>
      <c r="D9">
        <f>[[#This Row],ARIMAPP]*$I$2+[[#This Row],LSTMPP]*$I$3</f>
        <v>0</v>
      </c>
      <c r="E9">
        <v>48</v>
      </c>
      <c r="F9">
        <f>ABS([[#This Row],PP]-[[#This Row],AP])</f>
        <v>0</v>
      </c>
    </row>
    <row r="10" spans="1:9">
      <c r="A10" t="s">
        <v>120</v>
      </c>
      <c r="B10">
        <v>31.5625</v>
      </c>
      <c r="C10">
        <v>29.40000000000001</v>
      </c>
      <c r="D10">
        <f>[[#This Row],ARIMAPP]*$I$2+[[#This Row],LSTMPP]*$I$3</f>
        <v>0</v>
      </c>
      <c r="E10">
        <v>27</v>
      </c>
      <c r="F10">
        <f>ABS([[#This Row],PP]-[[#This Row],AP])</f>
        <v>0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I8"/>
  <sheetViews>
    <sheetView workbookViewId="0"/>
  </sheetViews>
  <sheetFormatPr defaultRowHeight="15"/>
  <cols>
    <col min="2" max="3" width="0" hidden="1" customWidth="1"/>
  </cols>
  <sheetData>
    <row r="1" spans="1:9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>
      <c r="A2" t="s">
        <v>121</v>
      </c>
      <c r="B2">
        <v>46.1008679148122</v>
      </c>
      <c r="C2">
        <v>43.9420293135617</v>
      </c>
      <c r="D2">
        <f>[[#This Row],ARIMAPP]*$I$2+[[#This Row],LSTMPP]*$I$3</f>
        <v>0</v>
      </c>
      <c r="E2">
        <v>34</v>
      </c>
      <c r="F2">
        <f>ABS([[#This Row],PP]-[[#This Row],AP])</f>
        <v>0</v>
      </c>
      <c r="H2" t="s">
        <v>0</v>
      </c>
      <c r="I2">
        <v>1.0929809352E-07</v>
      </c>
    </row>
    <row r="3" spans="1:9">
      <c r="A3" t="s">
        <v>122</v>
      </c>
      <c r="B3">
        <v>25.22727272727271</v>
      </c>
      <c r="C3">
        <v>27</v>
      </c>
      <c r="D3">
        <f>[[#This Row],ARIMAPP]*$I$2+[[#This Row],LSTMPP]*$I$3</f>
        <v>0</v>
      </c>
      <c r="E3">
        <v>40</v>
      </c>
      <c r="F3">
        <f>ABS([[#This Row],PP]-[[#This Row],AP])</f>
        <v>0</v>
      </c>
      <c r="H3" t="s">
        <v>1</v>
      </c>
      <c r="I3">
        <v>1.0141709756</v>
      </c>
    </row>
    <row r="4" spans="1:9">
      <c r="A4" t="s">
        <v>123</v>
      </c>
      <c r="B4">
        <v>29.34741859069657</v>
      </c>
      <c r="C4">
        <v>31.18189416832847</v>
      </c>
      <c r="D4">
        <f>[[#This Row],ARIMAPP]*$I$2+[[#This Row],LSTMPP]*$I$3</f>
        <v>0</v>
      </c>
      <c r="E4">
        <v>40</v>
      </c>
      <c r="F4">
        <f>ABS([[#This Row],PP]-[[#This Row],AP])</f>
        <v>0</v>
      </c>
    </row>
    <row r="5" spans="1:9">
      <c r="A5" t="s">
        <v>124</v>
      </c>
      <c r="B5">
        <v>44.51707087151732</v>
      </c>
      <c r="C5">
        <v>35.97222222222222</v>
      </c>
      <c r="D5">
        <f>[[#This Row],ARIMAPP]*$I$2+[[#This Row],LSTMPP]*$I$3</f>
        <v>0</v>
      </c>
      <c r="E5">
        <v>22</v>
      </c>
      <c r="F5">
        <f>ABS([[#This Row],PP]-[[#This Row],AP])</f>
        <v>0</v>
      </c>
      <c r="H5" t="s">
        <v>2</v>
      </c>
      <c r="I5">
        <f>SUM(ABS(TableMUN[PP]-TableMUN[AP]))</f>
        <v>0</v>
      </c>
    </row>
    <row r="6" spans="1:9">
      <c r="A6" t="s">
        <v>125</v>
      </c>
      <c r="B6">
        <v>39.44444444444444</v>
      </c>
      <c r="C6">
        <v>31.60714285714285</v>
      </c>
      <c r="D6">
        <f>[[#This Row],ARIMAPP]*$I$2+[[#This Row],LSTMPP]*$I$3</f>
        <v>0</v>
      </c>
      <c r="E6">
        <v>23</v>
      </c>
      <c r="F6">
        <f>ABS([[#This Row],PP]-[[#This Row],AP])</f>
        <v>0</v>
      </c>
    </row>
    <row r="7" spans="1:9">
      <c r="A7" t="s">
        <v>126</v>
      </c>
      <c r="B7">
        <v>21.07142857142857</v>
      </c>
      <c r="C7">
        <v>22.04545454545454</v>
      </c>
      <c r="D7">
        <f>[[#This Row],ARIMAPP]*$I$2+[[#This Row],LSTMPP]*$I$3</f>
        <v>0</v>
      </c>
      <c r="E7">
        <v>50</v>
      </c>
      <c r="F7">
        <f>ABS([[#This Row],PP]-[[#This Row],AP])</f>
        <v>0</v>
      </c>
      <c r="H7" t="s">
        <v>3</v>
      </c>
      <c r="I7">
        <f>AVERAGE(TableMUN[DIFF])/10</f>
        <v>0</v>
      </c>
    </row>
    <row r="8" spans="1:9">
      <c r="A8" t="s">
        <v>82</v>
      </c>
      <c r="B8">
        <v>39.2857142857143</v>
      </c>
      <c r="C8">
        <v>29.54545454545454</v>
      </c>
      <c r="D8">
        <f>[[#This Row],ARIMAPP]*$I$2+[[#This Row],LSTMPP]*$I$3</f>
        <v>0</v>
      </c>
      <c r="E8">
        <v>32</v>
      </c>
      <c r="F8">
        <f>ABS([[#This Row],PP]-[[#This Row],AP])</f>
        <v>0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>
  <dimension ref="A1:I11"/>
  <sheetViews>
    <sheetView workbookViewId="0"/>
  </sheetViews>
  <sheetFormatPr defaultRowHeight="15"/>
  <cols>
    <col min="2" max="3" width="0" hidden="1" customWidth="1"/>
  </cols>
  <sheetData>
    <row r="1" spans="1:9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>
      <c r="A2" t="s">
        <v>87</v>
      </c>
      <c r="B2">
        <v>45.73426573426573</v>
      </c>
      <c r="C2">
        <v>44.93295075292251</v>
      </c>
      <c r="D2">
        <f>[[#This Row],ARIMAPP]*$I$2+[[#This Row],LSTMPP]*$I$3</f>
        <v>0</v>
      </c>
      <c r="E2">
        <v>33</v>
      </c>
      <c r="F2">
        <f>ABS([[#This Row],PP]-[[#This Row],AP])</f>
        <v>0</v>
      </c>
      <c r="H2" t="s">
        <v>0</v>
      </c>
      <c r="I2">
        <v>0.19247119562</v>
      </c>
    </row>
    <row r="3" spans="1:9">
      <c r="A3" t="s">
        <v>127</v>
      </c>
      <c r="B3">
        <v>47.84023291537146</v>
      </c>
      <c r="C3">
        <v>37.96875</v>
      </c>
      <c r="D3">
        <f>[[#This Row],ARIMAPP]*$I$2+[[#This Row],LSTMPP]*$I$3</f>
        <v>0</v>
      </c>
      <c r="E3">
        <v>37</v>
      </c>
      <c r="F3">
        <f>ABS([[#This Row],PP]-[[#This Row],AP])</f>
        <v>0</v>
      </c>
      <c r="H3" t="s">
        <v>1</v>
      </c>
      <c r="I3">
        <v>0.70685757973</v>
      </c>
    </row>
    <row r="4" spans="1:9">
      <c r="A4" t="s">
        <v>128</v>
      </c>
      <c r="B4">
        <v>32.27853682782714</v>
      </c>
      <c r="C4">
        <v>30.8411214953271</v>
      </c>
      <c r="D4">
        <f>[[#This Row],ARIMAPP]*$I$2+[[#This Row],LSTMPP]*$I$3</f>
        <v>0</v>
      </c>
      <c r="E4">
        <v>29</v>
      </c>
      <c r="F4">
        <f>ABS([[#This Row],PP]-[[#This Row],AP])</f>
        <v>0</v>
      </c>
    </row>
    <row r="5" spans="1:9">
      <c r="A5" t="s">
        <v>129</v>
      </c>
      <c r="B5">
        <v>28.94520139762146</v>
      </c>
      <c r="C5">
        <v>25.67708333333333</v>
      </c>
      <c r="D5">
        <f>[[#This Row],ARIMAPP]*$I$2+[[#This Row],LSTMPP]*$I$3</f>
        <v>0</v>
      </c>
      <c r="E5">
        <v>33</v>
      </c>
      <c r="F5">
        <f>ABS([[#This Row],PP]-[[#This Row],AP])</f>
        <v>0</v>
      </c>
      <c r="H5" t="s">
        <v>2</v>
      </c>
      <c r="I5">
        <f>SUM(ABS(TableNEW[PP]-TableNEW[AP]))</f>
        <v>0</v>
      </c>
    </row>
    <row r="6" spans="1:9">
      <c r="A6" t="s">
        <v>130</v>
      </c>
      <c r="B6">
        <v>34.27375733381005</v>
      </c>
      <c r="C6">
        <v>29.66346153846154</v>
      </c>
      <c r="D6">
        <f>[[#This Row],ARIMAPP]*$I$2+[[#This Row],LSTMPP]*$I$3</f>
        <v>0</v>
      </c>
      <c r="E6">
        <v>24</v>
      </c>
      <c r="F6">
        <f>ABS([[#This Row],PP]-[[#This Row],AP])</f>
        <v>0</v>
      </c>
    </row>
    <row r="7" spans="1:9">
      <c r="A7" t="s">
        <v>131</v>
      </c>
      <c r="B7">
        <v>25.46762589928056</v>
      </c>
      <c r="C7">
        <v>26.26126126126126</v>
      </c>
      <c r="D7">
        <f>[[#This Row],ARIMAPP]*$I$2+[[#This Row],LSTMPP]*$I$3</f>
        <v>0</v>
      </c>
      <c r="E7">
        <v>32</v>
      </c>
      <c r="F7">
        <f>ABS([[#This Row],PP]-[[#This Row],AP])</f>
        <v>0</v>
      </c>
      <c r="H7" t="s">
        <v>3</v>
      </c>
      <c r="I7">
        <f>AVERAGE(TableNEW[DIFF])/10</f>
        <v>0</v>
      </c>
    </row>
    <row r="8" spans="1:9">
      <c r="A8" t="s">
        <v>132</v>
      </c>
      <c r="B8">
        <v>68.30682161288269</v>
      </c>
      <c r="C8">
        <v>25.85714285714286</v>
      </c>
      <c r="D8">
        <f>[[#This Row],ARIMAPP]*$I$2+[[#This Row],LSTMPP]*$I$3</f>
        <v>0</v>
      </c>
      <c r="E8">
        <v>32</v>
      </c>
      <c r="F8">
        <f>ABS([[#This Row],PP]-[[#This Row],AP])</f>
        <v>0</v>
      </c>
    </row>
    <row r="9" spans="1:9">
      <c r="A9" t="s">
        <v>133</v>
      </c>
      <c r="B9">
        <v>33.50877192982458</v>
      </c>
      <c r="C9">
        <v>31.77777777777778</v>
      </c>
      <c r="D9">
        <f>[[#This Row],ARIMAPP]*$I$2+[[#This Row],LSTMPP]*$I$3</f>
        <v>0</v>
      </c>
      <c r="E9">
        <v>41</v>
      </c>
      <c r="F9">
        <f>ABS([[#This Row],PP]-[[#This Row],AP])</f>
        <v>0</v>
      </c>
    </row>
    <row r="10" spans="1:9">
      <c r="A10" t="s">
        <v>134</v>
      </c>
      <c r="B10">
        <v>40.03192113771584</v>
      </c>
      <c r="C10">
        <v>36.75675675675677</v>
      </c>
      <c r="D10">
        <f>[[#This Row],ARIMAPP]*$I$2+[[#This Row],LSTMPP]*$I$3</f>
        <v>0</v>
      </c>
      <c r="E10">
        <v>23</v>
      </c>
      <c r="F10">
        <f>ABS([[#This Row],PP]-[[#This Row],AP])</f>
        <v>0</v>
      </c>
    </row>
    <row r="11" spans="1:9">
      <c r="A11" t="s">
        <v>135</v>
      </c>
      <c r="B11">
        <v>50.37037037037038</v>
      </c>
      <c r="C11">
        <v>40.35717383286591</v>
      </c>
      <c r="D11">
        <f>[[#This Row],ARIMAPP]*$I$2+[[#This Row],LSTMPP]*$I$3</f>
        <v>0</v>
      </c>
      <c r="E11">
        <v>36</v>
      </c>
      <c r="F11">
        <f>ABS([[#This Row],PP]-[[#This Row],AP])</f>
        <v>0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>
  <dimension ref="A1:I7"/>
  <sheetViews>
    <sheetView workbookViewId="0"/>
  </sheetViews>
  <sheetFormatPr defaultRowHeight="15"/>
  <cols>
    <col min="2" max="3" width="0" hidden="1" customWidth="1"/>
  </cols>
  <sheetData>
    <row r="1" spans="1:9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>
      <c r="A2" t="s">
        <v>136</v>
      </c>
      <c r="B2">
        <v>33.5106232859767</v>
      </c>
      <c r="C2">
        <v>35.12906439003473</v>
      </c>
      <c r="D2">
        <f>[[#This Row],ARIMAPP]*$I$2+[[#This Row],LSTMPP]*$I$3</f>
        <v>0</v>
      </c>
      <c r="E2">
        <v>46</v>
      </c>
      <c r="F2">
        <f>ABS([[#This Row],PP]-[[#This Row],AP])</f>
        <v>0</v>
      </c>
      <c r="H2" t="s">
        <v>0</v>
      </c>
      <c r="I2">
        <v>1.2121839028E-05</v>
      </c>
    </row>
    <row r="3" spans="1:9">
      <c r="A3" t="s">
        <v>137</v>
      </c>
      <c r="B3">
        <v>41.5213400414175</v>
      </c>
      <c r="C3">
        <v>26.53333333333333</v>
      </c>
      <c r="D3">
        <f>[[#This Row],ARIMAPP]*$I$2+[[#This Row],LSTMPP]*$I$3</f>
        <v>0</v>
      </c>
      <c r="E3">
        <v>29</v>
      </c>
      <c r="F3">
        <f>ABS([[#This Row],PP]-[[#This Row],AP])</f>
        <v>0</v>
      </c>
      <c r="H3" t="s">
        <v>1</v>
      </c>
      <c r="I3">
        <v>1.3234763371</v>
      </c>
    </row>
    <row r="4" spans="1:9">
      <c r="A4" t="s">
        <v>138</v>
      </c>
      <c r="B4">
        <v>37.0219039843551</v>
      </c>
      <c r="C4">
        <v>24.73684210526315</v>
      </c>
      <c r="D4">
        <f>[[#This Row],ARIMAPP]*$I$2+[[#This Row],LSTMPP]*$I$3</f>
        <v>0</v>
      </c>
      <c r="E4">
        <v>40</v>
      </c>
      <c r="F4">
        <f>ABS([[#This Row],PP]-[[#This Row],AP])</f>
        <v>0</v>
      </c>
    </row>
    <row r="5" spans="1:9">
      <c r="H5" t="s">
        <v>2</v>
      </c>
      <c r="I5">
        <f>SUM(ABS(TableNFO[PP]-TableNFO[AP]))</f>
        <v>0</v>
      </c>
    </row>
    <row r="7" spans="1:9">
      <c r="H7" t="s">
        <v>3</v>
      </c>
      <c r="I7">
        <f>AVERAGE(TableNFO[DIFF])/10</f>
        <v>0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>
  <dimension ref="A1:I7"/>
  <sheetViews>
    <sheetView workbookViewId="0"/>
  </sheetViews>
  <sheetFormatPr defaultRowHeight="15"/>
  <cols>
    <col min="2" max="3" width="0" hidden="1" customWidth="1"/>
  </cols>
  <sheetData>
    <row r="1" spans="1:9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>
      <c r="A2" t="s">
        <v>139</v>
      </c>
      <c r="B2">
        <v>21.42857142857142</v>
      </c>
      <c r="C2">
        <v>22.8125</v>
      </c>
      <c r="D2">
        <f>[[#This Row],ARIMAPP]*$I$2+[[#This Row],LSTMPP]*$I$3</f>
        <v>0</v>
      </c>
      <c r="E2">
        <v>30</v>
      </c>
      <c r="F2">
        <f>ABS([[#This Row],PP]-[[#This Row],AP])</f>
        <v>0</v>
      </c>
      <c r="H2" t="s">
        <v>0</v>
      </c>
      <c r="I2">
        <v>0</v>
      </c>
    </row>
    <row r="3" spans="1:9">
      <c r="A3" t="s">
        <v>140</v>
      </c>
      <c r="B3">
        <v>20.96703563833755</v>
      </c>
      <c r="C3">
        <v>22.77777777777778</v>
      </c>
      <c r="D3">
        <f>[[#This Row],ARIMAPP]*$I$2+[[#This Row],LSTMPP]*$I$3</f>
        <v>0</v>
      </c>
      <c r="E3">
        <v>36</v>
      </c>
      <c r="F3">
        <f>ABS([[#This Row],PP]-[[#This Row],AP])</f>
        <v>0</v>
      </c>
      <c r="H3" t="s">
        <v>1</v>
      </c>
      <c r="I3">
        <v>1.1484349309</v>
      </c>
    </row>
    <row r="4" spans="1:9">
      <c r="A4" t="s">
        <v>141</v>
      </c>
      <c r="B4">
        <v>16.15384615384616</v>
      </c>
      <c r="C4">
        <v>23</v>
      </c>
      <c r="D4">
        <f>[[#This Row],ARIMAPP]*$I$2+[[#This Row],LSTMPP]*$I$3</f>
        <v>0</v>
      </c>
      <c r="E4">
        <v>32</v>
      </c>
      <c r="F4">
        <f>ABS([[#This Row],PP]-[[#This Row],AP])</f>
        <v>0</v>
      </c>
    </row>
    <row r="5" spans="1:9">
      <c r="A5" t="s">
        <v>142</v>
      </c>
      <c r="B5">
        <v>20.71428571428572</v>
      </c>
      <c r="C5">
        <v>24.0909090909091</v>
      </c>
      <c r="D5">
        <f>[[#This Row],ARIMAPP]*$I$2+[[#This Row],LSTMPP]*$I$3</f>
        <v>0</v>
      </c>
      <c r="E5">
        <v>27</v>
      </c>
      <c r="F5">
        <f>ABS([[#This Row],PP]-[[#This Row],AP])</f>
        <v>0</v>
      </c>
      <c r="H5" t="s">
        <v>2</v>
      </c>
      <c r="I5">
        <f>SUM(ABS(TableSHU[PP]-TableSHU[AP]))</f>
        <v>0</v>
      </c>
    </row>
    <row r="6" spans="1:9">
      <c r="A6" t="s">
        <v>143</v>
      </c>
      <c r="B6">
        <v>29.16666666666667</v>
      </c>
      <c r="C6">
        <v>31.66666666666667</v>
      </c>
      <c r="D6">
        <f>[[#This Row],ARIMAPP]*$I$2+[[#This Row],LSTMPP]*$I$3</f>
        <v>0</v>
      </c>
      <c r="E6">
        <v>23</v>
      </c>
      <c r="F6">
        <f>ABS([[#This Row],PP]-[[#This Row],AP])</f>
        <v>0</v>
      </c>
    </row>
    <row r="7" spans="1:9">
      <c r="H7" t="s">
        <v>3</v>
      </c>
      <c r="I7">
        <f>AVERAGE(TableSHU[DIFF])/10</f>
        <v>0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>
  <dimension ref="A1:I11"/>
  <sheetViews>
    <sheetView workbookViewId="0"/>
  </sheetViews>
  <sheetFormatPr defaultRowHeight="15"/>
  <cols>
    <col min="2" max="3" width="0" hidden="1" customWidth="1"/>
  </cols>
  <sheetData>
    <row r="1" spans="1:9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>
      <c r="A2" t="s">
        <v>144</v>
      </c>
      <c r="B2">
        <v>46.8706143500807</v>
      </c>
      <c r="C2">
        <v>41.48240901336377</v>
      </c>
      <c r="D2">
        <f>[[#This Row],ARIMAPP]*$I$2+[[#This Row],LSTMPP]*$I$3</f>
        <v>0</v>
      </c>
      <c r="E2">
        <v>47</v>
      </c>
      <c r="F2">
        <f>ABS([[#This Row],PP]-[[#This Row],AP])</f>
        <v>0</v>
      </c>
      <c r="H2" t="s">
        <v>0</v>
      </c>
      <c r="I2">
        <v>3.3493701281E-07</v>
      </c>
    </row>
    <row r="3" spans="1:9">
      <c r="A3" t="s">
        <v>145</v>
      </c>
      <c r="B3">
        <v>26.64824747221122</v>
      </c>
      <c r="C3">
        <v>40.1028382606303</v>
      </c>
      <c r="D3">
        <f>[[#This Row],ARIMAPP]*$I$2+[[#This Row],LSTMPP]*$I$3</f>
        <v>0</v>
      </c>
      <c r="E3">
        <v>74</v>
      </c>
      <c r="F3">
        <f>ABS([[#This Row],PP]-[[#This Row],AP])</f>
        <v>0</v>
      </c>
      <c r="H3" t="s">
        <v>1</v>
      </c>
      <c r="I3">
        <v>1.1990987175</v>
      </c>
    </row>
    <row r="4" spans="1:9">
      <c r="A4" t="s">
        <v>146</v>
      </c>
      <c r="B4">
        <v>31.27272727272727</v>
      </c>
      <c r="C4">
        <v>27.27272727272727</v>
      </c>
      <c r="D4">
        <f>[[#This Row],ARIMAPP]*$I$2+[[#This Row],LSTMPP]*$I$3</f>
        <v>0</v>
      </c>
      <c r="E4">
        <v>23</v>
      </c>
      <c r="F4">
        <f>ABS([[#This Row],PP]-[[#This Row],AP])</f>
        <v>0</v>
      </c>
    </row>
    <row r="5" spans="1:9">
      <c r="A5" t="s">
        <v>147</v>
      </c>
      <c r="B5">
        <v>38.54761327694415</v>
      </c>
      <c r="C5">
        <v>39.964805144747</v>
      </c>
      <c r="D5">
        <f>[[#This Row],ARIMAPP]*$I$2+[[#This Row],LSTMPP]*$I$3</f>
        <v>0</v>
      </c>
      <c r="E5">
        <v>37</v>
      </c>
      <c r="F5">
        <f>ABS([[#This Row],PP]-[[#This Row],AP])</f>
        <v>0</v>
      </c>
      <c r="H5" t="s">
        <v>2</v>
      </c>
      <c r="I5">
        <f>SUM(ABS(TableTOT[PP]-TableTOT[AP]))</f>
        <v>0</v>
      </c>
    </row>
    <row r="6" spans="1:9">
      <c r="A6" t="s">
        <v>148</v>
      </c>
      <c r="B6">
        <v>30.20833333333335</v>
      </c>
      <c r="C6">
        <v>29.73684210526315</v>
      </c>
      <c r="D6">
        <f>[[#This Row],ARIMAPP]*$I$2+[[#This Row],LSTMPP]*$I$3</f>
        <v>0</v>
      </c>
      <c r="E6">
        <v>41</v>
      </c>
      <c r="F6">
        <f>ABS([[#This Row],PP]-[[#This Row],AP])</f>
        <v>0</v>
      </c>
    </row>
    <row r="7" spans="1:9">
      <c r="A7" t="s">
        <v>149</v>
      </c>
      <c r="B7">
        <v>50</v>
      </c>
      <c r="C7">
        <v>35</v>
      </c>
      <c r="D7">
        <f>[[#This Row],ARIMAPP]*$I$2+[[#This Row],LSTMPP]*$I$3</f>
        <v>0</v>
      </c>
      <c r="E7">
        <v>60</v>
      </c>
      <c r="F7">
        <f>ABS([[#This Row],PP]-[[#This Row],AP])</f>
        <v>0</v>
      </c>
      <c r="H7" t="s">
        <v>3</v>
      </c>
      <c r="I7">
        <f>AVERAGE(TableTOT[DIFF])/10</f>
        <v>0</v>
      </c>
    </row>
    <row r="8" spans="1:9">
      <c r="A8" t="s">
        <v>150</v>
      </c>
      <c r="B8">
        <v>20.47619047619047</v>
      </c>
      <c r="C8">
        <v>23.75</v>
      </c>
      <c r="D8">
        <f>[[#This Row],ARIMAPP]*$I$2+[[#This Row],LSTMPP]*$I$3</f>
        <v>0</v>
      </c>
      <c r="E8">
        <v>33</v>
      </c>
      <c r="F8">
        <f>ABS([[#This Row],PP]-[[#This Row],AP])</f>
        <v>0</v>
      </c>
    </row>
    <row r="9" spans="1:9">
      <c r="A9" t="s">
        <v>151</v>
      </c>
      <c r="B9">
        <v>38.92857142857142</v>
      </c>
      <c r="C9">
        <v>34.46151339737605</v>
      </c>
      <c r="D9">
        <f>[[#This Row],ARIMAPP]*$I$2+[[#This Row],LSTMPP]*$I$3</f>
        <v>0</v>
      </c>
      <c r="E9">
        <v>37</v>
      </c>
      <c r="F9">
        <f>ABS([[#This Row],PP]-[[#This Row],AP])</f>
        <v>0</v>
      </c>
    </row>
    <row r="10" spans="1:9">
      <c r="A10" t="s">
        <v>152</v>
      </c>
      <c r="B10">
        <v>30.02393147462998</v>
      </c>
      <c r="C10">
        <v>33.44445786638862</v>
      </c>
      <c r="D10">
        <f>[[#This Row],ARIMAPP]*$I$2+[[#This Row],LSTMPP]*$I$3</f>
        <v>0</v>
      </c>
      <c r="E10">
        <v>34</v>
      </c>
      <c r="F10">
        <f>ABS([[#This Row],PP]-[[#This Row],AP])</f>
        <v>0</v>
      </c>
    </row>
    <row r="11" spans="1:9">
      <c r="A11" t="s">
        <v>153</v>
      </c>
      <c r="B11">
        <v>35.71428571428572</v>
      </c>
      <c r="C11">
        <v>38.38290871600898</v>
      </c>
      <c r="D11">
        <f>[[#This Row],ARIMAPP]*$I$2+[[#This Row],LSTMPP]*$I$3</f>
        <v>0</v>
      </c>
      <c r="E11">
        <v>26</v>
      </c>
      <c r="F11">
        <f>ABS([[#This Row],PP]-[[#This Row],AP])</f>
        <v>0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>
  <dimension ref="A1:I7"/>
  <sheetViews>
    <sheetView workbookViewId="0"/>
  </sheetViews>
  <sheetFormatPr defaultRowHeight="15"/>
  <cols>
    <col min="2" max="3" width="0" hidden="1" customWidth="1"/>
  </cols>
  <sheetData>
    <row r="1" spans="1:9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>
      <c r="A2" t="s">
        <v>154</v>
      </c>
      <c r="B2">
        <v>38.13055372481269</v>
      </c>
      <c r="C2">
        <v>37.73162251190841</v>
      </c>
      <c r="D2">
        <f>[[#This Row],ARIMAPP]*$I$2+[[#This Row],LSTMPP]*$I$3</f>
        <v>0</v>
      </c>
      <c r="E2">
        <v>48</v>
      </c>
      <c r="F2">
        <f>ABS([[#This Row],PP]-[[#This Row],AP])</f>
        <v>0</v>
      </c>
      <c r="H2" t="s">
        <v>0</v>
      </c>
      <c r="I2">
        <v>0.56944457495</v>
      </c>
    </row>
    <row r="3" spans="1:9">
      <c r="A3" t="s">
        <v>155</v>
      </c>
      <c r="B3">
        <v>17.54098360655738</v>
      </c>
      <c r="C3">
        <v>23.22916666666667</v>
      </c>
      <c r="D3">
        <f>[[#This Row],ARIMAPP]*$I$2+[[#This Row],LSTMPP]*$I$3</f>
        <v>0</v>
      </c>
      <c r="E3">
        <v>32</v>
      </c>
      <c r="F3">
        <f>ABS([[#This Row],PP]-[[#This Row],AP])</f>
        <v>0</v>
      </c>
      <c r="H3" t="s">
        <v>1</v>
      </c>
      <c r="I3">
        <v>0.53503408689</v>
      </c>
    </row>
    <row r="4" spans="1:9">
      <c r="A4" t="s">
        <v>156</v>
      </c>
      <c r="B4">
        <v>44.77611940298508</v>
      </c>
      <c r="C4">
        <v>43.8090237910306</v>
      </c>
      <c r="D4">
        <f>[[#This Row],ARIMAPP]*$I$2+[[#This Row],LSTMPP]*$I$3</f>
        <v>0</v>
      </c>
      <c r="E4">
        <v>41</v>
      </c>
      <c r="F4">
        <f>ABS([[#This Row],PP]-[[#This Row],AP])</f>
        <v>0</v>
      </c>
    </row>
    <row r="5" spans="1:9">
      <c r="A5" t="s">
        <v>157</v>
      </c>
      <c r="B5">
        <v>31.20000000000001</v>
      </c>
      <c r="C5">
        <v>30.5</v>
      </c>
      <c r="D5">
        <f>[[#This Row],ARIMAPP]*$I$2+[[#This Row],LSTMPP]*$I$3</f>
        <v>0</v>
      </c>
      <c r="E5">
        <v>43</v>
      </c>
      <c r="F5">
        <f>ABS([[#This Row],PP]-[[#This Row],AP])</f>
        <v>0</v>
      </c>
      <c r="H5" t="s">
        <v>2</v>
      </c>
      <c r="I5">
        <f>SUM(ABS(TableWHU[PP]-TableWHU[AP]))</f>
        <v>0</v>
      </c>
    </row>
    <row r="6" spans="1:9">
      <c r="A6" t="s">
        <v>158</v>
      </c>
      <c r="B6">
        <v>34.01089820345504</v>
      </c>
      <c r="C6">
        <v>37.05591955139005</v>
      </c>
      <c r="D6">
        <f>[[#This Row],ARIMAPP]*$I$2+[[#This Row],LSTMPP]*$I$3</f>
        <v>0</v>
      </c>
      <c r="E6">
        <v>40</v>
      </c>
      <c r="F6">
        <f>ABS([[#This Row],PP]-[[#This Row],AP])</f>
        <v>0</v>
      </c>
    </row>
    <row r="7" spans="1:9">
      <c r="A7" t="s">
        <v>159</v>
      </c>
      <c r="B7">
        <v>30</v>
      </c>
      <c r="C7">
        <v>34.78567662190999</v>
      </c>
      <c r="D7">
        <f>[[#This Row],ARIMAPP]*$I$2+[[#This Row],LSTMPP]*$I$3</f>
        <v>0</v>
      </c>
      <c r="E7">
        <v>24</v>
      </c>
      <c r="F7">
        <f>ABS([[#This Row],PP]-[[#This Row],AP])</f>
        <v>0</v>
      </c>
      <c r="H7" t="s">
        <v>3</v>
      </c>
      <c r="I7">
        <f>AVERAGE(TableWHU[DIFF])/10</f>
        <v>0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0"/>
  <sheetViews>
    <sheetView workbookViewId="0"/>
  </sheetViews>
  <sheetFormatPr defaultRowHeight="15"/>
  <cols>
    <col min="2" max="3" width="0" hidden="1" customWidth="1"/>
  </cols>
  <sheetData>
    <row r="1" spans="1:9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>
      <c r="A2" t="s">
        <v>22</v>
      </c>
      <c r="B2">
        <v>25.93122989808459</v>
      </c>
      <c r="C2">
        <v>33.50484048368077</v>
      </c>
      <c r="D2">
        <f>[[#This Row],ARIMAPP]*$I$2+[[#This Row],LSTMPP]*$I$3</f>
        <v>0</v>
      </c>
      <c r="E2">
        <v>27</v>
      </c>
      <c r="F2">
        <f>ABS([[#This Row],PP]-[[#This Row],AP])</f>
        <v>0</v>
      </c>
      <c r="H2" t="s">
        <v>0</v>
      </c>
      <c r="I2">
        <v>0.51369019174</v>
      </c>
    </row>
    <row r="3" spans="1:9">
      <c r="A3" t="s">
        <v>23</v>
      </c>
      <c r="B3">
        <v>21.62491199746121</v>
      </c>
      <c r="C3">
        <v>35.5027792473612</v>
      </c>
      <c r="D3">
        <f>[[#This Row],ARIMAPP]*$I$2+[[#This Row],LSTMPP]*$I$3</f>
        <v>0</v>
      </c>
      <c r="E3">
        <v>27</v>
      </c>
      <c r="F3">
        <f>ABS([[#This Row],PP]-[[#This Row],AP])</f>
        <v>0</v>
      </c>
      <c r="H3" t="s">
        <v>1</v>
      </c>
      <c r="I3">
        <v>0.50571291205</v>
      </c>
    </row>
    <row r="4" spans="1:9">
      <c r="A4" t="s">
        <v>24</v>
      </c>
      <c r="B4">
        <v>59.23781814039698</v>
      </c>
      <c r="C4">
        <v>27.37068965517242</v>
      </c>
      <c r="D4">
        <f>[[#This Row],ARIMAPP]*$I$2+[[#This Row],LSTMPP]*$I$3</f>
        <v>0</v>
      </c>
      <c r="E4">
        <v>46</v>
      </c>
      <c r="F4">
        <f>ABS([[#This Row],PP]-[[#This Row],AP])</f>
        <v>0</v>
      </c>
    </row>
    <row r="5" spans="1:9">
      <c r="A5" t="s">
        <v>25</v>
      </c>
      <c r="B5">
        <v>30.2127659574468</v>
      </c>
      <c r="C5">
        <v>29.6875</v>
      </c>
      <c r="D5">
        <f>[[#This Row],ARIMAPP]*$I$2+[[#This Row],LSTMPP]*$I$3</f>
        <v>0</v>
      </c>
      <c r="E5">
        <v>38</v>
      </c>
      <c r="F5">
        <f>ABS([[#This Row],PP]-[[#This Row],AP])</f>
        <v>0</v>
      </c>
      <c r="H5" t="s">
        <v>2</v>
      </c>
      <c r="I5">
        <f>SUM(ABS(TableAVL[PP]-TableAVL[AP]))</f>
        <v>0</v>
      </c>
    </row>
    <row r="6" spans="1:9">
      <c r="A6" t="s">
        <v>26</v>
      </c>
      <c r="B6">
        <v>28.29629629629629</v>
      </c>
      <c r="C6">
        <v>28.47222222222222</v>
      </c>
      <c r="D6">
        <f>[[#This Row],ARIMAPP]*$I$2+[[#This Row],LSTMPP]*$I$3</f>
        <v>0</v>
      </c>
      <c r="E6">
        <v>26</v>
      </c>
      <c r="F6">
        <f>ABS([[#This Row],PP]-[[#This Row],AP])</f>
        <v>0</v>
      </c>
    </row>
    <row r="7" spans="1:9">
      <c r="A7" t="s">
        <v>27</v>
      </c>
      <c r="B7">
        <v>45.8974358974359</v>
      </c>
      <c r="C7">
        <v>42.43997831133294</v>
      </c>
      <c r="D7">
        <f>[[#This Row],ARIMAPP]*$I$2+[[#This Row],LSTMPP]*$I$3</f>
        <v>0</v>
      </c>
      <c r="E7">
        <v>52</v>
      </c>
      <c r="F7">
        <f>ABS([[#This Row],PP]-[[#This Row],AP])</f>
        <v>0</v>
      </c>
      <c r="H7" t="s">
        <v>3</v>
      </c>
      <c r="I7">
        <f>AVERAGE(TableAVL[DIFF])/10</f>
        <v>0</v>
      </c>
    </row>
    <row r="8" spans="1:9">
      <c r="A8" t="s">
        <v>28</v>
      </c>
      <c r="B8">
        <v>28.58095158593023</v>
      </c>
      <c r="C8">
        <v>28.06122448979593</v>
      </c>
      <c r="D8">
        <f>[[#This Row],ARIMAPP]*$I$2+[[#This Row],LSTMPP]*$I$3</f>
        <v>0</v>
      </c>
      <c r="E8">
        <v>47</v>
      </c>
      <c r="F8">
        <f>ABS([[#This Row],PP]-[[#This Row],AP])</f>
        <v>0</v>
      </c>
    </row>
    <row r="9" spans="1:9">
      <c r="A9" t="s">
        <v>29</v>
      </c>
      <c r="B9">
        <v>31.33216501239863</v>
      </c>
      <c r="C9">
        <v>31.84210526315789</v>
      </c>
      <c r="D9">
        <f>[[#This Row],ARIMAPP]*$I$2+[[#This Row],LSTMPP]*$I$3</f>
        <v>0</v>
      </c>
      <c r="E9">
        <v>45</v>
      </c>
      <c r="F9">
        <f>ABS([[#This Row],PP]-[[#This Row],AP])</f>
        <v>0</v>
      </c>
    </row>
    <row r="10" spans="1:9">
      <c r="A10" t="s">
        <v>30</v>
      </c>
      <c r="B10">
        <v>49.81977520665672</v>
      </c>
      <c r="C10">
        <v>44.67634631527991</v>
      </c>
      <c r="D10">
        <f>[[#This Row],ARIMAPP]*$I$2+[[#This Row],LSTMPP]*$I$3</f>
        <v>0</v>
      </c>
      <c r="E10">
        <v>21</v>
      </c>
      <c r="F10">
        <f>ABS([[#This Row],PP]-[[#This Row],AP])</f>
        <v>0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>
  <dimension ref="A1:I10"/>
  <sheetViews>
    <sheetView workbookViewId="0"/>
  </sheetViews>
  <sheetFormatPr defaultRowHeight="15"/>
  <cols>
    <col min="2" max="3" width="0" hidden="1" customWidth="1"/>
  </cols>
  <sheetData>
    <row r="1" spans="1:9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>
      <c r="A2" t="s">
        <v>160</v>
      </c>
      <c r="B2">
        <v>23.38796203193016</v>
      </c>
      <c r="C2">
        <v>25.16666666666666</v>
      </c>
      <c r="D2">
        <f>[[#This Row],ARIMAPP]*$I$2+[[#This Row],LSTMPP]*$I$3</f>
        <v>0</v>
      </c>
      <c r="E2">
        <v>33</v>
      </c>
      <c r="F2">
        <f>ABS([[#This Row],PP]-[[#This Row],AP])</f>
        <v>0</v>
      </c>
      <c r="H2" t="s">
        <v>0</v>
      </c>
      <c r="I2">
        <v>0.63729371425</v>
      </c>
    </row>
    <row r="3" spans="1:9">
      <c r="A3" t="s">
        <v>161</v>
      </c>
      <c r="B3">
        <v>29.60396039603961</v>
      </c>
      <c r="C3">
        <v>30.92856775730437</v>
      </c>
      <c r="D3">
        <f>[[#This Row],ARIMAPP]*$I$2+[[#This Row],LSTMPP]*$I$3</f>
        <v>0</v>
      </c>
      <c r="E3">
        <v>37</v>
      </c>
      <c r="F3">
        <f>ABS([[#This Row],PP]-[[#This Row],AP])</f>
        <v>0</v>
      </c>
      <c r="H3" t="s">
        <v>1</v>
      </c>
      <c r="I3">
        <v>0.65875299036</v>
      </c>
    </row>
    <row r="4" spans="1:9">
      <c r="A4" t="s">
        <v>162</v>
      </c>
      <c r="B4">
        <v>23.93422370907539</v>
      </c>
      <c r="C4">
        <v>27.73684210526316</v>
      </c>
      <c r="D4">
        <f>[[#This Row],ARIMAPP]*$I$2+[[#This Row],LSTMPP]*$I$3</f>
        <v>0</v>
      </c>
      <c r="E4">
        <v>42</v>
      </c>
      <c r="F4">
        <f>ABS([[#This Row],PP]-[[#This Row],AP])</f>
        <v>0</v>
      </c>
    </row>
    <row r="5" spans="1:9">
      <c r="A5" t="s">
        <v>163</v>
      </c>
      <c r="B5">
        <v>41.1668525694805</v>
      </c>
      <c r="C5">
        <v>34.921875</v>
      </c>
      <c r="D5">
        <f>[[#This Row],ARIMAPP]*$I$2+[[#This Row],LSTMPP]*$I$3</f>
        <v>0</v>
      </c>
      <c r="E5">
        <v>28</v>
      </c>
      <c r="F5">
        <f>ABS([[#This Row],PP]-[[#This Row],AP])</f>
        <v>0</v>
      </c>
      <c r="H5" t="s">
        <v>2</v>
      </c>
      <c r="I5">
        <f>SUM(ABS(TableWOL[PP]-TableWOL[AP]))</f>
        <v>0</v>
      </c>
    </row>
    <row r="6" spans="1:9">
      <c r="A6" t="s">
        <v>164</v>
      </c>
      <c r="B6">
        <v>21.25</v>
      </c>
      <c r="C6">
        <v>25</v>
      </c>
      <c r="D6">
        <f>[[#This Row],ARIMAPP]*$I$2+[[#This Row],LSTMPP]*$I$3</f>
        <v>0</v>
      </c>
      <c r="E6">
        <v>32</v>
      </c>
      <c r="F6">
        <f>ABS([[#This Row],PP]-[[#This Row],AP])</f>
        <v>0</v>
      </c>
    </row>
    <row r="7" spans="1:9">
      <c r="A7" t="s">
        <v>165</v>
      </c>
      <c r="B7">
        <v>54.13959358221688</v>
      </c>
      <c r="C7">
        <v>26.37931034482758</v>
      </c>
      <c r="D7">
        <f>[[#This Row],ARIMAPP]*$I$2+[[#This Row],LSTMPP]*$I$3</f>
        <v>0</v>
      </c>
      <c r="E7">
        <v>51</v>
      </c>
      <c r="F7">
        <f>ABS([[#This Row],PP]-[[#This Row],AP])</f>
        <v>0</v>
      </c>
      <c r="H7" t="s">
        <v>3</v>
      </c>
      <c r="I7">
        <f>AVERAGE(TableWOL[DIFF])/10</f>
        <v>0</v>
      </c>
    </row>
    <row r="8" spans="1:9">
      <c r="A8" t="s">
        <v>166</v>
      </c>
      <c r="B8">
        <v>41.02007040677457</v>
      </c>
      <c r="C8">
        <v>26.66666666666667</v>
      </c>
      <c r="D8">
        <f>[[#This Row],ARIMAPP]*$I$2+[[#This Row],LSTMPP]*$I$3</f>
        <v>0</v>
      </c>
      <c r="E8">
        <v>57</v>
      </c>
      <c r="F8">
        <f>ABS([[#This Row],PP]-[[#This Row],AP])</f>
        <v>0</v>
      </c>
    </row>
    <row r="9" spans="1:9">
      <c r="A9" t="s">
        <v>167</v>
      </c>
      <c r="B9">
        <v>20</v>
      </c>
      <c r="C9">
        <v>22</v>
      </c>
      <c r="D9">
        <f>[[#This Row],ARIMAPP]*$I$2+[[#This Row],LSTMPP]*$I$3</f>
        <v>0</v>
      </c>
      <c r="E9">
        <v>39</v>
      </c>
      <c r="F9">
        <f>ABS([[#This Row],PP]-[[#This Row],AP])</f>
        <v>0</v>
      </c>
    </row>
    <row r="10" spans="1:9">
      <c r="A10" t="s">
        <v>168</v>
      </c>
      <c r="B10">
        <v>17.40448793909188</v>
      </c>
      <c r="C10">
        <v>24.41176470588236</v>
      </c>
      <c r="D10">
        <f>[[#This Row],ARIMAPP]*$I$2+[[#This Row],LSTMPP]*$I$3</f>
        <v>0</v>
      </c>
      <c r="E10">
        <v>23</v>
      </c>
      <c r="F10">
        <f>ABS([[#This Row],PP]-[[#This Row],AP])</f>
        <v>0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I9"/>
  <sheetViews>
    <sheetView workbookViewId="0"/>
  </sheetViews>
  <sheetFormatPr defaultRowHeight="15"/>
  <cols>
    <col min="2" max="3" width="0" hidden="1" customWidth="1"/>
  </cols>
  <sheetData>
    <row r="1" spans="1:9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>
      <c r="A2" t="s">
        <v>31</v>
      </c>
      <c r="B2">
        <v>21.91011235955056</v>
      </c>
      <c r="C2">
        <v>26.69014084507043</v>
      </c>
      <c r="D2">
        <f>[[#This Row],ARIMAPP]*$I$2+[[#This Row],LSTMPP]*$I$3</f>
        <v>0</v>
      </c>
      <c r="E2">
        <v>33</v>
      </c>
      <c r="F2">
        <f>ABS([[#This Row],PP]-[[#This Row],AP])</f>
        <v>0</v>
      </c>
      <c r="H2" t="s">
        <v>0</v>
      </c>
      <c r="I2">
        <v>0.31294495154</v>
      </c>
    </row>
    <row r="3" spans="1:9">
      <c r="A3" t="s">
        <v>32</v>
      </c>
      <c r="B3">
        <v>41.39378979400731</v>
      </c>
      <c r="C3">
        <v>28.04347826086957</v>
      </c>
      <c r="D3">
        <f>[[#This Row],ARIMAPP]*$I$2+[[#This Row],LSTMPP]*$I$3</f>
        <v>0</v>
      </c>
      <c r="E3">
        <v>56</v>
      </c>
      <c r="F3">
        <f>ABS([[#This Row],PP]-[[#This Row],AP])</f>
        <v>0</v>
      </c>
      <c r="H3" t="s">
        <v>1</v>
      </c>
      <c r="I3">
        <v>0.92761336479</v>
      </c>
    </row>
    <row r="4" spans="1:9">
      <c r="A4" t="s">
        <v>33</v>
      </c>
      <c r="B4">
        <v>20</v>
      </c>
      <c r="C4">
        <v>24.42857142857143</v>
      </c>
      <c r="D4">
        <f>[[#This Row],ARIMAPP]*$I$2+[[#This Row],LSTMPP]*$I$3</f>
        <v>0</v>
      </c>
      <c r="E4">
        <v>25</v>
      </c>
      <c r="F4">
        <f>ABS([[#This Row],PP]-[[#This Row],AP])</f>
        <v>0</v>
      </c>
    </row>
    <row r="5" spans="1:9">
      <c r="A5" t="s">
        <v>34</v>
      </c>
      <c r="B5">
        <v>44.37985877425074</v>
      </c>
      <c r="C5">
        <v>37.59217970955397</v>
      </c>
      <c r="D5">
        <f>[[#This Row],ARIMAPP]*$I$2+[[#This Row],LSTMPP]*$I$3</f>
        <v>0</v>
      </c>
      <c r="E5">
        <v>30</v>
      </c>
      <c r="F5">
        <f>ABS([[#This Row],PP]-[[#This Row],AP])</f>
        <v>0</v>
      </c>
      <c r="H5" t="s">
        <v>2</v>
      </c>
      <c r="I5">
        <f>SUM(ABS(TableBOU[PP]-TableBOU[AP]))</f>
        <v>0</v>
      </c>
    </row>
    <row r="6" spans="1:9">
      <c r="A6" t="s">
        <v>35</v>
      </c>
      <c r="B6">
        <v>20.94483126639744</v>
      </c>
      <c r="C6">
        <v>25.9375</v>
      </c>
      <c r="D6">
        <f>[[#This Row],ARIMAPP]*$I$2+[[#This Row],LSTMPP]*$I$3</f>
        <v>0</v>
      </c>
      <c r="E6">
        <v>53</v>
      </c>
      <c r="F6">
        <f>ABS([[#This Row],PP]-[[#This Row],AP])</f>
        <v>0</v>
      </c>
    </row>
    <row r="7" spans="1:9">
      <c r="A7" t="s">
        <v>36</v>
      </c>
      <c r="B7">
        <v>34.54622405900498</v>
      </c>
      <c r="C7">
        <v>32.58620689655174</v>
      </c>
      <c r="D7">
        <f>[[#This Row],ARIMAPP]*$I$2+[[#This Row],LSTMPP]*$I$3</f>
        <v>0</v>
      </c>
      <c r="E7">
        <v>36</v>
      </c>
      <c r="F7">
        <f>ABS([[#This Row],PP]-[[#This Row],AP])</f>
        <v>0</v>
      </c>
      <c r="H7" t="s">
        <v>3</v>
      </c>
      <c r="I7">
        <f>AVERAGE(TableBOU[DIFF])/10</f>
        <v>0</v>
      </c>
    </row>
    <row r="8" spans="1:9">
      <c r="A8" t="s">
        <v>37</v>
      </c>
      <c r="B8">
        <v>22.50824302385411</v>
      </c>
      <c r="C8">
        <v>25.66666666666667</v>
      </c>
      <c r="D8">
        <f>[[#This Row],ARIMAPP]*$I$2+[[#This Row],LSTMPP]*$I$3</f>
        <v>0</v>
      </c>
      <c r="E8">
        <v>24</v>
      </c>
      <c r="F8">
        <f>ABS([[#This Row],PP]-[[#This Row],AP])</f>
        <v>0</v>
      </c>
    </row>
    <row r="9" spans="1:9">
      <c r="A9" t="s">
        <v>38</v>
      </c>
      <c r="B9">
        <v>15.55555555555555</v>
      </c>
      <c r="C9">
        <v>20.35714285714285</v>
      </c>
      <c r="D9">
        <f>[[#This Row],ARIMAPP]*$I$2+[[#This Row],LSTMPP]*$I$3</f>
        <v>0</v>
      </c>
      <c r="E9">
        <v>26</v>
      </c>
      <c r="F9">
        <f>ABS([[#This Row],PP]-[[#This Row],AP])</f>
        <v>0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I10"/>
  <sheetViews>
    <sheetView workbookViewId="0"/>
  </sheetViews>
  <sheetFormatPr defaultRowHeight="15"/>
  <cols>
    <col min="2" max="3" width="0" hidden="1" customWidth="1"/>
  </cols>
  <sheetData>
    <row r="1" spans="1:9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>
      <c r="A2" t="s">
        <v>39</v>
      </c>
      <c r="B2">
        <v>19.38831951122596</v>
      </c>
      <c r="C2">
        <v>30.27777777777778</v>
      </c>
      <c r="D2">
        <f>[[#This Row],ARIMAPP]*$I$2+[[#This Row],LSTMPP]*$I$3</f>
        <v>0</v>
      </c>
      <c r="E2">
        <v>38</v>
      </c>
      <c r="F2">
        <f>ABS([[#This Row],PP]-[[#This Row],AP])</f>
        <v>0</v>
      </c>
      <c r="H2" t="s">
        <v>0</v>
      </c>
      <c r="I2">
        <v>0</v>
      </c>
    </row>
    <row r="3" spans="1:9">
      <c r="A3" t="s">
        <v>40</v>
      </c>
      <c r="B3">
        <v>30.78125</v>
      </c>
      <c r="C3">
        <v>30.94841358625552</v>
      </c>
      <c r="D3">
        <f>[[#This Row],ARIMAPP]*$I$2+[[#This Row],LSTMPP]*$I$3</f>
        <v>0</v>
      </c>
      <c r="E3">
        <v>22</v>
      </c>
      <c r="F3">
        <f>ABS([[#This Row],PP]-[[#This Row],AP])</f>
        <v>0</v>
      </c>
      <c r="H3" t="s">
        <v>1</v>
      </c>
      <c r="I3">
        <v>1.0929005499</v>
      </c>
    </row>
    <row r="4" spans="1:9">
      <c r="A4" t="s">
        <v>41</v>
      </c>
      <c r="B4">
        <v>23.79713226021043</v>
      </c>
      <c r="C4">
        <v>27.19804943027426</v>
      </c>
      <c r="D4">
        <f>[[#This Row],ARIMAPP]*$I$2+[[#This Row],LSTMPP]*$I$3</f>
        <v>0</v>
      </c>
      <c r="E4">
        <v>26</v>
      </c>
      <c r="F4">
        <f>ABS([[#This Row],PP]-[[#This Row],AP])</f>
        <v>0</v>
      </c>
    </row>
    <row r="5" spans="1:9">
      <c r="A5" t="s">
        <v>42</v>
      </c>
      <c r="B5">
        <v>38.79999999999998</v>
      </c>
      <c r="C5">
        <v>34.00656394206884</v>
      </c>
      <c r="D5">
        <f>[[#This Row],ARIMAPP]*$I$2+[[#This Row],LSTMPP]*$I$3</f>
        <v>0</v>
      </c>
      <c r="E5">
        <v>52</v>
      </c>
      <c r="F5">
        <f>ABS([[#This Row],PP]-[[#This Row],AP])</f>
        <v>0</v>
      </c>
      <c r="H5" t="s">
        <v>2</v>
      </c>
      <c r="I5">
        <f>SUM(ABS(TableBRE[PP]-TableBRE[AP]))</f>
        <v>0</v>
      </c>
    </row>
    <row r="6" spans="1:9">
      <c r="A6" t="s">
        <v>43</v>
      </c>
      <c r="B6">
        <v>33.35127721001346</v>
      </c>
      <c r="C6">
        <v>28.1896551724138</v>
      </c>
      <c r="D6">
        <f>[[#This Row],ARIMAPP]*$I$2+[[#This Row],LSTMPP]*$I$3</f>
        <v>0</v>
      </c>
      <c r="E6">
        <v>23</v>
      </c>
      <c r="F6">
        <f>ABS([[#This Row],PP]-[[#This Row],AP])</f>
        <v>0</v>
      </c>
    </row>
    <row r="7" spans="1:9">
      <c r="A7" t="s">
        <v>44</v>
      </c>
      <c r="B7">
        <v>51.22569667596611</v>
      </c>
      <c r="C7">
        <v>27.8867383614943</v>
      </c>
      <c r="D7">
        <f>[[#This Row],ARIMAPP]*$I$2+[[#This Row],LSTMPP]*$I$3</f>
        <v>0</v>
      </c>
      <c r="E7">
        <v>25</v>
      </c>
      <c r="F7">
        <f>ABS([[#This Row],PP]-[[#This Row],AP])</f>
        <v>0</v>
      </c>
      <c r="H7" t="s">
        <v>3</v>
      </c>
      <c r="I7">
        <f>AVERAGE(TableBRE[DIFF])/10</f>
        <v>0</v>
      </c>
    </row>
    <row r="8" spans="1:9">
      <c r="A8" t="s">
        <v>45</v>
      </c>
      <c r="B8">
        <v>23.65384615384616</v>
      </c>
      <c r="C8">
        <v>25.48780487804878</v>
      </c>
      <c r="D8">
        <f>[[#This Row],ARIMAPP]*$I$2+[[#This Row],LSTMPP]*$I$3</f>
        <v>0</v>
      </c>
      <c r="E8">
        <v>29</v>
      </c>
      <c r="F8">
        <f>ABS([[#This Row],PP]-[[#This Row],AP])</f>
        <v>0</v>
      </c>
    </row>
    <row r="9" spans="1:9">
      <c r="A9" t="s">
        <v>46</v>
      </c>
      <c r="B9">
        <v>13.5294117384871</v>
      </c>
      <c r="C9">
        <v>18.07692307692308</v>
      </c>
      <c r="D9">
        <f>[[#This Row],ARIMAPP]*$I$2+[[#This Row],LSTMPP]*$I$3</f>
        <v>0</v>
      </c>
      <c r="E9">
        <v>31</v>
      </c>
      <c r="F9">
        <f>ABS([[#This Row],PP]-[[#This Row],AP])</f>
        <v>0</v>
      </c>
    </row>
    <row r="10" spans="1:9">
      <c r="A10" t="s">
        <v>47</v>
      </c>
      <c r="B10">
        <v>30.83333333333334</v>
      </c>
      <c r="C10">
        <v>28.88888888888889</v>
      </c>
      <c r="D10">
        <f>[[#This Row],ARIMAPP]*$I$2+[[#This Row],LSTMPP]*$I$3</f>
        <v>0</v>
      </c>
      <c r="E10">
        <v>30</v>
      </c>
      <c r="F10">
        <f>ABS([[#This Row],PP]-[[#This Row],AP])</f>
        <v>0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I7"/>
  <sheetViews>
    <sheetView workbookViewId="0"/>
  </sheetViews>
  <sheetFormatPr defaultRowHeight="15"/>
  <cols>
    <col min="2" max="3" width="0" hidden="1" customWidth="1"/>
  </cols>
  <sheetData>
    <row r="1" spans="1:9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>
      <c r="A2" t="s">
        <v>48</v>
      </c>
      <c r="B2">
        <v>34.52229299363055</v>
      </c>
      <c r="C2">
        <v>33.36747773011342</v>
      </c>
      <c r="D2">
        <f>[[#This Row],ARIMAPP]*$I$2+[[#This Row],LSTMPP]*$I$3</f>
        <v>0</v>
      </c>
      <c r="E2">
        <v>58</v>
      </c>
      <c r="F2">
        <f>ABS([[#This Row],PP]-[[#This Row],AP])</f>
        <v>0</v>
      </c>
      <c r="H2" t="s">
        <v>0</v>
      </c>
      <c r="I2">
        <v>5.1073801145E-07</v>
      </c>
    </row>
    <row r="3" spans="1:9">
      <c r="A3" t="s">
        <v>49</v>
      </c>
      <c r="B3">
        <v>30.19417475728154</v>
      </c>
      <c r="C3">
        <v>33.02056183403072</v>
      </c>
      <c r="D3">
        <f>[[#This Row],ARIMAPP]*$I$2+[[#This Row],LSTMPP]*$I$3</f>
        <v>0</v>
      </c>
      <c r="E3">
        <v>30</v>
      </c>
      <c r="F3">
        <f>ABS([[#This Row],PP]-[[#This Row],AP])</f>
        <v>0</v>
      </c>
      <c r="H3" t="s">
        <v>1</v>
      </c>
      <c r="I3">
        <v>1.0346091872</v>
      </c>
    </row>
    <row r="4" spans="1:9">
      <c r="A4" t="s">
        <v>50</v>
      </c>
      <c r="B4">
        <v>19.92009908302825</v>
      </c>
      <c r="C4">
        <v>25</v>
      </c>
      <c r="D4">
        <f>[[#This Row],ARIMAPP]*$I$2+[[#This Row],LSTMPP]*$I$3</f>
        <v>0</v>
      </c>
      <c r="E4">
        <v>41</v>
      </c>
      <c r="F4">
        <f>ABS([[#This Row],PP]-[[#This Row],AP])</f>
        <v>0</v>
      </c>
    </row>
    <row r="5" spans="1:9">
      <c r="A5" t="s">
        <v>51</v>
      </c>
      <c r="B5">
        <v>37.33333333333334</v>
      </c>
      <c r="C5">
        <v>34.16666666666667</v>
      </c>
      <c r="D5">
        <f>[[#This Row],ARIMAPP]*$I$2+[[#This Row],LSTMPP]*$I$3</f>
        <v>0</v>
      </c>
      <c r="E5">
        <v>32</v>
      </c>
      <c r="F5">
        <f>ABS([[#This Row],PP]-[[#This Row],AP])</f>
        <v>0</v>
      </c>
      <c r="H5" t="s">
        <v>2</v>
      </c>
      <c r="I5">
        <f>SUM(ABS(TableBHA[PP]-TableBHA[AP]))</f>
        <v>0</v>
      </c>
    </row>
    <row r="6" spans="1:9">
      <c r="A6" t="s">
        <v>52</v>
      </c>
      <c r="B6">
        <v>43.45972235476357</v>
      </c>
      <c r="C6">
        <v>42.78494576978999</v>
      </c>
      <c r="D6">
        <f>[[#This Row],ARIMAPP]*$I$2+[[#This Row],LSTMPP]*$I$3</f>
        <v>0</v>
      </c>
      <c r="E6">
        <v>23</v>
      </c>
      <c r="F6">
        <f>ABS([[#This Row],PP]-[[#This Row],AP])</f>
        <v>0</v>
      </c>
    </row>
    <row r="7" spans="1:9">
      <c r="H7" t="s">
        <v>3</v>
      </c>
      <c r="I7">
        <f>AVERAGE(TableBHA[DIFF])/10</f>
        <v>0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I7"/>
  <sheetViews>
    <sheetView workbookViewId="0"/>
  </sheetViews>
  <sheetFormatPr defaultRowHeight="15"/>
  <cols>
    <col min="2" max="3" width="0" hidden="1" customWidth="1"/>
  </cols>
  <sheetData>
    <row r="1" spans="1:9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>
      <c r="A2" t="s">
        <v>53</v>
      </c>
      <c r="B2">
        <v>22.75</v>
      </c>
      <c r="C2">
        <v>26.40625</v>
      </c>
      <c r="D2">
        <f>[[#This Row],ARIMAPP]*$I$2+[[#This Row],LSTMPP]*$I$3</f>
        <v>0</v>
      </c>
      <c r="E2">
        <v>21</v>
      </c>
      <c r="F2">
        <f>ABS([[#This Row],PP]-[[#This Row],AP])</f>
        <v>0</v>
      </c>
      <c r="H2" t="s">
        <v>0</v>
      </c>
      <c r="I2">
        <v>0.32926827918</v>
      </c>
    </row>
    <row r="3" spans="1:9">
      <c r="A3" t="s">
        <v>54</v>
      </c>
      <c r="B3">
        <v>25.50192172266792</v>
      </c>
      <c r="C3">
        <v>25.83333333333333</v>
      </c>
      <c r="D3">
        <f>[[#This Row],ARIMAPP]*$I$2+[[#This Row],LSTMPP]*$I$3</f>
        <v>0</v>
      </c>
      <c r="E3">
        <v>22</v>
      </c>
      <c r="F3">
        <f>ABS([[#This Row],PP]-[[#This Row],AP])</f>
        <v>0</v>
      </c>
      <c r="H3" t="s">
        <v>1</v>
      </c>
      <c r="I3">
        <v>0.76680278391</v>
      </c>
    </row>
    <row r="4" spans="1:9">
      <c r="A4" t="s">
        <v>55</v>
      </c>
      <c r="B4">
        <v>13.88888888888889</v>
      </c>
      <c r="C4">
        <v>21.25</v>
      </c>
      <c r="D4">
        <f>[[#This Row],ARIMAPP]*$I$2+[[#This Row],LSTMPP]*$I$3</f>
        <v>0</v>
      </c>
      <c r="E4">
        <v>24</v>
      </c>
      <c r="F4">
        <f>ABS([[#This Row],PP]-[[#This Row],AP])</f>
        <v>0</v>
      </c>
    </row>
    <row r="5" spans="1:9">
      <c r="A5" t="s">
        <v>56</v>
      </c>
      <c r="B5">
        <v>21.53846153846155</v>
      </c>
      <c r="C5">
        <v>22.5</v>
      </c>
      <c r="D5">
        <f>[[#This Row],ARIMAPP]*$I$2+[[#This Row],LSTMPP]*$I$3</f>
        <v>0</v>
      </c>
      <c r="E5">
        <v>35</v>
      </c>
      <c r="F5">
        <f>ABS([[#This Row],PP]-[[#This Row],AP])</f>
        <v>0</v>
      </c>
      <c r="H5" t="s">
        <v>2</v>
      </c>
      <c r="I5">
        <f>SUM(ABS(TableBUR[PP]-TableBUR[AP]))</f>
        <v>0</v>
      </c>
    </row>
    <row r="6" spans="1:9">
      <c r="A6" t="s">
        <v>57</v>
      </c>
      <c r="B6">
        <v>30.83333333333334</v>
      </c>
      <c r="C6">
        <v>25.55555555555556</v>
      </c>
      <c r="D6">
        <f>[[#This Row],ARIMAPP]*$I$2+[[#This Row],LSTMPP]*$I$3</f>
        <v>0</v>
      </c>
      <c r="E6">
        <v>31</v>
      </c>
      <c r="F6">
        <f>ABS([[#This Row],PP]-[[#This Row],AP])</f>
        <v>0</v>
      </c>
    </row>
    <row r="7" spans="1:9">
      <c r="H7" t="s">
        <v>3</v>
      </c>
      <c r="I7">
        <f>AVERAGE(TableBUR[DIFF])/10</f>
        <v>0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I9"/>
  <sheetViews>
    <sheetView workbookViewId="0"/>
  </sheetViews>
  <sheetFormatPr defaultRowHeight="15"/>
  <cols>
    <col min="2" max="3" width="0" hidden="1" customWidth="1"/>
  </cols>
  <sheetData>
    <row r="1" spans="1:9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>
      <c r="A2" t="s">
        <v>58</v>
      </c>
      <c r="B2">
        <v>45.53522796476884</v>
      </c>
      <c r="C2">
        <v>62.55478990251123</v>
      </c>
      <c r="D2">
        <f>[[#This Row],ARIMAPP]*$I$2+[[#This Row],LSTMPP]*$I$3</f>
        <v>0</v>
      </c>
      <c r="E2">
        <v>32</v>
      </c>
      <c r="F2">
        <f>ABS([[#This Row],PP]-[[#This Row],AP])</f>
        <v>0</v>
      </c>
      <c r="H2" t="s">
        <v>0</v>
      </c>
      <c r="I2">
        <v>0.91287417585</v>
      </c>
    </row>
    <row r="3" spans="1:9">
      <c r="A3" t="s">
        <v>59</v>
      </c>
      <c r="B3">
        <v>29.16066121951391</v>
      </c>
      <c r="C3">
        <v>28.11764705882353</v>
      </c>
      <c r="D3">
        <f>[[#This Row],ARIMAPP]*$I$2+[[#This Row],LSTMPP]*$I$3</f>
        <v>0</v>
      </c>
      <c r="E3">
        <v>27</v>
      </c>
      <c r="F3">
        <f>ABS([[#This Row],PP]-[[#This Row],AP])</f>
        <v>0</v>
      </c>
      <c r="H3" t="s">
        <v>1</v>
      </c>
      <c r="I3">
        <v>0</v>
      </c>
    </row>
    <row r="4" spans="1:9">
      <c r="A4" t="s">
        <v>60</v>
      </c>
      <c r="B4">
        <v>63.31116568724835</v>
      </c>
      <c r="C4">
        <v>19.31818181818182</v>
      </c>
      <c r="D4">
        <f>[[#This Row],ARIMAPP]*$I$2+[[#This Row],LSTMPP]*$I$3</f>
        <v>0</v>
      </c>
      <c r="E4">
        <v>73</v>
      </c>
      <c r="F4">
        <f>ABS([[#This Row],PP]-[[#This Row],AP])</f>
        <v>0</v>
      </c>
    </row>
    <row r="5" spans="1:9">
      <c r="A5" t="s">
        <v>61</v>
      </c>
      <c r="B5">
        <v>27.99875092175853</v>
      </c>
      <c r="C5">
        <v>32.83609350344312</v>
      </c>
      <c r="D5">
        <f>[[#This Row],ARIMAPP]*$I$2+[[#This Row],LSTMPP]*$I$3</f>
        <v>0</v>
      </c>
      <c r="E5">
        <v>29</v>
      </c>
      <c r="F5">
        <f>ABS([[#This Row],PP]-[[#This Row],AP])</f>
        <v>0</v>
      </c>
      <c r="H5" t="s">
        <v>2</v>
      </c>
      <c r="I5">
        <f>SUM(ABS(TableCHE[PP]-TableCHE[AP]))</f>
        <v>0</v>
      </c>
    </row>
    <row r="6" spans="1:9">
      <c r="A6" t="s">
        <v>62</v>
      </c>
      <c r="B6">
        <v>27.77777777777779</v>
      </c>
      <c r="C6">
        <v>28.32830776168512</v>
      </c>
      <c r="D6">
        <f>[[#This Row],ARIMAPP]*$I$2+[[#This Row],LSTMPP]*$I$3</f>
        <v>0</v>
      </c>
      <c r="E6">
        <v>27</v>
      </c>
      <c r="F6">
        <f>ABS([[#This Row],PP]-[[#This Row],AP])</f>
        <v>0</v>
      </c>
    </row>
    <row r="7" spans="1:9">
      <c r="A7" t="s">
        <v>63</v>
      </c>
      <c r="B7">
        <v>47.97022413266061</v>
      </c>
      <c r="C7">
        <v>22.94117647058823</v>
      </c>
      <c r="D7">
        <f>[[#This Row],ARIMAPP]*$I$2+[[#This Row],LSTMPP]*$I$3</f>
        <v>0</v>
      </c>
      <c r="E7">
        <v>30</v>
      </c>
      <c r="F7">
        <f>ABS([[#This Row],PP]-[[#This Row],AP])</f>
        <v>0</v>
      </c>
      <c r="H7" t="s">
        <v>3</v>
      </c>
      <c r="I7">
        <f>AVERAGE(TableCHE[DIFF])/10</f>
        <v>0</v>
      </c>
    </row>
    <row r="8" spans="1:9">
      <c r="A8" t="s">
        <v>64</v>
      </c>
      <c r="B8">
        <v>23.33333333333333</v>
      </c>
      <c r="C8">
        <v>25.47619047619047</v>
      </c>
      <c r="D8">
        <f>[[#This Row],ARIMAPP]*$I$2+[[#This Row],LSTMPP]*$I$3</f>
        <v>0</v>
      </c>
      <c r="E8">
        <v>35</v>
      </c>
      <c r="F8">
        <f>ABS([[#This Row],PP]-[[#This Row],AP])</f>
        <v>0</v>
      </c>
    </row>
    <row r="9" spans="1:9">
      <c r="A9" t="s">
        <v>65</v>
      </c>
      <c r="B9">
        <v>38.18181818181818</v>
      </c>
      <c r="C9">
        <v>25</v>
      </c>
      <c r="D9">
        <f>[[#This Row],ARIMAPP]*$I$2+[[#This Row],LSTMPP]*$I$3</f>
        <v>0</v>
      </c>
      <c r="E9">
        <v>26</v>
      </c>
      <c r="F9">
        <f>ABS([[#This Row],PP]-[[#This Row],AP])</f>
        <v>0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I8"/>
  <sheetViews>
    <sheetView workbookViewId="0"/>
  </sheetViews>
  <sheetFormatPr defaultRowHeight="15"/>
  <cols>
    <col min="2" max="3" width="0" hidden="1" customWidth="1"/>
  </cols>
  <sheetData>
    <row r="1" spans="1:9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>
      <c r="A2" t="s">
        <v>66</v>
      </c>
      <c r="B2">
        <v>23.06739159279388</v>
      </c>
      <c r="C2">
        <v>27.57731958762886</v>
      </c>
      <c r="D2">
        <f>[[#This Row],ARIMAPP]*$I$2+[[#This Row],LSTMPP]*$I$3</f>
        <v>0</v>
      </c>
      <c r="E2">
        <v>20</v>
      </c>
      <c r="F2">
        <f>ABS([[#This Row],PP]-[[#This Row],AP])</f>
        <v>0</v>
      </c>
      <c r="H2" t="s">
        <v>0</v>
      </c>
      <c r="I2">
        <v>0.84003107036</v>
      </c>
    </row>
    <row r="3" spans="1:9">
      <c r="A3" t="s">
        <v>67</v>
      </c>
      <c r="B3">
        <v>27.59036144578313</v>
      </c>
      <c r="C3">
        <v>28.29545454545454</v>
      </c>
      <c r="D3">
        <f>[[#This Row],ARIMAPP]*$I$2+[[#This Row],LSTMPP]*$I$3</f>
        <v>0</v>
      </c>
      <c r="E3">
        <v>28</v>
      </c>
      <c r="F3">
        <f>ABS([[#This Row],PP]-[[#This Row],AP])</f>
        <v>0</v>
      </c>
      <c r="H3" t="s">
        <v>1</v>
      </c>
      <c r="I3">
        <v>0.22191544606</v>
      </c>
    </row>
    <row r="4" spans="1:9">
      <c r="A4" t="s">
        <v>68</v>
      </c>
      <c r="B4">
        <v>36.39534883720933</v>
      </c>
      <c r="C4">
        <v>31.39705882352942</v>
      </c>
      <c r="D4">
        <f>[[#This Row],ARIMAPP]*$I$2+[[#This Row],LSTMPP]*$I$3</f>
        <v>0</v>
      </c>
      <c r="E4">
        <v>46</v>
      </c>
      <c r="F4">
        <f>ABS([[#This Row],PP]-[[#This Row],AP])</f>
        <v>0</v>
      </c>
    </row>
    <row r="5" spans="1:9">
      <c r="A5" t="s">
        <v>69</v>
      </c>
      <c r="B5">
        <v>36.47058823529412</v>
      </c>
      <c r="C5">
        <v>33.625</v>
      </c>
      <c r="D5">
        <f>[[#This Row],ARIMAPP]*$I$2+[[#This Row],LSTMPP]*$I$3</f>
        <v>0</v>
      </c>
      <c r="E5">
        <v>36</v>
      </c>
      <c r="F5">
        <f>ABS([[#This Row],PP]-[[#This Row],AP])</f>
        <v>0</v>
      </c>
      <c r="H5" t="s">
        <v>2</v>
      </c>
      <c r="I5">
        <f>SUM(ABS(TableCRY[PP]-TableCRY[AP]))</f>
        <v>0</v>
      </c>
    </row>
    <row r="6" spans="1:9">
      <c r="A6" t="s">
        <v>70</v>
      </c>
      <c r="B6">
        <v>20.60606060606061</v>
      </c>
      <c r="C6">
        <v>24.71153846153846</v>
      </c>
      <c r="D6">
        <f>[[#This Row],ARIMAPP]*$I$2+[[#This Row],LSTMPP]*$I$3</f>
        <v>0</v>
      </c>
      <c r="E6">
        <v>37</v>
      </c>
      <c r="F6">
        <f>ABS([[#This Row],PP]-[[#This Row],AP])</f>
        <v>0</v>
      </c>
    </row>
    <row r="7" spans="1:9">
      <c r="A7" t="s">
        <v>71</v>
      </c>
      <c r="B7">
        <v>29.56521739130434</v>
      </c>
      <c r="C7">
        <v>28.27272727272728</v>
      </c>
      <c r="D7">
        <f>[[#This Row],ARIMAPP]*$I$2+[[#This Row],LSTMPP]*$I$3</f>
        <v>0</v>
      </c>
      <c r="E7">
        <v>25</v>
      </c>
      <c r="F7">
        <f>ABS([[#This Row],PP]-[[#This Row],AP])</f>
        <v>0</v>
      </c>
      <c r="H7" t="s">
        <v>3</v>
      </c>
      <c r="I7">
        <f>AVERAGE(TableCRY[DIFF])/10</f>
        <v>0</v>
      </c>
    </row>
    <row r="8" spans="1:9">
      <c r="A8" t="s">
        <v>72</v>
      </c>
      <c r="B8">
        <v>27.55555555555556</v>
      </c>
      <c r="C8">
        <v>28.19444444444444</v>
      </c>
      <c r="D8">
        <f>[[#This Row],ARIMAPP]*$I$2+[[#This Row],LSTMPP]*$I$3</f>
        <v>0</v>
      </c>
      <c r="E8">
        <v>23</v>
      </c>
      <c r="F8">
        <f>ABS([[#This Row],PP]-[[#This Row],AP])</f>
        <v>0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I11"/>
  <sheetViews>
    <sheetView workbookViewId="0"/>
  </sheetViews>
  <sheetFormatPr defaultRowHeight="15"/>
  <cols>
    <col min="2" max="3" width="0" hidden="1" customWidth="1"/>
  </cols>
  <sheetData>
    <row r="1" spans="1:9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>
      <c r="A2" t="s">
        <v>73</v>
      </c>
      <c r="B2">
        <v>31.54838709677417</v>
      </c>
      <c r="C2">
        <v>30.12096774193548</v>
      </c>
      <c r="D2">
        <f>[[#This Row],ARIMAPP]*$I$2+[[#This Row],LSTMPP]*$I$3</f>
        <v>0</v>
      </c>
      <c r="E2">
        <v>44</v>
      </c>
      <c r="F2">
        <f>ABS([[#This Row],PP]-[[#This Row],AP])</f>
        <v>0</v>
      </c>
      <c r="H2" t="s">
        <v>0</v>
      </c>
      <c r="I2">
        <v>1.014187949E-06</v>
      </c>
    </row>
    <row r="3" spans="1:9">
      <c r="A3" t="s">
        <v>74</v>
      </c>
      <c r="B3">
        <v>29.2386817831284</v>
      </c>
      <c r="C3">
        <v>29.63333333333334</v>
      </c>
      <c r="D3">
        <f>[[#This Row],ARIMAPP]*$I$2+[[#This Row],LSTMPP]*$I$3</f>
        <v>0</v>
      </c>
      <c r="E3">
        <v>33</v>
      </c>
      <c r="F3">
        <f>ABS([[#This Row],PP]-[[#This Row],AP])</f>
        <v>0</v>
      </c>
      <c r="H3" t="s">
        <v>1</v>
      </c>
      <c r="I3">
        <v>1.1682761421</v>
      </c>
    </row>
    <row r="4" spans="1:9">
      <c r="A4" t="s">
        <v>75</v>
      </c>
      <c r="B4">
        <v>34.73118279569889</v>
      </c>
      <c r="C4">
        <v>37.01940742283774</v>
      </c>
      <c r="D4">
        <f>[[#This Row],ARIMAPP]*$I$2+[[#This Row],LSTMPP]*$I$3</f>
        <v>0</v>
      </c>
      <c r="E4">
        <v>51</v>
      </c>
      <c r="F4">
        <f>ABS([[#This Row],PP]-[[#This Row],AP])</f>
        <v>0</v>
      </c>
    </row>
    <row r="5" spans="1:9">
      <c r="A5" t="s">
        <v>76</v>
      </c>
      <c r="B5">
        <v>34.51281251642252</v>
      </c>
      <c r="C5">
        <v>34.5244128744082</v>
      </c>
      <c r="D5">
        <f>[[#This Row],ARIMAPP]*$I$2+[[#This Row],LSTMPP]*$I$3</f>
        <v>0</v>
      </c>
      <c r="E5">
        <v>24</v>
      </c>
      <c r="F5">
        <f>ABS([[#This Row],PP]-[[#This Row],AP])</f>
        <v>0</v>
      </c>
      <c r="H5" t="s">
        <v>2</v>
      </c>
      <c r="I5">
        <f>SUM(ABS(TableEVE[PP]-TableEVE[AP]))</f>
        <v>0</v>
      </c>
    </row>
    <row r="6" spans="1:9">
      <c r="A6" t="s">
        <v>77</v>
      </c>
      <c r="B6">
        <v>30.8726598613119</v>
      </c>
      <c r="C6">
        <v>29.30147058823529</v>
      </c>
      <c r="D6">
        <f>[[#This Row],ARIMAPP]*$I$2+[[#This Row],LSTMPP]*$I$3</f>
        <v>0</v>
      </c>
      <c r="E6">
        <v>39</v>
      </c>
      <c r="F6">
        <f>ABS([[#This Row],PP]-[[#This Row],AP])</f>
        <v>0</v>
      </c>
    </row>
    <row r="7" spans="1:9">
      <c r="A7" t="s">
        <v>78</v>
      </c>
      <c r="B7">
        <v>18.74964926840912</v>
      </c>
      <c r="C7">
        <v>22.91666666666667</v>
      </c>
      <c r="D7">
        <f>[[#This Row],ARIMAPP]*$I$2+[[#This Row],LSTMPP]*$I$3</f>
        <v>0</v>
      </c>
      <c r="E7">
        <v>22</v>
      </c>
      <c r="F7">
        <f>ABS([[#This Row],PP]-[[#This Row],AP])</f>
        <v>0</v>
      </c>
      <c r="H7" t="s">
        <v>3</v>
      </c>
      <c r="I7">
        <f>AVERAGE(TableEVE[DIFF])/10</f>
        <v>0</v>
      </c>
    </row>
    <row r="8" spans="1:9">
      <c r="A8" t="s">
        <v>79</v>
      </c>
      <c r="B8">
        <v>19.52380952380952</v>
      </c>
      <c r="C8">
        <v>23.4375</v>
      </c>
      <c r="D8">
        <f>[[#This Row],ARIMAPP]*$I$2+[[#This Row],LSTMPP]*$I$3</f>
        <v>0</v>
      </c>
      <c r="E8">
        <v>42</v>
      </c>
      <c r="F8">
        <f>ABS([[#This Row],PP]-[[#This Row],AP])</f>
        <v>0</v>
      </c>
    </row>
    <row r="9" spans="1:9">
      <c r="A9" t="s">
        <v>80</v>
      </c>
      <c r="B9">
        <v>39.81651376146785</v>
      </c>
      <c r="C9">
        <v>38.26224408099727</v>
      </c>
      <c r="D9">
        <f>[[#This Row],ARIMAPP]*$I$2+[[#This Row],LSTMPP]*$I$3</f>
        <v>0</v>
      </c>
      <c r="E9">
        <v>37</v>
      </c>
      <c r="F9">
        <f>ABS([[#This Row],PP]-[[#This Row],AP])</f>
        <v>0</v>
      </c>
    </row>
    <row r="10" spans="1:9">
      <c r="A10" t="s">
        <v>81</v>
      </c>
      <c r="B10">
        <v>27.56683894534249</v>
      </c>
      <c r="C10">
        <v>27.19512195121951</v>
      </c>
      <c r="D10">
        <f>[[#This Row],ARIMAPP]*$I$2+[[#This Row],LSTMPP]*$I$3</f>
        <v>0</v>
      </c>
      <c r="E10">
        <v>36</v>
      </c>
      <c r="F10">
        <f>ABS([[#This Row],PP]-[[#This Row],AP])</f>
        <v>0</v>
      </c>
    </row>
    <row r="11" spans="1:9">
      <c r="A11" t="s">
        <v>82</v>
      </c>
      <c r="B11">
        <v>22.97514452615589</v>
      </c>
      <c r="C11">
        <v>26.5625</v>
      </c>
      <c r="D11">
        <f>[[#This Row],ARIMAPP]*$I$2+[[#This Row],LSTMPP]*$I$3</f>
        <v>0</v>
      </c>
      <c r="E11">
        <v>26</v>
      </c>
      <c r="F11">
        <f>ABS([[#This Row],PP]-[[#This Row],AP])</f>
        <v>0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ARS</vt:lpstr>
      <vt:lpstr>AVL</vt:lpstr>
      <vt:lpstr>BOU</vt:lpstr>
      <vt:lpstr>BRE</vt:lpstr>
      <vt:lpstr>BHA</vt:lpstr>
      <vt:lpstr>BUR</vt:lpstr>
      <vt:lpstr>CHE</vt:lpstr>
      <vt:lpstr>CRY</vt:lpstr>
      <vt:lpstr>EVE</vt:lpstr>
      <vt:lpstr>FUL</vt:lpstr>
      <vt:lpstr>LIV</vt:lpstr>
      <vt:lpstr>LUT</vt:lpstr>
      <vt:lpstr>MCI</vt:lpstr>
      <vt:lpstr>MUN</vt:lpstr>
      <vt:lpstr>NEW</vt:lpstr>
      <vt:lpstr>NFO</vt:lpstr>
      <vt:lpstr>SHU</vt:lpstr>
      <vt:lpstr>TOT</vt:lpstr>
      <vt:lpstr>WHU</vt:lpstr>
      <vt:lpstr>WOL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2024-02-16T20:27:21Z</dcterms:created>
  <dcterms:modified xsi:type="dcterms:W3CDTF">2024-02-16T20:27:21Z</dcterms:modified>
</cp:coreProperties>
</file>