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4-25/"/>
    </mc:Choice>
  </mc:AlternateContent>
  <xr:revisionPtr revIDLastSave="0" documentId="13_ncr:1_{29D2B95B-50A1-A448-8112-F3514BB0E1A5}" xr6:coauthVersionLast="47" xr6:coauthVersionMax="47" xr10:uidLastSave="{00000000-0000-0000-0000-000000000000}"/>
  <bookViews>
    <workbookView xWindow="240" yWindow="500" windowWidth="26120" windowHeight="2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3" i="1" l="1"/>
  <c r="AI143" i="1"/>
  <c r="AJ142" i="1"/>
  <c r="AI142" i="1"/>
  <c r="AJ141" i="1"/>
  <c r="AI141" i="1"/>
  <c r="AJ140" i="1"/>
  <c r="AI140" i="1"/>
  <c r="AJ7" i="1"/>
  <c r="AI7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98" i="1"/>
  <c r="AI98" i="1"/>
  <c r="AJ125" i="1"/>
  <c r="AI125" i="1"/>
  <c r="AJ31" i="1"/>
  <c r="AI31" i="1"/>
  <c r="AJ123" i="1"/>
  <c r="AI123" i="1"/>
  <c r="AJ122" i="1"/>
  <c r="AI122" i="1"/>
  <c r="AJ121" i="1"/>
  <c r="AI121" i="1"/>
  <c r="AJ120" i="1"/>
  <c r="AI120" i="1"/>
  <c r="AJ95" i="1"/>
  <c r="AI95" i="1"/>
  <c r="AJ83" i="1"/>
  <c r="AI83" i="1"/>
  <c r="AJ117" i="1"/>
  <c r="AI117" i="1"/>
  <c r="AJ116" i="1"/>
  <c r="AI116" i="1"/>
  <c r="AJ115" i="1"/>
  <c r="AI115" i="1"/>
  <c r="AJ114" i="1"/>
  <c r="AI114" i="1"/>
  <c r="AJ124" i="1"/>
  <c r="AI124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113" i="1"/>
  <c r="AI113" i="1"/>
  <c r="AJ97" i="1"/>
  <c r="AI97" i="1"/>
  <c r="AJ96" i="1"/>
  <c r="AI96" i="1"/>
  <c r="AJ139" i="1"/>
  <c r="AI139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126" i="1"/>
  <c r="AI126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119" i="1"/>
  <c r="AI119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76" i="1"/>
  <c r="AI76" i="1"/>
  <c r="AJ42" i="1"/>
  <c r="AI42" i="1"/>
  <c r="AJ41" i="1"/>
  <c r="AI41" i="1"/>
  <c r="AJ40" i="1"/>
  <c r="AI40" i="1"/>
  <c r="AJ39" i="1"/>
  <c r="AI39" i="1"/>
  <c r="AJ38" i="1"/>
  <c r="AI38" i="1"/>
  <c r="AP37" i="1"/>
  <c r="AJ37" i="1"/>
  <c r="AI37" i="1"/>
  <c r="AP36" i="1"/>
  <c r="AJ43" i="1"/>
  <c r="AI43" i="1"/>
  <c r="AP35" i="1"/>
  <c r="AJ35" i="1"/>
  <c r="AI35" i="1"/>
  <c r="AP34" i="1"/>
  <c r="AJ34" i="1"/>
  <c r="AI34" i="1"/>
  <c r="AP33" i="1"/>
  <c r="AJ33" i="1"/>
  <c r="AI33" i="1"/>
  <c r="AP32" i="1"/>
  <c r="AJ32" i="1"/>
  <c r="AI32" i="1"/>
  <c r="AP31" i="1"/>
  <c r="AJ118" i="1"/>
  <c r="AI118" i="1"/>
  <c r="AP30" i="1"/>
  <c r="AJ30" i="1"/>
  <c r="AI30" i="1"/>
  <c r="AP29" i="1"/>
  <c r="AJ29" i="1"/>
  <c r="AI29" i="1"/>
  <c r="AP28" i="1"/>
  <c r="AJ28" i="1"/>
  <c r="AI28" i="1"/>
  <c r="AP27" i="1"/>
  <c r="AJ27" i="1"/>
  <c r="AI27" i="1"/>
  <c r="AP26" i="1"/>
  <c r="AJ26" i="1"/>
  <c r="AI26" i="1"/>
  <c r="AP25" i="1"/>
  <c r="AJ25" i="1"/>
  <c r="AI25" i="1"/>
  <c r="AP24" i="1"/>
  <c r="AJ24" i="1"/>
  <c r="AI24" i="1"/>
  <c r="AP23" i="1"/>
  <c r="AJ23" i="1"/>
  <c r="AI23" i="1"/>
  <c r="AP22" i="1"/>
  <c r="AJ22" i="1"/>
  <c r="AI22" i="1"/>
  <c r="AP21" i="1"/>
  <c r="AJ21" i="1"/>
  <c r="AI21" i="1"/>
  <c r="AP20" i="1"/>
  <c r="AJ20" i="1"/>
  <c r="AI20" i="1"/>
  <c r="AP19" i="1"/>
  <c r="AJ19" i="1"/>
  <c r="AI19" i="1"/>
  <c r="AP18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P11" i="1"/>
  <c r="AP14" i="1" s="1"/>
  <c r="AJ11" i="1"/>
  <c r="AI11" i="1"/>
  <c r="AJ10" i="1"/>
  <c r="AI10" i="1"/>
  <c r="AP9" i="1"/>
  <c r="AJ9" i="1"/>
  <c r="AI9" i="1"/>
  <c r="AP8" i="1"/>
  <c r="AJ8" i="1"/>
  <c r="AI8" i="1"/>
  <c r="AP7" i="1"/>
  <c r="AJ36" i="1"/>
  <c r="AI36" i="1"/>
  <c r="AP2" i="1" s="1"/>
  <c r="AP6" i="1"/>
  <c r="AJ6" i="1"/>
  <c r="AI6" i="1"/>
  <c r="AJ5" i="1"/>
  <c r="AI5" i="1"/>
  <c r="AP4" i="1"/>
  <c r="AJ4" i="1"/>
  <c r="AI4" i="1"/>
  <c r="AJ3" i="1"/>
  <c r="AI3" i="1"/>
  <c r="AJ2" i="1"/>
  <c r="AI2" i="1"/>
  <c r="AP16" i="1" l="1"/>
</calcChain>
</file>

<file path=xl/sharedStrings.xml><?xml version="1.0" encoding="utf-8"?>
<sst xmlns="http://schemas.openxmlformats.org/spreadsheetml/2006/main" count="780" uniqueCount="343">
  <si>
    <t>Total Points</t>
  </si>
  <si>
    <t>MAX</t>
  </si>
  <si>
    <t>Total Cost</t>
  </si>
  <si>
    <t>GKP</t>
  </si>
  <si>
    <t>DEF</t>
  </si>
  <si>
    <t>MID</t>
  </si>
  <si>
    <t>FWD</t>
  </si>
  <si>
    <t>Transfers</t>
  </si>
  <si>
    <t>Free</t>
  </si>
  <si>
    <t>Cost</t>
  </si>
  <si>
    <t>Profit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</si>
  <si>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</si>
  <si>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</si>
  <si>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</si>
  <si>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</si>
  <si>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</si>
  <si>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</si>
  <si>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</si>
  <si>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</si>
  <si>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</si>
  <si>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IPS</t>
  </si>
  <si>
    <t>LEI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</si>
  <si>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</si>
  <si>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</si>
  <si>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</si>
  <si>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</si>
  <si>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</si>
  <si>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</si>
  <si>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</si>
  <si>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</si>
  <si>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</si>
  <si>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</si>
  <si>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</si>
  <si>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</si>
  <si>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</si>
  <si>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</si>
  <si>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</si>
  <si>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</si>
  <si>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</si>
  <si>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FOREST</t>
  </si>
  <si>
    <t>PP</t>
  </si>
  <si>
    <t>NEXT</t>
  </si>
  <si>
    <t>Health</t>
  </si>
  <si>
    <t>PREV</t>
  </si>
  <si>
    <t>Selected</t>
  </si>
  <si>
    <t>Gabriel</t>
  </si>
  <si>
    <t>dos Santos Magalhães</t>
  </si>
  <si>
    <t>Kai</t>
  </si>
  <si>
    <t>Havertz</t>
  </si>
  <si>
    <t>Jurriën</t>
  </si>
  <si>
    <t>Timber</t>
  </si>
  <si>
    <t>J.Timber</t>
  </si>
  <si>
    <t>Martinelli Silva</t>
  </si>
  <si>
    <t>Martinelli</t>
  </si>
  <si>
    <t>David</t>
  </si>
  <si>
    <t>Raya Martin</t>
  </si>
  <si>
    <t>Raya</t>
  </si>
  <si>
    <t>Bukayo</t>
  </si>
  <si>
    <t>Saka</t>
  </si>
  <si>
    <t>Thomas</t>
  </si>
  <si>
    <t>Partey</t>
  </si>
  <si>
    <t>Leandro</t>
  </si>
  <si>
    <t>Trossard</t>
  </si>
  <si>
    <t>Leon</t>
  </si>
  <si>
    <t>Bailey</t>
  </si>
  <si>
    <t>Ross</t>
  </si>
  <si>
    <t>Barkley</t>
  </si>
  <si>
    <t>Lucas</t>
  </si>
  <si>
    <t>Digne</t>
  </si>
  <si>
    <t>John</t>
  </si>
  <si>
    <t>McGinn</t>
  </si>
  <si>
    <t>Jacob</t>
  </si>
  <si>
    <t>Ramsey</t>
  </si>
  <si>
    <t>Morgan</t>
  </si>
  <si>
    <t>Rogers</t>
  </si>
  <si>
    <t>Ollie</t>
  </si>
  <si>
    <t>Watkins</t>
  </si>
  <si>
    <t>Ryan</t>
  </si>
  <si>
    <t>Christie</t>
  </si>
  <si>
    <t>Lewis</t>
  </si>
  <si>
    <t>Cook</t>
  </si>
  <si>
    <t>Milos</t>
  </si>
  <si>
    <t>Kerkez</t>
  </si>
  <si>
    <t>Justin</t>
  </si>
  <si>
    <t>Kluivert</t>
  </si>
  <si>
    <t>Antoine</t>
  </si>
  <si>
    <t>Semenyo</t>
  </si>
  <si>
    <t>Marcus</t>
  </si>
  <si>
    <t>Tavernier</t>
  </si>
  <si>
    <t>Nathan</t>
  </si>
  <si>
    <t>Collins</t>
  </si>
  <si>
    <t>Mikkel</t>
  </si>
  <si>
    <t>Damsgaard</t>
  </si>
  <si>
    <t>Mark</t>
  </si>
  <si>
    <t>Flekken</t>
  </si>
  <si>
    <t>Vitaly</t>
  </si>
  <si>
    <t>Janelt</t>
  </si>
  <si>
    <t>Keane</t>
  </si>
  <si>
    <t>Lewis-Potter</t>
  </si>
  <si>
    <t>Bryan</t>
  </si>
  <si>
    <t>Mbeumo</t>
  </si>
  <si>
    <t>Ethan</t>
  </si>
  <si>
    <t>Pinnock</t>
  </si>
  <si>
    <t>Kevin</t>
  </si>
  <si>
    <t>Schade</t>
  </si>
  <si>
    <t>Yoane</t>
  </si>
  <si>
    <t>Wissa</t>
  </si>
  <si>
    <t>Mitoma</t>
  </si>
  <si>
    <t>Kaoru</t>
  </si>
  <si>
    <t>Joël</t>
  </si>
  <si>
    <t>Veltman</t>
  </si>
  <si>
    <t>Bart</t>
  </si>
  <si>
    <t>Verbruggen</t>
  </si>
  <si>
    <t>Danny</t>
  </si>
  <si>
    <t>Welbeck</t>
  </si>
  <si>
    <t>Georginio</t>
  </si>
  <si>
    <t>Rutter</t>
  </si>
  <si>
    <t>Moisés</t>
  </si>
  <si>
    <t>Caicedo Corozo</t>
  </si>
  <si>
    <t>Caicedo</t>
  </si>
  <si>
    <t>Levi</t>
  </si>
  <si>
    <t>Colwill</t>
  </si>
  <si>
    <t>Marc</t>
  </si>
  <si>
    <t>Cucurella Saseta</t>
  </si>
  <si>
    <t>Cucurella</t>
  </si>
  <si>
    <t>Enzo</t>
  </si>
  <si>
    <t>Fernández</t>
  </si>
  <si>
    <t>Noni</t>
  </si>
  <si>
    <t>Madueke</t>
  </si>
  <si>
    <t>Nicolas</t>
  </si>
  <si>
    <t>Jackson</t>
  </si>
  <si>
    <t>N.Jackson</t>
  </si>
  <si>
    <t>Cole</t>
  </si>
  <si>
    <t>Palmer</t>
  </si>
  <si>
    <t>Robert</t>
  </si>
  <si>
    <t>Sánchez</t>
  </si>
  <si>
    <t>Pedro</t>
  </si>
  <si>
    <t>Lomba Neto</t>
  </si>
  <si>
    <t>Neto</t>
  </si>
  <si>
    <t>Eberechi</t>
  </si>
  <si>
    <t>Eze</t>
  </si>
  <si>
    <t>Guéhi</t>
  </si>
  <si>
    <t>Dean</t>
  </si>
  <si>
    <t>Henderson</t>
  </si>
  <si>
    <t>Jean-Philippe</t>
  </si>
  <si>
    <t>Mateta</t>
  </si>
  <si>
    <t>Daniel</t>
  </si>
  <si>
    <t>Muñoz</t>
  </si>
  <si>
    <t>Ismaïla</t>
  </si>
  <si>
    <t>Sarr</t>
  </si>
  <si>
    <t>I.Sarr</t>
  </si>
  <si>
    <t>Abdoulaye</t>
  </si>
  <si>
    <t>Doucouré</t>
  </si>
  <si>
    <t>A.Doucoure</t>
  </si>
  <si>
    <t>Dwight</t>
  </si>
  <si>
    <t>McNeil</t>
  </si>
  <si>
    <t>Vitalii</t>
  </si>
  <si>
    <t>Mykolenko</t>
  </si>
  <si>
    <t>Iliman</t>
  </si>
  <si>
    <t>Ndiaye</t>
  </si>
  <si>
    <t>Jordan</t>
  </si>
  <si>
    <t>Pickford</t>
  </si>
  <si>
    <t>James</t>
  </si>
  <si>
    <t>Tarkowski</t>
  </si>
  <si>
    <t>Ashley</t>
  </si>
  <si>
    <t>Young</t>
  </si>
  <si>
    <t>Reiss</t>
  </si>
  <si>
    <t>Nelson</t>
  </si>
  <si>
    <t>Emile</t>
  </si>
  <si>
    <t>Smith Rowe</t>
  </si>
  <si>
    <t>Adama</t>
  </si>
  <si>
    <t>Traoré</t>
  </si>
  <si>
    <t>Calvin</t>
  </si>
  <si>
    <t>Bassey</t>
  </si>
  <si>
    <t>Alex</t>
  </si>
  <si>
    <t>Iwobi</t>
  </si>
  <si>
    <t>Bernd</t>
  </si>
  <si>
    <t>Leno</t>
  </si>
  <si>
    <t>Raúl</t>
  </si>
  <si>
    <t>Jiménez</t>
  </si>
  <si>
    <t>Antonee</t>
  </si>
  <si>
    <t>Robinson</t>
  </si>
  <si>
    <t>Kenny</t>
  </si>
  <si>
    <t>Tete</t>
  </si>
  <si>
    <t>Leif</t>
  </si>
  <si>
    <t>Davis</t>
  </si>
  <si>
    <t>Liam</t>
  </si>
  <si>
    <t>Delap</t>
  </si>
  <si>
    <t>Arijanet</t>
  </si>
  <si>
    <t>Muric</t>
  </si>
  <si>
    <t>Sam</t>
  </si>
  <si>
    <t>Szmodics</t>
  </si>
  <si>
    <t>Facundo</t>
  </si>
  <si>
    <t>Buonanotte</t>
  </si>
  <si>
    <t>Ayew</t>
  </si>
  <si>
    <t>J.Ayew</t>
  </si>
  <si>
    <t>Jamie</t>
  </si>
  <si>
    <t>Vardy</t>
  </si>
  <si>
    <t>Harry</t>
  </si>
  <si>
    <t>Winks</t>
  </si>
  <si>
    <t>Trent</t>
  </si>
  <si>
    <t>Alexander-Arnold</t>
  </si>
  <si>
    <t>Darwin</t>
  </si>
  <si>
    <t>Núñez Ribeiro</t>
  </si>
  <si>
    <t>Cody</t>
  </si>
  <si>
    <t>Gakpo</t>
  </si>
  <si>
    <t>Gravenberch</t>
  </si>
  <si>
    <t>Curtis</t>
  </si>
  <si>
    <t>Jones</t>
  </si>
  <si>
    <t>Luis</t>
  </si>
  <si>
    <t>Díaz</t>
  </si>
  <si>
    <t>Luis Díaz</t>
  </si>
  <si>
    <t>Mohamed</t>
  </si>
  <si>
    <t>Salah</t>
  </si>
  <si>
    <t>M.Salah</t>
  </si>
  <si>
    <t>Andrew</t>
  </si>
  <si>
    <t>Robertson</t>
  </si>
  <si>
    <t>Dominik</t>
  </si>
  <si>
    <t>Szoboszlai</t>
  </si>
  <si>
    <t>Virgil</t>
  </si>
  <si>
    <t>van Dijk</t>
  </si>
  <si>
    <t>Ederson</t>
  </si>
  <si>
    <t>Santana de Moraes</t>
  </si>
  <si>
    <t>Ederson M.</t>
  </si>
  <si>
    <t>Joško</t>
  </si>
  <si>
    <t>Gvardiol</t>
  </si>
  <si>
    <t>Erling</t>
  </si>
  <si>
    <t>Haaland</t>
  </si>
  <si>
    <t>Mateo</t>
  </si>
  <si>
    <t>Kovačić</t>
  </si>
  <si>
    <t>Rúben</t>
  </si>
  <si>
    <t>Gato Alves Dias</t>
  </si>
  <si>
    <t>Ilkay</t>
  </si>
  <si>
    <t>Gündogan</t>
  </si>
  <si>
    <t>Amad</t>
  </si>
  <si>
    <t>Diallo</t>
  </si>
  <si>
    <t>Bruno</t>
  </si>
  <si>
    <t>Borges Fernandes</t>
  </si>
  <si>
    <t>B.Fernandes</t>
  </si>
  <si>
    <t>Carlos Henrique</t>
  </si>
  <si>
    <t>Casimiro</t>
  </si>
  <si>
    <t>Casemiro</t>
  </si>
  <si>
    <t>Diogo</t>
  </si>
  <si>
    <t>Dalot Teixeira</t>
  </si>
  <si>
    <t>Dalot</t>
  </si>
  <si>
    <t>Alejandro</t>
  </si>
  <si>
    <t>Garnacho</t>
  </si>
  <si>
    <t>Lisandro</t>
  </si>
  <si>
    <t>Martínez</t>
  </si>
  <si>
    <t>Martinez</t>
  </si>
  <si>
    <t>André</t>
  </si>
  <si>
    <t>Onana</t>
  </si>
  <si>
    <t>Rashford</t>
  </si>
  <si>
    <t>Joshua</t>
  </si>
  <si>
    <t>Zirkzee</t>
  </si>
  <si>
    <t>Matthijs</t>
  </si>
  <si>
    <t>de Ligt</t>
  </si>
  <si>
    <t>De Ligt</t>
  </si>
  <si>
    <t>Noussair</t>
  </si>
  <si>
    <t>Mazraoui</t>
  </si>
  <si>
    <t>Harvey</t>
  </si>
  <si>
    <t>Barnes</t>
  </si>
  <si>
    <t>Guimarães Rodriguez Moura</t>
  </si>
  <si>
    <t>Bruno G.</t>
  </si>
  <si>
    <t>Dan</t>
  </si>
  <si>
    <t>Burn</t>
  </si>
  <si>
    <t>Anthony</t>
  </si>
  <si>
    <t>Gordon</t>
  </si>
  <si>
    <t>Hall</t>
  </si>
  <si>
    <t>Alexander</t>
  </si>
  <si>
    <t>Isak</t>
  </si>
  <si>
    <t>Joelinton Cássio</t>
  </si>
  <si>
    <t>Apolinário de Lira</t>
  </si>
  <si>
    <t>Joelinton</t>
  </si>
  <si>
    <t>Tino</t>
  </si>
  <si>
    <t>Livramento</t>
  </si>
  <si>
    <t>Nick</t>
  </si>
  <si>
    <t>Pope</t>
  </si>
  <si>
    <t>Fabian</t>
  </si>
  <si>
    <t>Schär</t>
  </si>
  <si>
    <t>Ola</t>
  </si>
  <si>
    <t>Aina</t>
  </si>
  <si>
    <t>Elliot</t>
  </si>
  <si>
    <t>Anderson</t>
  </si>
  <si>
    <t>Elanga</t>
  </si>
  <si>
    <t>Callum</t>
  </si>
  <si>
    <t>Hudson-Odoi</t>
  </si>
  <si>
    <t>Murillo</t>
  </si>
  <si>
    <t>Santiago Costa dos Santos</t>
  </si>
  <si>
    <t>Matz</t>
  </si>
  <si>
    <t>Sels</t>
  </si>
  <si>
    <t>Chris</t>
  </si>
  <si>
    <t>Wood</t>
  </si>
  <si>
    <t>Yates</t>
  </si>
  <si>
    <t>Adam</t>
  </si>
  <si>
    <t>Armstrong</t>
  </si>
  <si>
    <t>Kyle</t>
  </si>
  <si>
    <t>Walker-Peters</t>
  </si>
  <si>
    <t>Flynn</t>
  </si>
  <si>
    <t>Downes</t>
  </si>
  <si>
    <t>Brennan</t>
  </si>
  <si>
    <t>Johnson</t>
  </si>
  <si>
    <t>Dejan</t>
  </si>
  <si>
    <t>Kulusevski</t>
  </si>
  <si>
    <t>Maddison</t>
  </si>
  <si>
    <t>Porro</t>
  </si>
  <si>
    <t>Pedro Porro</t>
  </si>
  <si>
    <t>Son</t>
  </si>
  <si>
    <t>Heung-min</t>
  </si>
  <si>
    <t>Destiny</t>
  </si>
  <si>
    <t>Udogie</t>
  </si>
  <si>
    <t>Guglielmo</t>
  </si>
  <si>
    <t>Vicario</t>
  </si>
  <si>
    <t>Timo</t>
  </si>
  <si>
    <t>Werner</t>
  </si>
  <si>
    <t>Aaron</t>
  </si>
  <si>
    <t>Wan-Bissaka</t>
  </si>
  <si>
    <t>Jarrod</t>
  </si>
  <si>
    <t>Bowen</t>
  </si>
  <si>
    <t>Emerson</t>
  </si>
  <si>
    <t>Palmieri dos Santos</t>
  </si>
  <si>
    <t>Max</t>
  </si>
  <si>
    <t>Kilman</t>
  </si>
  <si>
    <t>Tolentino Coelho de Lima</t>
  </si>
  <si>
    <t>L.Paquetá</t>
  </si>
  <si>
    <t>Tomáš</t>
  </si>
  <si>
    <t>Souček</t>
  </si>
  <si>
    <t>Rayan</t>
  </si>
  <si>
    <t>Aït-Nouri</t>
  </si>
  <si>
    <t>Matheus</t>
  </si>
  <si>
    <t>Santos Carneiro Da Cunha</t>
  </si>
  <si>
    <t>Cunha</t>
  </si>
  <si>
    <t>Gonçalo Manuel</t>
  </si>
  <si>
    <t>Ganchinho Guedes</t>
  </si>
  <si>
    <t>Guedes</t>
  </si>
  <si>
    <t>João Victor</t>
  </si>
  <si>
    <t>Gomes da Silva</t>
  </si>
  <si>
    <t>J.Gomes</t>
  </si>
  <si>
    <t>Mario</t>
  </si>
  <si>
    <t>Lemina</t>
  </si>
  <si>
    <t>Mario Jr.</t>
  </si>
  <si>
    <t>Jørgen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</si>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</sst>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3" totalsRowShown="0">
  <autoFilter ref="A1:AM143" xr:uid="{00000000-0009-0000-0100-000001000000}">
    <filterColumn colId="38">
      <filters>
        <filter val="1"/>
      </filters>
    </filterColumn>
  </autoFilter>
  <sortState xmlns:xlrd2="http://schemas.microsoft.com/office/spreadsheetml/2017/richdata2" ref="A7:AM139">
    <sortCondition descending="1" ref="AJ1:AJ143"/>
  </sortState>
  <tableColumns count="39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CHE"/>
    <tableColumn id="16" xr3:uid="{00000000-0010-0000-0000-000010000000}" name="CRY"/>
    <tableColumn id="17" xr3:uid="{00000000-0010-0000-0000-000011000000}" name="EVE"/>
    <tableColumn id="18" xr3:uid="{00000000-0010-0000-0000-000012000000}" name="FUL"/>
    <tableColumn id="19" xr3:uid="{00000000-0010-0000-0000-000013000000}" name="IPS"/>
    <tableColumn id="20" xr3:uid="{00000000-0010-0000-0000-000014000000}" name="LEI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O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FOREST"/>
    <tableColumn id="35" xr3:uid="{00000000-0010-0000-0000-000023000000}" name="PP"/>
    <tableColumn id="36" xr3:uid="{00000000-0010-0000-0000-000024000000}" name="NEXT"/>
    <tableColumn id="37" xr3:uid="{00000000-0010-0000-0000-000025000000}" name="Health"/>
    <tableColumn id="38" xr3:uid="{00000000-0010-0000-0000-000026000000}" name="PREV"/>
    <tableColumn id="39" xr3:uid="{00000000-0010-0000-0000-000027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3"/>
  <sheetViews>
    <sheetView tabSelected="1" workbookViewId="0">
      <selection activeCell="AO139" sqref="AO139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4" width="0" hidden="1" customWidth="1"/>
  </cols>
  <sheetData>
    <row r="1" spans="1:43" x14ac:dyDescent="0.2">
      <c r="A1" t="s">
        <v>31</v>
      </c>
      <c r="B1" t="s">
        <v>32</v>
      </c>
      <c r="C1" t="s">
        <v>33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9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2</v>
      </c>
      <c r="AF2">
        <v>19.26914620308483</v>
      </c>
      <c r="AG2">
        <v>13.98342564425441</v>
      </c>
      <c r="AH2">
        <v>21.625263330151832</v>
      </c>
      <c r="AI2">
        <f>6.40546203901912*0.75</f>
        <v>4.8040965292643403</v>
      </c>
      <c r="AJ2">
        <f>1.4760448980164*0.75</f>
        <v>1.1070336735123001</v>
      </c>
      <c r="AK2">
        <v>0.75</v>
      </c>
      <c r="AL2">
        <v>0</v>
      </c>
      <c r="AM2">
        <v>0</v>
      </c>
      <c r="AO2" t="s">
        <v>0</v>
      </c>
      <c r="AP2">
        <f>SUMPRODUCT(Table1[Selected], Table1[PP])</f>
        <v>380.88610511114325</v>
      </c>
      <c r="AQ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6</v>
      </c>
      <c r="E3">
        <v>0</v>
      </c>
      <c r="F3">
        <v>0</v>
      </c>
      <c r="G3">
        <v>0</v>
      </c>
      <c r="H3">
        <v>1</v>
      </c>
      <c r="I3" t="s">
        <v>11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7.9</v>
      </c>
      <c r="AE3">
        <v>3</v>
      </c>
      <c r="AF3">
        <v>18.597540194904798</v>
      </c>
      <c r="AG3">
        <v>12.34942673178111</v>
      </c>
      <c r="AH3">
        <v>16.809418807078391</v>
      </c>
      <c r="AI3">
        <f>5.60952508207066*1</f>
        <v>5.6095250820706601</v>
      </c>
      <c r="AJ3">
        <f>1.11550450133731*1</f>
        <v>1.1155045013373099</v>
      </c>
      <c r="AK3">
        <v>1</v>
      </c>
      <c r="AL3">
        <v>0</v>
      </c>
      <c r="AM3">
        <v>0</v>
      </c>
    </row>
    <row r="4" spans="1:43" hidden="1" x14ac:dyDescent="0.2">
      <c r="A4" t="s">
        <v>49</v>
      </c>
      <c r="B4" t="s">
        <v>50</v>
      </c>
      <c r="C4" t="s">
        <v>51</v>
      </c>
      <c r="D4" t="s">
        <v>4</v>
      </c>
      <c r="E4">
        <v>0</v>
      </c>
      <c r="F4">
        <v>1</v>
      </c>
      <c r="G4">
        <v>0</v>
      </c>
      <c r="H4">
        <v>0</v>
      </c>
      <c r="I4" t="s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5.5</v>
      </c>
      <c r="AE4">
        <v>5</v>
      </c>
      <c r="AF4">
        <v>0</v>
      </c>
      <c r="AG4">
        <v>0</v>
      </c>
      <c r="AH4">
        <v>0</v>
      </c>
      <c r="AI4">
        <f>0*1</f>
        <v>0</v>
      </c>
      <c r="AJ4">
        <f>0*1</f>
        <v>0</v>
      </c>
      <c r="AK4">
        <v>1</v>
      </c>
      <c r="AL4">
        <v>0</v>
      </c>
      <c r="AM4">
        <v>0</v>
      </c>
      <c r="AO4" t="s">
        <v>2</v>
      </c>
      <c r="AP4">
        <f>SUMPRODUCT(Table1[Selected],Table1[Cost])</f>
        <v>98.300000000000026</v>
      </c>
      <c r="AQ4">
        <v>99.8</v>
      </c>
    </row>
    <row r="5" spans="1:43" hidden="1" x14ac:dyDescent="0.2">
      <c r="A5" t="s">
        <v>45</v>
      </c>
      <c r="B5" t="s">
        <v>52</v>
      </c>
      <c r="C5" t="s">
        <v>53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6.9</v>
      </c>
      <c r="AE5">
        <v>8</v>
      </c>
      <c r="AF5">
        <v>22.088607594936711</v>
      </c>
      <c r="AG5">
        <v>20.9408209562603</v>
      </c>
      <c r="AH5">
        <v>14.24674233931022</v>
      </c>
      <c r="AI5">
        <f>15.6638840091676*1</f>
        <v>15.663884009167599</v>
      </c>
      <c r="AJ5">
        <f>2.7466106249339*1</f>
        <v>2.7466106249339002</v>
      </c>
      <c r="AK5">
        <v>1</v>
      </c>
      <c r="AL5">
        <v>0</v>
      </c>
      <c r="AM5">
        <v>0</v>
      </c>
    </row>
    <row r="6" spans="1:43" hidden="1" x14ac:dyDescent="0.2">
      <c r="A6" t="s">
        <v>54</v>
      </c>
      <c r="B6" t="s">
        <v>55</v>
      </c>
      <c r="C6" t="s">
        <v>56</v>
      </c>
      <c r="D6" t="s">
        <v>3</v>
      </c>
      <c r="E6">
        <v>1</v>
      </c>
      <c r="F6">
        <v>0</v>
      </c>
      <c r="G6">
        <v>0</v>
      </c>
      <c r="H6">
        <v>0</v>
      </c>
      <c r="I6" t="s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5.5</v>
      </c>
      <c r="AE6">
        <v>11</v>
      </c>
      <c r="AF6">
        <v>20.52884615384615</v>
      </c>
      <c r="AG6">
        <v>21.067082472093869</v>
      </c>
      <c r="AH6">
        <v>16.978205423249651</v>
      </c>
      <c r="AI6">
        <f>6.26039396935742*1</f>
        <v>6.2603939693574198</v>
      </c>
      <c r="AJ6">
        <f>1.27545987274443*1</f>
        <v>1.27545987274443</v>
      </c>
      <c r="AK6">
        <v>1</v>
      </c>
      <c r="AL6">
        <v>0</v>
      </c>
      <c r="AM6">
        <v>0</v>
      </c>
      <c r="AO6" t="s">
        <v>3</v>
      </c>
      <c r="AP6">
        <f>SUMPRODUCT(Table1[Selected],Table1[GKP])</f>
        <v>2</v>
      </c>
      <c r="AQ6">
        <v>2</v>
      </c>
    </row>
    <row r="7" spans="1:43" x14ac:dyDescent="0.2">
      <c r="A7" t="s">
        <v>329</v>
      </c>
      <c r="B7" t="s">
        <v>330</v>
      </c>
      <c r="C7" t="s">
        <v>331</v>
      </c>
      <c r="D7" t="s">
        <v>6</v>
      </c>
      <c r="E7">
        <v>0</v>
      </c>
      <c r="F7">
        <v>0</v>
      </c>
      <c r="G7">
        <v>0</v>
      </c>
      <c r="H7">
        <v>1</v>
      </c>
      <c r="I7" t="s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7.1</v>
      </c>
      <c r="AE7">
        <v>659</v>
      </c>
      <c r="AF7">
        <v>49.608835073306331</v>
      </c>
      <c r="AG7">
        <v>17.450544415634841</v>
      </c>
      <c r="AH7">
        <v>58.131945592422703</v>
      </c>
      <c r="AI7">
        <f>62.0987693421112*1</f>
        <v>62.098769342111197</v>
      </c>
      <c r="AJ7">
        <f>13.4604475720595*1</f>
        <v>13.4604475720595</v>
      </c>
      <c r="AK7">
        <v>1</v>
      </c>
      <c r="AL7">
        <v>1</v>
      </c>
      <c r="AM7">
        <v>1</v>
      </c>
      <c r="AO7" t="s">
        <v>4</v>
      </c>
      <c r="AP7">
        <f>SUMPRODUCT(Table1[Selected],Table1[DEF])</f>
        <v>5</v>
      </c>
      <c r="AQ7">
        <v>5</v>
      </c>
    </row>
    <row r="8" spans="1:43" hidden="1" x14ac:dyDescent="0.2">
      <c r="A8" t="s">
        <v>59</v>
      </c>
      <c r="B8" t="s">
        <v>60</v>
      </c>
      <c r="C8" t="s">
        <v>59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15</v>
      </c>
      <c r="AF8">
        <v>12.009803921568629</v>
      </c>
      <c r="AG8">
        <v>10.460903819873931</v>
      </c>
      <c r="AH8">
        <v>31.416181443814981</v>
      </c>
      <c r="AI8">
        <f>5.51411354232687*1</f>
        <v>5.5141135423268697</v>
      </c>
      <c r="AJ8">
        <f>0.947209663262802*1</f>
        <v>0.94720966326280198</v>
      </c>
      <c r="AK8">
        <v>1</v>
      </c>
      <c r="AL8">
        <v>0</v>
      </c>
      <c r="AM8">
        <v>0</v>
      </c>
      <c r="AO8" t="s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61</v>
      </c>
      <c r="B9" t="s">
        <v>62</v>
      </c>
      <c r="C9" t="s">
        <v>62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6.8</v>
      </c>
      <c r="AE9">
        <v>18</v>
      </c>
      <c r="AF9">
        <v>19.438202247191011</v>
      </c>
      <c r="AG9">
        <v>21.8145655101786</v>
      </c>
      <c r="AH9">
        <v>26.564872212895921</v>
      </c>
      <c r="AI9">
        <f>19.0382215616269*1</f>
        <v>19.038221561626901</v>
      </c>
      <c r="AJ9">
        <f>3.55527860570394*1</f>
        <v>3.5552786057039398</v>
      </c>
      <c r="AK9">
        <v>1</v>
      </c>
      <c r="AL9">
        <v>0</v>
      </c>
      <c r="AM9">
        <v>0</v>
      </c>
      <c r="AO9" t="s">
        <v>6</v>
      </c>
      <c r="AP9">
        <f>SUMPRODUCT(Table1[Selected],Table1[FWD])</f>
        <v>3</v>
      </c>
      <c r="AQ9">
        <v>3</v>
      </c>
    </row>
    <row r="10" spans="1:43" hidden="1" x14ac:dyDescent="0.2">
      <c r="A10" t="s">
        <v>63</v>
      </c>
      <c r="B10" t="s">
        <v>64</v>
      </c>
      <c r="C10" t="s">
        <v>64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6.3</v>
      </c>
      <c r="AE10">
        <v>33</v>
      </c>
      <c r="AF10">
        <v>15.87628865979381</v>
      </c>
      <c r="AG10">
        <v>16.789474307903181</v>
      </c>
      <c r="AH10">
        <v>9.0307692307692307</v>
      </c>
      <c r="AI10">
        <f>11.2972010874157*1</f>
        <v>11.297201087415701</v>
      </c>
      <c r="AJ10">
        <f>2.15531067587531*1</f>
        <v>2.15531067587531</v>
      </c>
      <c r="AK10">
        <v>1</v>
      </c>
      <c r="AL10">
        <v>0</v>
      </c>
      <c r="AM10">
        <v>0</v>
      </c>
    </row>
    <row r="11" spans="1:43" hidden="1" x14ac:dyDescent="0.2">
      <c r="A11" t="s">
        <v>65</v>
      </c>
      <c r="B11" t="s">
        <v>66</v>
      </c>
      <c r="C11" t="s">
        <v>66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5.2</v>
      </c>
      <c r="AE11">
        <v>34</v>
      </c>
      <c r="AF11">
        <v>15.30778657545353</v>
      </c>
      <c r="AG11">
        <v>14.30608138966768</v>
      </c>
      <c r="AH11">
        <v>26.723945910564499</v>
      </c>
      <c r="AI11">
        <f>15.0356071435114*1</f>
        <v>15.035607143511401</v>
      </c>
      <c r="AJ11">
        <f>3.24651541722764*1</f>
        <v>3.24651541722764</v>
      </c>
      <c r="AK11">
        <v>1</v>
      </c>
      <c r="AL11">
        <v>0</v>
      </c>
      <c r="AM11">
        <v>0</v>
      </c>
      <c r="AO11" t="s">
        <v>7</v>
      </c>
      <c r="AP11">
        <f>SUMPRODUCT(Table1[Selected], -- (Table1[PREV] = 0))</f>
        <v>1</v>
      </c>
    </row>
    <row r="12" spans="1:43" hidden="1" x14ac:dyDescent="0.2">
      <c r="A12" t="s">
        <v>67</v>
      </c>
      <c r="B12" t="s">
        <v>68</v>
      </c>
      <c r="C12" t="s">
        <v>68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12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4.7</v>
      </c>
      <c r="AE12">
        <v>41</v>
      </c>
      <c r="AF12">
        <v>13.10462269049642</v>
      </c>
      <c r="AG12">
        <v>16.754982513475351</v>
      </c>
      <c r="AH12">
        <v>5.4501786361764291</v>
      </c>
      <c r="AI12">
        <f>6.66015701512996*1</f>
        <v>6.6601570151299603</v>
      </c>
      <c r="AJ12">
        <f>1.28653799903757*1</f>
        <v>1.28653799903757</v>
      </c>
      <c r="AK12">
        <v>1</v>
      </c>
      <c r="AL12">
        <v>0</v>
      </c>
      <c r="AM12">
        <v>0</v>
      </c>
      <c r="AO12" t="s">
        <v>8</v>
      </c>
      <c r="AP12">
        <v>1</v>
      </c>
    </row>
    <row r="13" spans="1:43" hidden="1" x14ac:dyDescent="0.2">
      <c r="A13" t="s">
        <v>69</v>
      </c>
      <c r="B13" t="s">
        <v>70</v>
      </c>
      <c r="C13" t="s">
        <v>70</v>
      </c>
      <c r="D13" t="s">
        <v>5</v>
      </c>
      <c r="E13">
        <v>0</v>
      </c>
      <c r="F13">
        <v>0</v>
      </c>
      <c r="G13">
        <v>1</v>
      </c>
      <c r="H13">
        <v>0</v>
      </c>
      <c r="I13" t="s">
        <v>12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</v>
      </c>
      <c r="AE13">
        <v>53</v>
      </c>
      <c r="AF13">
        <v>14.826589595375751</v>
      </c>
      <c r="AG13">
        <v>16.756377740701101</v>
      </c>
      <c r="AH13">
        <v>14.234514388880189</v>
      </c>
      <c r="AI13">
        <f>8.57241388160157*1</f>
        <v>8.5724138816015696</v>
      </c>
      <c r="AJ13">
        <f>1.77785343394547*1</f>
        <v>1.7778534339454699</v>
      </c>
      <c r="AK13">
        <v>1</v>
      </c>
      <c r="AL13">
        <v>0</v>
      </c>
      <c r="AM13">
        <v>0</v>
      </c>
    </row>
    <row r="14" spans="1:43" hidden="1" x14ac:dyDescent="0.2">
      <c r="A14" t="s">
        <v>71</v>
      </c>
      <c r="B14" t="s">
        <v>72</v>
      </c>
      <c r="C14" t="s">
        <v>72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5.4</v>
      </c>
      <c r="AE14">
        <v>58</v>
      </c>
      <c r="AF14">
        <v>13.87387387387388</v>
      </c>
      <c r="AG14">
        <v>13.897709622433069</v>
      </c>
      <c r="AH14">
        <v>9.7714285714285722</v>
      </c>
      <c r="AI14">
        <f>4.75087751930965*1</f>
        <v>4.7508775193096504</v>
      </c>
      <c r="AJ14">
        <f>0.840400068838856*1</f>
        <v>0.84040006883885598</v>
      </c>
      <c r="AK14">
        <v>1</v>
      </c>
      <c r="AL14">
        <v>0</v>
      </c>
      <c r="AM14">
        <v>0</v>
      </c>
      <c r="AO14" t="s">
        <v>9</v>
      </c>
      <c r="AP14">
        <f>((AP11-AP12)+ABS((AP11-AP12)))/2*4</f>
        <v>0</v>
      </c>
    </row>
    <row r="15" spans="1:43" hidden="1" x14ac:dyDescent="0.2">
      <c r="A15" t="s">
        <v>73</v>
      </c>
      <c r="B15" t="s">
        <v>74</v>
      </c>
      <c r="C15" t="s">
        <v>74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12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5.3</v>
      </c>
      <c r="AE15">
        <v>59</v>
      </c>
      <c r="AF15">
        <v>17.5</v>
      </c>
      <c r="AG15">
        <v>27.117680799638229</v>
      </c>
      <c r="AH15">
        <v>16.01570230723868</v>
      </c>
      <c r="AI15">
        <f>22.8635456963*1</f>
        <v>22.863545696300001</v>
      </c>
      <c r="AJ15">
        <f>3.78985279235181*1</f>
        <v>3.7898527923518102</v>
      </c>
      <c r="AK15">
        <v>1</v>
      </c>
      <c r="AL15">
        <v>1</v>
      </c>
      <c r="AM15">
        <v>0</v>
      </c>
    </row>
    <row r="16" spans="1:43" hidden="1" x14ac:dyDescent="0.2">
      <c r="A16" t="s">
        <v>75</v>
      </c>
      <c r="B16" t="s">
        <v>76</v>
      </c>
      <c r="C16" t="s">
        <v>76</v>
      </c>
      <c r="D16" t="s">
        <v>6</v>
      </c>
      <c r="E16">
        <v>0</v>
      </c>
      <c r="F16">
        <v>0</v>
      </c>
      <c r="G16">
        <v>0</v>
      </c>
      <c r="H16">
        <v>1</v>
      </c>
      <c r="I16" t="s">
        <v>12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</v>
      </c>
      <c r="AE16">
        <v>63</v>
      </c>
      <c r="AF16">
        <v>23.954248366013061</v>
      </c>
      <c r="AG16">
        <v>21.83186616409046</v>
      </c>
      <c r="AH16">
        <v>24.605708520223931</v>
      </c>
      <c r="AI16">
        <f>15.0802241326487*1</f>
        <v>15.0802241326487</v>
      </c>
      <c r="AJ16">
        <f>2.78863018548438*1</f>
        <v>2.7886301854843798</v>
      </c>
      <c r="AK16">
        <v>1</v>
      </c>
      <c r="AL16">
        <v>0</v>
      </c>
      <c r="AM16">
        <v>0</v>
      </c>
      <c r="AO16" t="s">
        <v>10</v>
      </c>
      <c r="AP16">
        <f>AP2-AP14*5</f>
        <v>380.88610511114325</v>
      </c>
    </row>
    <row r="17" spans="1:43" hidden="1" x14ac:dyDescent="0.2">
      <c r="A17" t="s">
        <v>77</v>
      </c>
      <c r="B17" t="s">
        <v>78</v>
      </c>
      <c r="C17" t="s">
        <v>78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13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4.9000000000000004</v>
      </c>
      <c r="AE17">
        <v>75</v>
      </c>
      <c r="AF17">
        <v>10.87197252505136</v>
      </c>
      <c r="AG17">
        <v>10.02923565356271</v>
      </c>
      <c r="AH17">
        <v>9.2618337967747948</v>
      </c>
      <c r="AI17">
        <f>8.98251023903843*1</f>
        <v>8.9825102390384295</v>
      </c>
      <c r="AJ17">
        <f>1.70354622278793*1</f>
        <v>1.7035462227879301</v>
      </c>
      <c r="AK17">
        <v>1</v>
      </c>
      <c r="AL17">
        <v>0</v>
      </c>
      <c r="AM17">
        <v>0</v>
      </c>
    </row>
    <row r="18" spans="1:43" hidden="1" x14ac:dyDescent="0.2">
      <c r="A18" t="s">
        <v>79</v>
      </c>
      <c r="B18" t="s">
        <v>80</v>
      </c>
      <c r="C18" t="s">
        <v>80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76</v>
      </c>
      <c r="AF18">
        <v>13.047619520620101</v>
      </c>
      <c r="AG18">
        <v>7.7609451951579409</v>
      </c>
      <c r="AH18">
        <v>20.545174258109039</v>
      </c>
      <c r="AI18">
        <f>11.0875075297174*1</f>
        <v>11.087507529717399</v>
      </c>
      <c r="AJ18">
        <f>2.0872423619594*1</f>
        <v>2.0872423619594</v>
      </c>
      <c r="AK18">
        <v>1</v>
      </c>
      <c r="AL18">
        <v>0</v>
      </c>
      <c r="AM18">
        <v>0</v>
      </c>
      <c r="AO18" t="s">
        <v>11</v>
      </c>
      <c r="AP18">
        <f>SUMPRODUCT(Table1[Selected],Table1[ARS])</f>
        <v>1</v>
      </c>
      <c r="AQ18">
        <v>3</v>
      </c>
    </row>
    <row r="19" spans="1:43" hidden="1" x14ac:dyDescent="0.2">
      <c r="A19" t="s">
        <v>81</v>
      </c>
      <c r="B19" t="s">
        <v>82</v>
      </c>
      <c r="C19" t="s">
        <v>82</v>
      </c>
      <c r="D19" t="s">
        <v>4</v>
      </c>
      <c r="E19">
        <v>0</v>
      </c>
      <c r="F19">
        <v>1</v>
      </c>
      <c r="G19">
        <v>0</v>
      </c>
      <c r="H19">
        <v>0</v>
      </c>
      <c r="I19" t="s">
        <v>13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4.4000000000000004</v>
      </c>
      <c r="AE19">
        <v>82</v>
      </c>
      <c r="AF19">
        <v>11.625</v>
      </c>
      <c r="AG19">
        <v>9.1139371951032597</v>
      </c>
      <c r="AH19">
        <v>29.86665686396217</v>
      </c>
      <c r="AI19">
        <f>19.9769101545971*1</f>
        <v>19.9769101545971</v>
      </c>
      <c r="AJ19">
        <f>3.77741918851524*1</f>
        <v>3.7774191885152399</v>
      </c>
      <c r="AK19">
        <v>1</v>
      </c>
      <c r="AL19">
        <v>0</v>
      </c>
      <c r="AM19">
        <v>0</v>
      </c>
      <c r="AO19" t="s">
        <v>12</v>
      </c>
      <c r="AP19">
        <f>SUMPRODUCT(Table1[Selected],Table1[AVL])</f>
        <v>0</v>
      </c>
      <c r="AQ19">
        <v>3</v>
      </c>
    </row>
    <row r="20" spans="1:43" hidden="1" x14ac:dyDescent="0.2">
      <c r="A20" t="s">
        <v>83</v>
      </c>
      <c r="B20" t="s">
        <v>84</v>
      </c>
      <c r="C20" t="s">
        <v>84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5.3</v>
      </c>
      <c r="AE20">
        <v>83</v>
      </c>
      <c r="AF20">
        <v>17.61363636363636</v>
      </c>
      <c r="AG20">
        <v>15.10490535670642</v>
      </c>
      <c r="AH20">
        <v>31.357142857142861</v>
      </c>
      <c r="AI20">
        <f>16.2440095628123*1</f>
        <v>16.244009562812298</v>
      </c>
      <c r="AJ20">
        <f>3.4014774530417*1</f>
        <v>3.4014774530417</v>
      </c>
      <c r="AK20">
        <v>1</v>
      </c>
      <c r="AL20">
        <v>0</v>
      </c>
      <c r="AM20">
        <v>0</v>
      </c>
      <c r="AO20" t="s">
        <v>13</v>
      </c>
      <c r="AP20">
        <f>SUMPRODUCT(Table1[Selected],Table1[BOU])</f>
        <v>0</v>
      </c>
      <c r="AQ20">
        <v>3</v>
      </c>
    </row>
    <row r="21" spans="1:43" hidden="1" x14ac:dyDescent="0.2">
      <c r="A21" t="s">
        <v>85</v>
      </c>
      <c r="B21" t="s">
        <v>86</v>
      </c>
      <c r="C21" t="s">
        <v>86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5.7</v>
      </c>
      <c r="AE21">
        <v>89</v>
      </c>
      <c r="AF21">
        <v>15.84905660377359</v>
      </c>
      <c r="AG21">
        <v>14.524092245374259</v>
      </c>
      <c r="AH21">
        <v>12.72761766011766</v>
      </c>
      <c r="AI21">
        <f>7.08820437204809*1</f>
        <v>7.0882043720480903</v>
      </c>
      <c r="AJ21">
        <f>1.41544427678361*1</f>
        <v>1.41544427678361</v>
      </c>
      <c r="AK21">
        <v>1</v>
      </c>
      <c r="AL21">
        <v>0</v>
      </c>
      <c r="AM21">
        <v>0</v>
      </c>
      <c r="AO21" t="s">
        <v>14</v>
      </c>
      <c r="AP21">
        <f>SUMPRODUCT(Table1[Selected],Table1[BRE])</f>
        <v>1</v>
      </c>
      <c r="AQ21">
        <v>3</v>
      </c>
    </row>
    <row r="22" spans="1:43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5.5</v>
      </c>
      <c r="AE22">
        <v>93</v>
      </c>
      <c r="AF22">
        <v>16.71875</v>
      </c>
      <c r="AG22">
        <v>17.24896856212067</v>
      </c>
      <c r="AH22">
        <v>12.58888888888889</v>
      </c>
      <c r="AI22">
        <f>9.96462451313895*1</f>
        <v>9.9646245131389506</v>
      </c>
      <c r="AJ22">
        <f>1.69280553322988*1</f>
        <v>1.6928055332298799</v>
      </c>
      <c r="AK22">
        <v>1</v>
      </c>
      <c r="AL22">
        <v>0</v>
      </c>
      <c r="AM22">
        <v>0</v>
      </c>
      <c r="AO22" t="s">
        <v>15</v>
      </c>
      <c r="AP22">
        <f>SUMPRODUCT(Table1[Selected],Table1[BHA])</f>
        <v>1</v>
      </c>
      <c r="AQ22">
        <v>3</v>
      </c>
    </row>
    <row r="23" spans="1:43" hidden="1" x14ac:dyDescent="0.2">
      <c r="A23" t="s">
        <v>89</v>
      </c>
      <c r="B23" t="s">
        <v>90</v>
      </c>
      <c r="C23" t="s">
        <v>90</v>
      </c>
      <c r="D23" t="s">
        <v>4</v>
      </c>
      <c r="E23">
        <v>0</v>
      </c>
      <c r="F23">
        <v>1</v>
      </c>
      <c r="G23">
        <v>0</v>
      </c>
      <c r="H23">
        <v>0</v>
      </c>
      <c r="I23" t="s">
        <v>14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105</v>
      </c>
      <c r="AF23">
        <v>12.72727272727273</v>
      </c>
      <c r="AG23">
        <v>11.010026562817719</v>
      </c>
      <c r="AH23">
        <v>28.891510196551241</v>
      </c>
      <c r="AI23">
        <f>15.0355921791753*1</f>
        <v>15.0355921791753</v>
      </c>
      <c r="AJ23">
        <f>3.00549954248792*1</f>
        <v>3.0054995424879198</v>
      </c>
      <c r="AK23">
        <v>1</v>
      </c>
      <c r="AL23">
        <v>0</v>
      </c>
      <c r="AM23">
        <v>0</v>
      </c>
      <c r="AO23" t="s">
        <v>16</v>
      </c>
      <c r="AP23">
        <f>SUMPRODUCT(Table1[Selected],Table1[CHE])</f>
        <v>1</v>
      </c>
      <c r="AQ23">
        <v>3</v>
      </c>
    </row>
    <row r="24" spans="1:43" hidden="1" x14ac:dyDescent="0.2">
      <c r="A24" t="s">
        <v>91</v>
      </c>
      <c r="B24" t="s">
        <v>92</v>
      </c>
      <c r="C24" t="s">
        <v>92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14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</v>
      </c>
      <c r="AE24">
        <v>106</v>
      </c>
      <c r="AF24">
        <v>23.915254073586599</v>
      </c>
      <c r="AG24">
        <v>7.2677126714884963</v>
      </c>
      <c r="AH24">
        <v>25.017280980915629</v>
      </c>
      <c r="AI24">
        <f>30.1644050512233*1</f>
        <v>30.164405051223302</v>
      </c>
      <c r="AJ24">
        <f>5.57842581944269*1</f>
        <v>5.5784258194426899</v>
      </c>
      <c r="AK24">
        <v>1</v>
      </c>
      <c r="AL24">
        <v>0</v>
      </c>
      <c r="AM24">
        <v>0</v>
      </c>
      <c r="AO24" t="s">
        <v>17</v>
      </c>
      <c r="AP24">
        <f>SUMPRODUCT(Table1[Selected],Table1[CRY])</f>
        <v>0</v>
      </c>
      <c r="AQ24">
        <v>3</v>
      </c>
    </row>
    <row r="25" spans="1:43" hidden="1" x14ac:dyDescent="0.2">
      <c r="A25" t="s">
        <v>93</v>
      </c>
      <c r="B25" t="s">
        <v>94</v>
      </c>
      <c r="C25" t="s">
        <v>94</v>
      </c>
      <c r="D25" t="s">
        <v>3</v>
      </c>
      <c r="E25">
        <v>1</v>
      </c>
      <c r="F25">
        <v>0</v>
      </c>
      <c r="G25">
        <v>0</v>
      </c>
      <c r="H25">
        <v>0</v>
      </c>
      <c r="I25" t="s">
        <v>14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108</v>
      </c>
      <c r="AF25">
        <v>16.122448979591841</v>
      </c>
      <c r="AG25">
        <v>17.265987030045491</v>
      </c>
      <c r="AH25">
        <v>19.894988165159209</v>
      </c>
      <c r="AI25">
        <f>12.0657633055973*1</f>
        <v>12.065763305597301</v>
      </c>
      <c r="AJ25">
        <f>2.32295043464615*1</f>
        <v>2.3229504346461498</v>
      </c>
      <c r="AK25">
        <v>1</v>
      </c>
      <c r="AL25">
        <v>0</v>
      </c>
      <c r="AM25">
        <v>0</v>
      </c>
      <c r="AO25" t="s">
        <v>18</v>
      </c>
      <c r="AP25">
        <f>SUMPRODUCT(Table1[Selected],Table1[EVE])</f>
        <v>1</v>
      </c>
      <c r="AQ25">
        <v>3</v>
      </c>
    </row>
    <row r="26" spans="1:43" hidden="1" x14ac:dyDescent="0.2">
      <c r="A26" t="s">
        <v>95</v>
      </c>
      <c r="B26" t="s">
        <v>96</v>
      </c>
      <c r="C26" t="s">
        <v>96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14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4.9000000000000004</v>
      </c>
      <c r="AE26">
        <v>111</v>
      </c>
      <c r="AF26">
        <v>13.40707964601771</v>
      </c>
      <c r="AG26">
        <v>13.18682974647923</v>
      </c>
      <c r="AH26">
        <v>11.830352801956041</v>
      </c>
      <c r="AI26">
        <f>15.1092255947976*1</f>
        <v>15.1092255947976</v>
      </c>
      <c r="AJ26">
        <f>2.87377928889656*1</f>
        <v>2.8737792888965599</v>
      </c>
      <c r="AK26">
        <v>1</v>
      </c>
      <c r="AL26">
        <v>0</v>
      </c>
      <c r="AM26">
        <v>0</v>
      </c>
      <c r="AO26" t="s">
        <v>19</v>
      </c>
      <c r="AP26">
        <f>SUMPRODUCT(Table1[Selected],Table1[FUL])</f>
        <v>0</v>
      </c>
      <c r="AQ26">
        <v>3</v>
      </c>
    </row>
    <row r="27" spans="1:43" hidden="1" x14ac:dyDescent="0.2">
      <c r="A27" t="s">
        <v>97</v>
      </c>
      <c r="B27" t="s">
        <v>98</v>
      </c>
      <c r="C27" t="s">
        <v>98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14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115</v>
      </c>
      <c r="AF27">
        <v>11.44230769230769</v>
      </c>
      <c r="AG27">
        <v>10.772378683223771</v>
      </c>
      <c r="AH27">
        <v>14.59779821415145</v>
      </c>
      <c r="AI27">
        <f>14.0648741992178*1</f>
        <v>14.064874199217799</v>
      </c>
      <c r="AJ27">
        <f>2.73977929451767*1</f>
        <v>2.7397792945176702</v>
      </c>
      <c r="AK27">
        <v>1</v>
      </c>
      <c r="AL27">
        <v>0</v>
      </c>
      <c r="AM27">
        <v>0</v>
      </c>
      <c r="AO27" t="s">
        <v>20</v>
      </c>
      <c r="AP27">
        <f>SUMPRODUCT(Table1[Selected],Table1[IPS])</f>
        <v>0</v>
      </c>
      <c r="AQ27">
        <v>3</v>
      </c>
    </row>
    <row r="28" spans="1:43" hidden="1" x14ac:dyDescent="0.2">
      <c r="A28" t="s">
        <v>99</v>
      </c>
      <c r="B28" t="s">
        <v>100</v>
      </c>
      <c r="C28" t="s">
        <v>100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7.8</v>
      </c>
      <c r="AE28">
        <v>116</v>
      </c>
      <c r="AF28">
        <v>26.382752255703291</v>
      </c>
      <c r="AG28">
        <v>21.436974728762941</v>
      </c>
      <c r="AH28">
        <v>18.885926525487879</v>
      </c>
      <c r="AI28">
        <f>12.2398218337799*1</f>
        <v>12.239821833779899</v>
      </c>
      <c r="AJ28">
        <f>2.49910410445435*1</f>
        <v>2.4991041044543501</v>
      </c>
      <c r="AK28">
        <v>1</v>
      </c>
      <c r="AL28">
        <v>0</v>
      </c>
      <c r="AM28">
        <v>0</v>
      </c>
      <c r="AO28" t="s">
        <v>21</v>
      </c>
      <c r="AP28">
        <f>SUMPRODUCT(Table1[Selected],Table1[LEI])</f>
        <v>0</v>
      </c>
      <c r="AQ28">
        <v>3</v>
      </c>
    </row>
    <row r="29" spans="1:43" hidden="1" x14ac:dyDescent="0.2">
      <c r="A29" t="s">
        <v>101</v>
      </c>
      <c r="B29" t="s">
        <v>102</v>
      </c>
      <c r="C29" t="s">
        <v>102</v>
      </c>
      <c r="D29" t="s">
        <v>4</v>
      </c>
      <c r="E29">
        <v>0</v>
      </c>
      <c r="F29">
        <v>1</v>
      </c>
      <c r="G29">
        <v>0</v>
      </c>
      <c r="H29">
        <v>0</v>
      </c>
      <c r="I29" t="s">
        <v>14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121</v>
      </c>
      <c r="AF29">
        <v>14.900000000000009</v>
      </c>
      <c r="AG29">
        <v>16.37383956886033</v>
      </c>
      <c r="AH29">
        <v>20.790357330394329</v>
      </c>
      <c r="AI29">
        <f>13.9144619121075*1</f>
        <v>13.9144619121075</v>
      </c>
      <c r="AJ29">
        <f>2.48931969329914*1</f>
        <v>2.4893196932991399</v>
      </c>
      <c r="AK29">
        <v>1</v>
      </c>
      <c r="AL29">
        <v>0</v>
      </c>
      <c r="AM29">
        <v>0</v>
      </c>
      <c r="AO29" t="s">
        <v>22</v>
      </c>
      <c r="AP29">
        <f>SUMPRODUCT(Table1[Selected],Table1[LIV])</f>
        <v>2</v>
      </c>
      <c r="AQ29">
        <v>3</v>
      </c>
    </row>
    <row r="30" spans="1:43" hidden="1" x14ac:dyDescent="0.2">
      <c r="A30" t="s">
        <v>103</v>
      </c>
      <c r="B30" t="s">
        <v>104</v>
      </c>
      <c r="C30" t="s">
        <v>104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14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5.0999999999999996</v>
      </c>
      <c r="AE30">
        <v>123</v>
      </c>
      <c r="AF30">
        <v>12.560975609756101</v>
      </c>
      <c r="AG30">
        <v>11.512602242944631</v>
      </c>
      <c r="AH30">
        <v>23.96</v>
      </c>
      <c r="AI30">
        <f>14.3340680428121*1</f>
        <v>14.334068042812101</v>
      </c>
      <c r="AJ30">
        <f>2.70102140496959*1</f>
        <v>2.7010214049695902</v>
      </c>
      <c r="AK30">
        <v>1</v>
      </c>
      <c r="AL30">
        <v>0</v>
      </c>
      <c r="AM30">
        <v>0</v>
      </c>
      <c r="AO30" t="s">
        <v>23</v>
      </c>
      <c r="AP30">
        <f>SUMPRODUCT(Table1[Selected],Table1[MCI])</f>
        <v>0</v>
      </c>
      <c r="AQ30">
        <v>3</v>
      </c>
    </row>
    <row r="31" spans="1:43" x14ac:dyDescent="0.2">
      <c r="A31" t="s">
        <v>300</v>
      </c>
      <c r="B31" t="s">
        <v>301</v>
      </c>
      <c r="C31" t="s">
        <v>301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6.7</v>
      </c>
      <c r="AE31">
        <v>596</v>
      </c>
      <c r="AF31">
        <v>23.63542051113604</v>
      </c>
      <c r="AG31">
        <v>15.77777986277037</v>
      </c>
      <c r="AH31">
        <v>47.066746031746021</v>
      </c>
      <c r="AI31">
        <f>37.056717402196*1</f>
        <v>37.056717402196</v>
      </c>
      <c r="AJ31">
        <f>7.52376575846697*1</f>
        <v>7.5237657584669702</v>
      </c>
      <c r="AK31">
        <v>1</v>
      </c>
      <c r="AL31">
        <v>0</v>
      </c>
      <c r="AM31">
        <v>1</v>
      </c>
      <c r="AO31" t="s">
        <v>24</v>
      </c>
      <c r="AP31">
        <f>SUMPRODUCT(Table1[Selected],Table1[MUN])</f>
        <v>2</v>
      </c>
      <c r="AQ31">
        <v>3</v>
      </c>
    </row>
    <row r="32" spans="1:43" hidden="1" x14ac:dyDescent="0.2">
      <c r="A32" t="s">
        <v>107</v>
      </c>
      <c r="B32" t="s">
        <v>108</v>
      </c>
      <c r="C32" t="s">
        <v>107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6.5</v>
      </c>
      <c r="AE32">
        <v>159</v>
      </c>
      <c r="AF32">
        <v>0</v>
      </c>
      <c r="AG32">
        <v>0</v>
      </c>
      <c r="AH32">
        <v>0</v>
      </c>
      <c r="AI32">
        <f>0*1</f>
        <v>0</v>
      </c>
      <c r="AJ32">
        <f>0*1</f>
        <v>0</v>
      </c>
      <c r="AK32">
        <v>1</v>
      </c>
      <c r="AL32">
        <v>0</v>
      </c>
      <c r="AM32">
        <v>0</v>
      </c>
      <c r="AO32" t="s">
        <v>25</v>
      </c>
      <c r="AP32">
        <f>SUMPRODUCT(Table1[Selected],Table1[NEW])</f>
        <v>0</v>
      </c>
      <c r="AQ32">
        <v>3</v>
      </c>
    </row>
    <row r="33" spans="1:43" hidden="1" x14ac:dyDescent="0.2">
      <c r="A33" t="s">
        <v>109</v>
      </c>
      <c r="B33" t="s">
        <v>110</v>
      </c>
      <c r="C33" t="s">
        <v>110</v>
      </c>
      <c r="D33" t="s">
        <v>4</v>
      </c>
      <c r="E33">
        <v>0</v>
      </c>
      <c r="F33">
        <v>1</v>
      </c>
      <c r="G33">
        <v>0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4.5999999999999996</v>
      </c>
      <c r="AE33">
        <v>168</v>
      </c>
      <c r="AF33">
        <v>13.93994215110658</v>
      </c>
      <c r="AG33">
        <v>14.542053218152949</v>
      </c>
      <c r="AH33">
        <v>12.233333333333331</v>
      </c>
      <c r="AI33">
        <f>5.22842080877599*1</f>
        <v>5.22842080877599</v>
      </c>
      <c r="AJ33">
        <f>0.868538630152653*1</f>
        <v>0.86853863015265298</v>
      </c>
      <c r="AK33">
        <v>1</v>
      </c>
      <c r="AL33">
        <v>0</v>
      </c>
      <c r="AM33">
        <v>0</v>
      </c>
      <c r="AO33" t="s">
        <v>26</v>
      </c>
      <c r="AP33">
        <f>SUMPRODUCT(Table1[Selected],Table1[NFO])</f>
        <v>3</v>
      </c>
      <c r="AQ33">
        <v>3</v>
      </c>
    </row>
    <row r="34" spans="1:43" hidden="1" x14ac:dyDescent="0.2">
      <c r="A34" t="s">
        <v>111</v>
      </c>
      <c r="B34" t="s">
        <v>112</v>
      </c>
      <c r="C34" t="s">
        <v>112</v>
      </c>
      <c r="D34" t="s">
        <v>3</v>
      </c>
      <c r="E34">
        <v>1</v>
      </c>
      <c r="F34">
        <v>0</v>
      </c>
      <c r="G34">
        <v>0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169</v>
      </c>
      <c r="AF34">
        <v>15.483870967741931</v>
      </c>
      <c r="AG34">
        <v>14.052161172473269</v>
      </c>
      <c r="AH34">
        <v>12.656720404754889</v>
      </c>
      <c r="AI34">
        <f>8.43309352316357*1</f>
        <v>8.4330935231635706</v>
      </c>
      <c r="AJ34">
        <f>1.43284864928159*1</f>
        <v>1.4328486492815899</v>
      </c>
      <c r="AK34">
        <v>1</v>
      </c>
      <c r="AL34">
        <v>0</v>
      </c>
      <c r="AM34">
        <v>0</v>
      </c>
      <c r="AO34" t="s">
        <v>27</v>
      </c>
      <c r="AP34">
        <f>SUMPRODUCT(Table1[Selected],Table1[SOU])</f>
        <v>0</v>
      </c>
      <c r="AQ34">
        <v>3</v>
      </c>
    </row>
    <row r="35" spans="1:43" hidden="1" x14ac:dyDescent="0.2">
      <c r="A35" t="s">
        <v>113</v>
      </c>
      <c r="B35" t="s">
        <v>114</v>
      </c>
      <c r="C35" t="s">
        <v>114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15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171</v>
      </c>
      <c r="AF35">
        <v>15.735904703776971</v>
      </c>
      <c r="AG35">
        <v>12.84367308726801</v>
      </c>
      <c r="AH35">
        <v>14.171962598804701</v>
      </c>
      <c r="AI35">
        <f>18.5424868191614*1</f>
        <v>18.5424868191614</v>
      </c>
      <c r="AJ35">
        <f>3.4299250783011*1</f>
        <v>3.4299250783011002</v>
      </c>
      <c r="AK35">
        <v>1</v>
      </c>
      <c r="AL35">
        <v>0</v>
      </c>
      <c r="AM35">
        <v>0</v>
      </c>
      <c r="AO35" t="s">
        <v>28</v>
      </c>
      <c r="AP35">
        <f>SUMPRODUCT(Table1[Selected],Table1[TOT])</f>
        <v>2</v>
      </c>
      <c r="AQ35">
        <v>3</v>
      </c>
    </row>
    <row r="36" spans="1:43" x14ac:dyDescent="0.2">
      <c r="A36" t="s">
        <v>57</v>
      </c>
      <c r="B36" t="s">
        <v>58</v>
      </c>
      <c r="C36" t="s">
        <v>58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10.3</v>
      </c>
      <c r="AE36">
        <v>13</v>
      </c>
      <c r="AF36">
        <v>38.077136925509272</v>
      </c>
      <c r="AG36">
        <v>23.296078303382011</v>
      </c>
      <c r="AH36">
        <v>46.176134878193693</v>
      </c>
      <c r="AI36">
        <f>36.0148493195379*1</f>
        <v>36.014849319537902</v>
      </c>
      <c r="AJ36">
        <f>7.48375013856313*1</f>
        <v>7.4837501385631304</v>
      </c>
      <c r="AK36">
        <v>1</v>
      </c>
      <c r="AL36">
        <v>1</v>
      </c>
      <c r="AM36">
        <v>1</v>
      </c>
      <c r="AO36" t="s">
        <v>29</v>
      </c>
      <c r="AP36">
        <f>SUMPRODUCT(Table1[Selected],Table1[WHU])</f>
        <v>0</v>
      </c>
      <c r="AQ36">
        <v>3</v>
      </c>
    </row>
    <row r="37" spans="1:43" hidden="1" x14ac:dyDescent="0.2">
      <c r="A37" t="s">
        <v>117</v>
      </c>
      <c r="B37" t="s">
        <v>118</v>
      </c>
      <c r="C37" t="s">
        <v>119</v>
      </c>
      <c r="D37" t="s">
        <v>5</v>
      </c>
      <c r="E37">
        <v>0</v>
      </c>
      <c r="F37">
        <v>0</v>
      </c>
      <c r="G37">
        <v>1</v>
      </c>
      <c r="H37">
        <v>0</v>
      </c>
      <c r="I37" t="s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4.9000000000000004</v>
      </c>
      <c r="AE37">
        <v>189</v>
      </c>
      <c r="AF37">
        <v>11.84342908893802</v>
      </c>
      <c r="AG37">
        <v>7.7856917643515686</v>
      </c>
      <c r="AH37">
        <v>14.043207017657441</v>
      </c>
      <c r="AI37">
        <f>14.0213742761383*1</f>
        <v>14.0213742761383</v>
      </c>
      <c r="AJ37">
        <f>2.85951083903022*1</f>
        <v>2.8595108390302202</v>
      </c>
      <c r="AK37">
        <v>1</v>
      </c>
      <c r="AL37">
        <v>0</v>
      </c>
      <c r="AM37">
        <v>0</v>
      </c>
      <c r="AO37" t="s">
        <v>30</v>
      </c>
      <c r="AP37">
        <f>SUMPRODUCT(Table1[Selected],Table1[WOL])</f>
        <v>1</v>
      </c>
      <c r="AQ37">
        <v>3</v>
      </c>
    </row>
    <row r="38" spans="1:43" hidden="1" x14ac:dyDescent="0.2">
      <c r="A38" t="s">
        <v>120</v>
      </c>
      <c r="B38" t="s">
        <v>121</v>
      </c>
      <c r="C38" t="s">
        <v>121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4.5</v>
      </c>
      <c r="AE38">
        <v>193</v>
      </c>
      <c r="AF38">
        <v>13.17307692307692</v>
      </c>
      <c r="AG38">
        <v>12.40003339760224</v>
      </c>
      <c r="AH38">
        <v>14.063280423280419</v>
      </c>
      <c r="AI38">
        <f>10.3870374824703*1</f>
        <v>10.3870374824703</v>
      </c>
      <c r="AJ38">
        <f>2.28713505078396*1</f>
        <v>2.2871350507839598</v>
      </c>
      <c r="AK38">
        <v>1</v>
      </c>
      <c r="AL38">
        <v>0</v>
      </c>
      <c r="AM38">
        <v>0</v>
      </c>
    </row>
    <row r="39" spans="1:43" hidden="1" x14ac:dyDescent="0.2">
      <c r="A39" t="s">
        <v>122</v>
      </c>
      <c r="B39" t="s">
        <v>123</v>
      </c>
      <c r="C39" t="s">
        <v>124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194</v>
      </c>
      <c r="AF39">
        <v>12.92452830188679</v>
      </c>
      <c r="AG39">
        <v>10.534696273784981</v>
      </c>
      <c r="AH39">
        <v>25.204782585835211</v>
      </c>
      <c r="AI39">
        <f>13.8095122445717*1</f>
        <v>13.8095122445717</v>
      </c>
      <c r="AJ39">
        <f>2.81154294709721*1</f>
        <v>2.8115429470972102</v>
      </c>
      <c r="AK39">
        <v>1</v>
      </c>
      <c r="AL39">
        <v>0</v>
      </c>
      <c r="AM39">
        <v>0</v>
      </c>
    </row>
    <row r="40" spans="1:43" hidden="1" x14ac:dyDescent="0.2">
      <c r="A40" t="s">
        <v>125</v>
      </c>
      <c r="B40" t="s">
        <v>126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4.8</v>
      </c>
      <c r="AE40">
        <v>199</v>
      </c>
      <c r="AF40">
        <v>15.04045852877894</v>
      </c>
      <c r="AG40">
        <v>9.8222341802115931</v>
      </c>
      <c r="AH40">
        <v>35.756410256410263</v>
      </c>
      <c r="AI40">
        <f>17.5330126606449*1</f>
        <v>17.5330126606449</v>
      </c>
      <c r="AJ40">
        <f>4.0918743557103*1</f>
        <v>4.0918743557103001</v>
      </c>
      <c r="AK40">
        <v>1</v>
      </c>
      <c r="AL40">
        <v>0</v>
      </c>
      <c r="AM40">
        <v>0</v>
      </c>
    </row>
    <row r="41" spans="1:43" hidden="1" x14ac:dyDescent="0.2">
      <c r="A41" t="s">
        <v>127</v>
      </c>
      <c r="B41" t="s">
        <v>128</v>
      </c>
      <c r="C41" t="s">
        <v>128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6.4</v>
      </c>
      <c r="AE41">
        <v>208</v>
      </c>
      <c r="AF41">
        <v>15.07447194850829</v>
      </c>
      <c r="AG41">
        <v>21.889182516609349</v>
      </c>
      <c r="AH41">
        <v>19.285714285714281</v>
      </c>
      <c r="AI41">
        <f>4.32351893606792*1</f>
        <v>4.32351893606792</v>
      </c>
      <c r="AJ41">
        <f>0.69851391686256*1</f>
        <v>0.69851391686256004</v>
      </c>
      <c r="AK41">
        <v>1</v>
      </c>
      <c r="AL41">
        <v>0</v>
      </c>
      <c r="AM41">
        <v>0</v>
      </c>
    </row>
    <row r="42" spans="1:43" hidden="1" x14ac:dyDescent="0.2">
      <c r="A42" t="s">
        <v>129</v>
      </c>
      <c r="B42" t="s">
        <v>130</v>
      </c>
      <c r="C42" t="s">
        <v>131</v>
      </c>
      <c r="D42" t="s">
        <v>6</v>
      </c>
      <c r="E42">
        <v>0</v>
      </c>
      <c r="F42">
        <v>0</v>
      </c>
      <c r="G42">
        <v>0</v>
      </c>
      <c r="H42">
        <v>1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211</v>
      </c>
      <c r="AF42">
        <v>26.97247505481597</v>
      </c>
      <c r="AG42">
        <v>18.761146412310861</v>
      </c>
      <c r="AH42">
        <v>35.782619467740609</v>
      </c>
      <c r="AI42">
        <f>20.4975148567898*1</f>
        <v>20.497514856789799</v>
      </c>
      <c r="AJ42">
        <f>3.54997327500618*1</f>
        <v>3.5499732750061801</v>
      </c>
      <c r="AK42">
        <v>1</v>
      </c>
      <c r="AL42">
        <v>0</v>
      </c>
      <c r="AM42">
        <v>0</v>
      </c>
    </row>
    <row r="43" spans="1:43" x14ac:dyDescent="0.2">
      <c r="A43" t="s">
        <v>115</v>
      </c>
      <c r="B43" t="s">
        <v>116</v>
      </c>
      <c r="C43" t="s">
        <v>115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5.6</v>
      </c>
      <c r="AE43">
        <v>177</v>
      </c>
      <c r="AF43">
        <v>12.17729264776337</v>
      </c>
      <c r="AG43">
        <v>27.431050905055091</v>
      </c>
      <c r="AH43">
        <v>22.366666666666671</v>
      </c>
      <c r="AI43">
        <f>28.8642988646076*1</f>
        <v>28.864298864607601</v>
      </c>
      <c r="AJ43">
        <f>6.03035096456066*1</f>
        <v>6.0303509645606601</v>
      </c>
      <c r="AK43">
        <v>1</v>
      </c>
      <c r="AL43">
        <v>1</v>
      </c>
      <c r="AM43">
        <v>1</v>
      </c>
    </row>
    <row r="44" spans="1:43" hidden="1" x14ac:dyDescent="0.2">
      <c r="A44" t="s">
        <v>134</v>
      </c>
      <c r="B44" t="s">
        <v>135</v>
      </c>
      <c r="C44" t="s">
        <v>135</v>
      </c>
      <c r="D44" t="s">
        <v>3</v>
      </c>
      <c r="E44">
        <v>1</v>
      </c>
      <c r="F44">
        <v>0</v>
      </c>
      <c r="G44">
        <v>0</v>
      </c>
      <c r="H44">
        <v>0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4.7</v>
      </c>
      <c r="AE44">
        <v>216</v>
      </c>
      <c r="AF44">
        <v>17.99107142857142</v>
      </c>
      <c r="AG44">
        <v>17.628716467819672</v>
      </c>
      <c r="AH44">
        <v>10.99892018238172</v>
      </c>
      <c r="AI44">
        <f>7.41174072088307*1</f>
        <v>7.4117407208830697</v>
      </c>
      <c r="AJ44">
        <f>1.49144085901316*1</f>
        <v>1.49144085901316</v>
      </c>
      <c r="AK44">
        <v>1</v>
      </c>
      <c r="AL44">
        <v>0</v>
      </c>
      <c r="AM44">
        <v>0</v>
      </c>
    </row>
    <row r="45" spans="1:43" hidden="1" x14ac:dyDescent="0.2">
      <c r="A45" t="s">
        <v>136</v>
      </c>
      <c r="B45" t="s">
        <v>137</v>
      </c>
      <c r="C45" t="s">
        <v>138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16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6.2</v>
      </c>
      <c r="AE45">
        <v>220</v>
      </c>
      <c r="AF45">
        <v>16.0740041296709</v>
      </c>
      <c r="AG45">
        <v>12.921250565750009</v>
      </c>
      <c r="AH45">
        <v>29.244664645630209</v>
      </c>
      <c r="AI45">
        <f>14.4509201209892*1</f>
        <v>14.450920120989201</v>
      </c>
      <c r="AJ45">
        <f>3.10910362878761*1</f>
        <v>3.1091036287876102</v>
      </c>
      <c r="AK45">
        <v>1</v>
      </c>
      <c r="AL45">
        <v>0</v>
      </c>
      <c r="AM45">
        <v>0</v>
      </c>
    </row>
    <row r="46" spans="1:43" hidden="1" x14ac:dyDescent="0.2">
      <c r="A46" t="s">
        <v>139</v>
      </c>
      <c r="B46" t="s">
        <v>140</v>
      </c>
      <c r="C46" t="s">
        <v>140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6.6</v>
      </c>
      <c r="AE46">
        <v>232</v>
      </c>
      <c r="AF46">
        <v>19.482758620689651</v>
      </c>
      <c r="AG46">
        <v>16.242390882420789</v>
      </c>
      <c r="AH46">
        <v>24.050217522646641</v>
      </c>
      <c r="AI46">
        <f>3.27978422915168*1</f>
        <v>3.2797842291516801</v>
      </c>
      <c r="AJ46">
        <f>0.614137537046058*1</f>
        <v>0.614137537046058</v>
      </c>
      <c r="AK46">
        <v>1</v>
      </c>
      <c r="AL46">
        <v>0</v>
      </c>
      <c r="AM46">
        <v>0</v>
      </c>
    </row>
    <row r="47" spans="1:43" hidden="1" x14ac:dyDescent="0.2">
      <c r="A47" t="s">
        <v>122</v>
      </c>
      <c r="B47" t="s">
        <v>141</v>
      </c>
      <c r="C47" t="s">
        <v>141</v>
      </c>
      <c r="D47" t="s">
        <v>4</v>
      </c>
      <c r="E47">
        <v>0</v>
      </c>
      <c r="F47">
        <v>1</v>
      </c>
      <c r="G47">
        <v>0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4.5</v>
      </c>
      <c r="AE47">
        <v>233</v>
      </c>
      <c r="AF47">
        <v>14.57943925233644</v>
      </c>
      <c r="AG47">
        <v>16.51976845472878</v>
      </c>
      <c r="AH47">
        <v>6.3866493311339232</v>
      </c>
      <c r="AI47">
        <f>18.0566183177158*1</f>
        <v>18.056618317715799</v>
      </c>
      <c r="AJ47">
        <f>3.63154151593721*1</f>
        <v>3.6315415159372102</v>
      </c>
      <c r="AK47">
        <v>1</v>
      </c>
      <c r="AL47">
        <v>0</v>
      </c>
      <c r="AM47">
        <v>0</v>
      </c>
    </row>
    <row r="48" spans="1:43" hidden="1" x14ac:dyDescent="0.2">
      <c r="A48" t="s">
        <v>142</v>
      </c>
      <c r="B48" t="s">
        <v>143</v>
      </c>
      <c r="C48" t="s">
        <v>143</v>
      </c>
      <c r="D48" t="s">
        <v>3</v>
      </c>
      <c r="E48">
        <v>1</v>
      </c>
      <c r="F48">
        <v>0</v>
      </c>
      <c r="G48">
        <v>0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4.4000000000000004</v>
      </c>
      <c r="AE48">
        <v>234</v>
      </c>
      <c r="AF48">
        <v>19.651897064647901</v>
      </c>
      <c r="AG48">
        <v>21.042671268044639</v>
      </c>
      <c r="AH48">
        <v>12.401437500731641</v>
      </c>
      <c r="AI48">
        <f>18.7883896518851*1</f>
        <v>18.788389651885101</v>
      </c>
      <c r="AJ48">
        <f>3.9506696763237*1</f>
        <v>3.9506696763237001</v>
      </c>
      <c r="AK48">
        <v>1</v>
      </c>
      <c r="AL48">
        <v>0</v>
      </c>
      <c r="AM48">
        <v>0</v>
      </c>
    </row>
    <row r="49" spans="1:39" hidden="1" x14ac:dyDescent="0.2">
      <c r="A49" t="s">
        <v>144</v>
      </c>
      <c r="B49" t="s">
        <v>145</v>
      </c>
      <c r="C49" t="s">
        <v>145</v>
      </c>
      <c r="D49" t="s">
        <v>6</v>
      </c>
      <c r="E49">
        <v>0</v>
      </c>
      <c r="F49">
        <v>0</v>
      </c>
      <c r="G49">
        <v>0</v>
      </c>
      <c r="H49">
        <v>1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7.2</v>
      </c>
      <c r="AE49">
        <v>239</v>
      </c>
      <c r="AF49">
        <v>20.509241461485761</v>
      </c>
      <c r="AG49">
        <v>13.856604802899581</v>
      </c>
      <c r="AH49">
        <v>24.24</v>
      </c>
      <c r="AI49">
        <f>3.82014077941162*1</f>
        <v>3.82014077941162</v>
      </c>
      <c r="AJ49">
        <f>0.748763056158135*1</f>
        <v>0.74876305615813499</v>
      </c>
      <c r="AK49">
        <v>1</v>
      </c>
      <c r="AL49">
        <v>0</v>
      </c>
      <c r="AM49">
        <v>0</v>
      </c>
    </row>
    <row r="50" spans="1:39" hidden="1" x14ac:dyDescent="0.2">
      <c r="A50" t="s">
        <v>146</v>
      </c>
      <c r="B50" t="s">
        <v>147</v>
      </c>
      <c r="C50" t="s">
        <v>147</v>
      </c>
      <c r="D50" t="s">
        <v>4</v>
      </c>
      <c r="E50">
        <v>0</v>
      </c>
      <c r="F50">
        <v>1</v>
      </c>
      <c r="G50">
        <v>0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4.7</v>
      </c>
      <c r="AE50">
        <v>243</v>
      </c>
      <c r="AF50">
        <v>16.428571428571431</v>
      </c>
      <c r="AG50">
        <v>18.60020649215878</v>
      </c>
      <c r="AH50">
        <v>8.9730055658627084</v>
      </c>
      <c r="AI50">
        <f>13.4427025461619*1</f>
        <v>13.4427025461619</v>
      </c>
      <c r="AJ50">
        <f>2.87127638930291*1</f>
        <v>2.8712763893029098</v>
      </c>
      <c r="AK50">
        <v>1</v>
      </c>
      <c r="AL50">
        <v>0</v>
      </c>
      <c r="AM50">
        <v>0</v>
      </c>
    </row>
    <row r="51" spans="1:39" hidden="1" x14ac:dyDescent="0.2">
      <c r="A51" t="s">
        <v>148</v>
      </c>
      <c r="B51" t="s">
        <v>149</v>
      </c>
      <c r="C51" t="s">
        <v>150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5.7</v>
      </c>
      <c r="AE51">
        <v>250</v>
      </c>
      <c r="AF51">
        <v>17.073170731707322</v>
      </c>
      <c r="AG51">
        <v>19.385297355564219</v>
      </c>
      <c r="AH51">
        <v>33.883008936469139</v>
      </c>
      <c r="AI51">
        <f>12.0463311782629*1</f>
        <v>12.0463311782629</v>
      </c>
      <c r="AJ51">
        <f>2.70169530400897*1</f>
        <v>2.70169530400897</v>
      </c>
      <c r="AK51">
        <v>1</v>
      </c>
      <c r="AL51">
        <v>0</v>
      </c>
      <c r="AM51">
        <v>0</v>
      </c>
    </row>
    <row r="52" spans="1:39" hidden="1" x14ac:dyDescent="0.2">
      <c r="A52" t="s">
        <v>151</v>
      </c>
      <c r="B52" t="s">
        <v>152</v>
      </c>
      <c r="C52" t="s">
        <v>153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5.0999999999999996</v>
      </c>
      <c r="AE52">
        <v>259</v>
      </c>
      <c r="AF52">
        <v>15.5820105820106</v>
      </c>
      <c r="AG52">
        <v>15.37829579458074</v>
      </c>
      <c r="AH52">
        <v>12.56981500763092</v>
      </c>
      <c r="AI52">
        <f>9.35233398130768*1</f>
        <v>9.3523339813076802</v>
      </c>
      <c r="AJ52">
        <f>1.81057305449018*1</f>
        <v>1.8105730544901799</v>
      </c>
      <c r="AK52">
        <v>1</v>
      </c>
      <c r="AL52">
        <v>0</v>
      </c>
      <c r="AM52">
        <v>0</v>
      </c>
    </row>
    <row r="53" spans="1:39" hidden="1" x14ac:dyDescent="0.2">
      <c r="A53" t="s">
        <v>154</v>
      </c>
      <c r="B53" t="s">
        <v>155</v>
      </c>
      <c r="C53" t="s">
        <v>155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5.6</v>
      </c>
      <c r="AE53">
        <v>272</v>
      </c>
      <c r="AF53">
        <v>15.78849350873393</v>
      </c>
      <c r="AG53">
        <v>17.30070746488169</v>
      </c>
      <c r="AH53">
        <v>11.642204344313051</v>
      </c>
      <c r="AI53">
        <f>20.8884037233387*1</f>
        <v>20.888403723338701</v>
      </c>
      <c r="AJ53">
        <f>3.92693496376029*1</f>
        <v>3.9269349637602899</v>
      </c>
      <c r="AK53">
        <v>1</v>
      </c>
      <c r="AL53">
        <v>0</v>
      </c>
      <c r="AM53">
        <v>0</v>
      </c>
    </row>
    <row r="54" spans="1:39" hidden="1" x14ac:dyDescent="0.2">
      <c r="A54" t="s">
        <v>156</v>
      </c>
      <c r="B54" t="s">
        <v>157</v>
      </c>
      <c r="C54" t="s">
        <v>157</v>
      </c>
      <c r="D54" t="s">
        <v>4</v>
      </c>
      <c r="E54">
        <v>0</v>
      </c>
      <c r="F54">
        <v>1</v>
      </c>
      <c r="G54">
        <v>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4.3</v>
      </c>
      <c r="AE54">
        <v>273</v>
      </c>
      <c r="AF54">
        <v>12.94449081455701</v>
      </c>
      <c r="AG54">
        <v>19.37480612365211</v>
      </c>
      <c r="AH54">
        <v>12.013435611481899</v>
      </c>
      <c r="AI54">
        <f>14.4320816899589*1</f>
        <v>14.432081689958901</v>
      </c>
      <c r="AJ54">
        <f>2.46552717629954*1</f>
        <v>2.4655271762995401</v>
      </c>
      <c r="AK54">
        <v>1</v>
      </c>
      <c r="AL54">
        <v>0</v>
      </c>
      <c r="AM54">
        <v>0</v>
      </c>
    </row>
    <row r="55" spans="1:39" hidden="1" x14ac:dyDescent="0.2">
      <c r="A55" t="s">
        <v>158</v>
      </c>
      <c r="B55" t="s">
        <v>159</v>
      </c>
      <c r="C55" t="s">
        <v>159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5.4</v>
      </c>
      <c r="AE55">
        <v>274</v>
      </c>
      <c r="AF55">
        <v>0</v>
      </c>
      <c r="AG55">
        <v>0</v>
      </c>
      <c r="AH55">
        <v>0</v>
      </c>
      <c r="AI55">
        <f>0*1</f>
        <v>0</v>
      </c>
      <c r="AJ55">
        <f>0*1</f>
        <v>0</v>
      </c>
      <c r="AK55">
        <v>1</v>
      </c>
      <c r="AL55">
        <v>0</v>
      </c>
      <c r="AM55">
        <v>0</v>
      </c>
    </row>
    <row r="56" spans="1:39" hidden="1" x14ac:dyDescent="0.2">
      <c r="A56" t="s">
        <v>160</v>
      </c>
      <c r="B56" t="s">
        <v>161</v>
      </c>
      <c r="C56" t="s">
        <v>161</v>
      </c>
      <c r="D56" t="s">
        <v>3</v>
      </c>
      <c r="E56">
        <v>1</v>
      </c>
      <c r="F56">
        <v>0</v>
      </c>
      <c r="G56">
        <v>0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4.9000000000000004</v>
      </c>
      <c r="AE56">
        <v>276</v>
      </c>
      <c r="AF56">
        <v>18.108108108108091</v>
      </c>
      <c r="AG56">
        <v>18.25083830011442</v>
      </c>
      <c r="AH56">
        <v>22.32661406098493</v>
      </c>
      <c r="AI56">
        <f>25.3588194510775*1</f>
        <v>25.358819451077501</v>
      </c>
      <c r="AJ56">
        <f>5.26030408006141*1</f>
        <v>5.2603040800614096</v>
      </c>
      <c r="AK56">
        <v>1</v>
      </c>
      <c r="AL56">
        <v>0</v>
      </c>
      <c r="AM56">
        <v>0</v>
      </c>
    </row>
    <row r="57" spans="1:39" hidden="1" x14ac:dyDescent="0.2">
      <c r="A57" t="s">
        <v>162</v>
      </c>
      <c r="B57" t="s">
        <v>163</v>
      </c>
      <c r="C57" t="s">
        <v>163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4.8</v>
      </c>
      <c r="AE57">
        <v>277</v>
      </c>
      <c r="AF57">
        <v>14.11083178134626</v>
      </c>
      <c r="AG57">
        <v>11.29048683864807</v>
      </c>
      <c r="AH57">
        <v>13.13192810274232</v>
      </c>
      <c r="AI57">
        <f>13.6740790862487*1</f>
        <v>13.6740790862487</v>
      </c>
      <c r="AJ57">
        <f>2.28191610139209*1</f>
        <v>2.2819161013920901</v>
      </c>
      <c r="AK57">
        <v>1</v>
      </c>
      <c r="AL57">
        <v>0</v>
      </c>
      <c r="AM57">
        <v>0</v>
      </c>
    </row>
    <row r="58" spans="1:39" x14ac:dyDescent="0.2">
      <c r="A58" t="s">
        <v>164</v>
      </c>
      <c r="B58" t="s">
        <v>165</v>
      </c>
      <c r="C58" t="s">
        <v>165</v>
      </c>
      <c r="D58" t="s">
        <v>4</v>
      </c>
      <c r="E58">
        <v>0</v>
      </c>
      <c r="F58">
        <v>1</v>
      </c>
      <c r="G58">
        <v>0</v>
      </c>
      <c r="H58">
        <v>0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4.5999999999999996</v>
      </c>
      <c r="AE58">
        <v>279</v>
      </c>
      <c r="AF58">
        <v>12.575757575757571</v>
      </c>
      <c r="AG58">
        <v>12.344436086889351</v>
      </c>
      <c r="AH58">
        <v>21.49269640744431</v>
      </c>
      <c r="AI58">
        <f>27.4242702468198*1</f>
        <v>27.424270246819798</v>
      </c>
      <c r="AJ58">
        <f>5.82911673141704*1</f>
        <v>5.8291167314170398</v>
      </c>
      <c r="AK58">
        <v>1</v>
      </c>
      <c r="AL58">
        <v>1</v>
      </c>
      <c r="AM58">
        <v>1</v>
      </c>
    </row>
    <row r="59" spans="1:39" hidden="1" x14ac:dyDescent="0.2">
      <c r="A59" t="s">
        <v>166</v>
      </c>
      <c r="B59" t="s">
        <v>167</v>
      </c>
      <c r="C59" t="s">
        <v>167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</v>
      </c>
      <c r="AE59">
        <v>288</v>
      </c>
      <c r="AF59">
        <v>10.467753937251921</v>
      </c>
      <c r="AG59">
        <v>9.4814047019618268</v>
      </c>
      <c r="AH59">
        <v>16.48</v>
      </c>
      <c r="AI59">
        <f>12.1863973055794*1</f>
        <v>12.186397305579399</v>
      </c>
      <c r="AJ59">
        <f>2.72527657992767*1</f>
        <v>2.7252765799276699</v>
      </c>
      <c r="AK59">
        <v>1</v>
      </c>
      <c r="AL59">
        <v>0</v>
      </c>
      <c r="AM59">
        <v>0</v>
      </c>
    </row>
    <row r="60" spans="1:39" hidden="1" x14ac:dyDescent="0.2">
      <c r="A60" t="s">
        <v>168</v>
      </c>
      <c r="B60" t="s">
        <v>169</v>
      </c>
      <c r="C60" t="s">
        <v>169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</v>
      </c>
      <c r="AE60">
        <v>289</v>
      </c>
      <c r="AF60">
        <v>16.40449438202247</v>
      </c>
      <c r="AG60">
        <v>12.73028191751709</v>
      </c>
      <c r="AH60">
        <v>15.699022726558869</v>
      </c>
      <c r="AI60">
        <f>10.9662902448954*1</f>
        <v>10.966290244895401</v>
      </c>
      <c r="AJ60">
        <f>2.23744897248394*1</f>
        <v>2.2374489724839401</v>
      </c>
      <c r="AK60">
        <v>1</v>
      </c>
      <c r="AL60">
        <v>0</v>
      </c>
      <c r="AM60">
        <v>0</v>
      </c>
    </row>
    <row r="61" spans="1:39" hidden="1" x14ac:dyDescent="0.2">
      <c r="A61" t="s">
        <v>170</v>
      </c>
      <c r="B61" t="s">
        <v>171</v>
      </c>
      <c r="C61" t="s">
        <v>170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4.9000000000000004</v>
      </c>
      <c r="AE61">
        <v>291</v>
      </c>
      <c r="AF61">
        <v>11.747887620954589</v>
      </c>
      <c r="AG61">
        <v>11.9315010464659</v>
      </c>
      <c r="AH61">
        <v>6.8642222936655353</v>
      </c>
      <c r="AI61">
        <f>6.84486721417616*1</f>
        <v>6.8448672141761602</v>
      </c>
      <c r="AJ61">
        <f>1.15183576746023*1</f>
        <v>1.15183576746023</v>
      </c>
      <c r="AK61">
        <v>1</v>
      </c>
      <c r="AL61">
        <v>0</v>
      </c>
      <c r="AM61">
        <v>0</v>
      </c>
    </row>
    <row r="62" spans="1:39" hidden="1" x14ac:dyDescent="0.2">
      <c r="A62" t="s">
        <v>172</v>
      </c>
      <c r="B62" t="s">
        <v>173</v>
      </c>
      <c r="C62" t="s">
        <v>173</v>
      </c>
      <c r="D62" t="s">
        <v>4</v>
      </c>
      <c r="E62">
        <v>0</v>
      </c>
      <c r="F62">
        <v>1</v>
      </c>
      <c r="G62">
        <v>0</v>
      </c>
      <c r="H62">
        <v>0</v>
      </c>
      <c r="I62" t="s">
        <v>19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4.5</v>
      </c>
      <c r="AE62">
        <v>293</v>
      </c>
      <c r="AF62">
        <v>9.6456197285820018</v>
      </c>
      <c r="AG62">
        <v>11.89294544237619</v>
      </c>
      <c r="AH62">
        <v>8.4333333333333336</v>
      </c>
      <c r="AI62">
        <f>9.0827990215847*1</f>
        <v>9.0827990215846999</v>
      </c>
      <c r="AJ62">
        <f>1.81686713105884*1</f>
        <v>1.81686713105884</v>
      </c>
      <c r="AK62">
        <v>1</v>
      </c>
      <c r="AL62">
        <v>0</v>
      </c>
      <c r="AM62">
        <v>0</v>
      </c>
    </row>
    <row r="63" spans="1:39" hidden="1" x14ac:dyDescent="0.2">
      <c r="A63" t="s">
        <v>174</v>
      </c>
      <c r="B63" t="s">
        <v>175</v>
      </c>
      <c r="C63" t="s">
        <v>175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5.6</v>
      </c>
      <c r="AE63">
        <v>299</v>
      </c>
      <c r="AF63">
        <v>18.528109233877359</v>
      </c>
      <c r="AG63">
        <v>13.383213455648569</v>
      </c>
      <c r="AH63">
        <v>23.774413299993881</v>
      </c>
      <c r="AI63">
        <f>17.5811166977051*1</f>
        <v>17.581116697705099</v>
      </c>
      <c r="AJ63">
        <f>3.62472743598939*1</f>
        <v>3.62472743598939</v>
      </c>
      <c r="AK63">
        <v>1</v>
      </c>
      <c r="AL63">
        <v>0</v>
      </c>
      <c r="AM63">
        <v>0</v>
      </c>
    </row>
    <row r="64" spans="1:39" hidden="1" x14ac:dyDescent="0.2">
      <c r="A64" t="s">
        <v>176</v>
      </c>
      <c r="B64" t="s">
        <v>177</v>
      </c>
      <c r="C64" t="s">
        <v>177</v>
      </c>
      <c r="D64" t="s">
        <v>3</v>
      </c>
      <c r="E64">
        <v>1</v>
      </c>
      <c r="F64">
        <v>0</v>
      </c>
      <c r="G64">
        <v>0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300</v>
      </c>
      <c r="AF64">
        <v>18.113406309930589</v>
      </c>
      <c r="AG64">
        <v>17.948065000297621</v>
      </c>
      <c r="AH64">
        <v>12.47946071265746</v>
      </c>
      <c r="AI64">
        <f>14.0040912017617*1</f>
        <v>14.0040912017617</v>
      </c>
      <c r="AJ64">
        <f>2.91396405898853*1</f>
        <v>2.9139640589885301</v>
      </c>
      <c r="AK64">
        <v>1</v>
      </c>
      <c r="AL64">
        <v>0</v>
      </c>
      <c r="AM64">
        <v>0</v>
      </c>
    </row>
    <row r="65" spans="1:39" hidden="1" x14ac:dyDescent="0.2">
      <c r="A65" t="s">
        <v>178</v>
      </c>
      <c r="B65" t="s">
        <v>179</v>
      </c>
      <c r="C65" t="s">
        <v>178</v>
      </c>
      <c r="D65" t="s">
        <v>6</v>
      </c>
      <c r="E65">
        <v>0</v>
      </c>
      <c r="F65">
        <v>0</v>
      </c>
      <c r="G65">
        <v>0</v>
      </c>
      <c r="H65">
        <v>1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5.7</v>
      </c>
      <c r="AE65">
        <v>304</v>
      </c>
      <c r="AF65">
        <v>17.846830130165259</v>
      </c>
      <c r="AG65">
        <v>22.62472787997914</v>
      </c>
      <c r="AH65">
        <v>14.33333010084778</v>
      </c>
      <c r="AI65">
        <f>24.7527651104024*1</f>
        <v>24.7527651104024</v>
      </c>
      <c r="AJ65">
        <f>4.53753123311696*1</f>
        <v>4.5375312331169599</v>
      </c>
      <c r="AK65">
        <v>1</v>
      </c>
      <c r="AL65">
        <v>0</v>
      </c>
      <c r="AM65">
        <v>0</v>
      </c>
    </row>
    <row r="66" spans="1:39" hidden="1" x14ac:dyDescent="0.2">
      <c r="A66" t="s">
        <v>180</v>
      </c>
      <c r="B66" t="s">
        <v>181</v>
      </c>
      <c r="C66" t="s">
        <v>181</v>
      </c>
      <c r="D66" t="s">
        <v>4</v>
      </c>
      <c r="E66">
        <v>0</v>
      </c>
      <c r="F66">
        <v>1</v>
      </c>
      <c r="G66">
        <v>0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</v>
      </c>
      <c r="AE66">
        <v>307</v>
      </c>
      <c r="AF66">
        <v>13.090909090909079</v>
      </c>
      <c r="AG66">
        <v>11.57615352915602</v>
      </c>
      <c r="AH66">
        <v>17.554129458911991</v>
      </c>
      <c r="AI66">
        <f>5.38800311931642*1</f>
        <v>5.3880031193164202</v>
      </c>
      <c r="AJ66">
        <f>0.989703282637818*1</f>
        <v>0.98970328263781804</v>
      </c>
      <c r="AK66">
        <v>1</v>
      </c>
      <c r="AL66">
        <v>0</v>
      </c>
      <c r="AM66">
        <v>0</v>
      </c>
    </row>
    <row r="67" spans="1:39" hidden="1" x14ac:dyDescent="0.2">
      <c r="A67" t="s">
        <v>182</v>
      </c>
      <c r="B67" t="s">
        <v>183</v>
      </c>
      <c r="C67" t="s">
        <v>183</v>
      </c>
      <c r="D67" t="s">
        <v>4</v>
      </c>
      <c r="E67">
        <v>0</v>
      </c>
      <c r="F67">
        <v>1</v>
      </c>
      <c r="G67">
        <v>0</v>
      </c>
      <c r="H67">
        <v>0</v>
      </c>
      <c r="I67" t="s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4.5</v>
      </c>
      <c r="AE67">
        <v>309</v>
      </c>
      <c r="AF67">
        <v>12.0841116883458</v>
      </c>
      <c r="AG67">
        <v>15.22998500639503</v>
      </c>
      <c r="AH67">
        <v>17.181970695501629</v>
      </c>
      <c r="AI67">
        <f>12.2610005253677*1</f>
        <v>12.261000525367701</v>
      </c>
      <c r="AJ67">
        <f>2.52806975091322*1</f>
        <v>2.5280697509132199</v>
      </c>
      <c r="AK67">
        <v>1</v>
      </c>
      <c r="AL67">
        <v>0</v>
      </c>
      <c r="AM67">
        <v>0</v>
      </c>
    </row>
    <row r="68" spans="1:39" hidden="1" x14ac:dyDescent="0.2">
      <c r="A68" t="s">
        <v>184</v>
      </c>
      <c r="B68" t="s">
        <v>185</v>
      </c>
      <c r="C68" t="s">
        <v>185</v>
      </c>
      <c r="D68" t="s">
        <v>4</v>
      </c>
      <c r="E68">
        <v>0</v>
      </c>
      <c r="F68">
        <v>1</v>
      </c>
      <c r="G68">
        <v>0</v>
      </c>
      <c r="H68">
        <v>0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325</v>
      </c>
      <c r="AF68">
        <v>0</v>
      </c>
      <c r="AG68">
        <v>0</v>
      </c>
      <c r="AH68">
        <v>0</v>
      </c>
      <c r="AI68">
        <f>0*1</f>
        <v>0</v>
      </c>
      <c r="AJ68">
        <f>0*1</f>
        <v>0</v>
      </c>
      <c r="AK68">
        <v>1</v>
      </c>
      <c r="AL68">
        <v>0</v>
      </c>
      <c r="AM68">
        <v>0</v>
      </c>
    </row>
    <row r="69" spans="1:39" hidden="1" x14ac:dyDescent="0.2">
      <c r="A69" t="s">
        <v>186</v>
      </c>
      <c r="B69" t="s">
        <v>187</v>
      </c>
      <c r="C69" t="s">
        <v>187</v>
      </c>
      <c r="D69" t="s">
        <v>6</v>
      </c>
      <c r="E69">
        <v>0</v>
      </c>
      <c r="F69">
        <v>0</v>
      </c>
      <c r="G69">
        <v>0</v>
      </c>
      <c r="H69">
        <v>1</v>
      </c>
      <c r="I69" t="s">
        <v>20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5.6</v>
      </c>
      <c r="AE69">
        <v>326</v>
      </c>
      <c r="AF69">
        <v>0</v>
      </c>
      <c r="AG69">
        <v>0</v>
      </c>
      <c r="AH69">
        <v>0</v>
      </c>
      <c r="AI69">
        <f>0*1</f>
        <v>0</v>
      </c>
      <c r="AJ69">
        <f>0*1</f>
        <v>0</v>
      </c>
      <c r="AK69">
        <v>1</v>
      </c>
      <c r="AL69">
        <v>0</v>
      </c>
      <c r="AM69">
        <v>0</v>
      </c>
    </row>
    <row r="70" spans="1:39" hidden="1" x14ac:dyDescent="0.2">
      <c r="A70" t="s">
        <v>188</v>
      </c>
      <c r="B70" t="s">
        <v>189</v>
      </c>
      <c r="C70" t="s">
        <v>189</v>
      </c>
      <c r="D70" t="s">
        <v>3</v>
      </c>
      <c r="E70">
        <v>1</v>
      </c>
      <c r="F70">
        <v>0</v>
      </c>
      <c r="G70">
        <v>0</v>
      </c>
      <c r="H70">
        <v>0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4.4000000000000004</v>
      </c>
      <c r="AE70">
        <v>344</v>
      </c>
      <c r="AF70">
        <v>18.696168673365431</v>
      </c>
      <c r="AG70">
        <v>29.47891541947746</v>
      </c>
      <c r="AH70">
        <v>13.17536790384443</v>
      </c>
      <c r="AI70">
        <f>8.02668883218423*1</f>
        <v>8.0266888321842291</v>
      </c>
      <c r="AJ70">
        <f>1.16034440429749*1</f>
        <v>1.16034440429749</v>
      </c>
      <c r="AK70">
        <v>1</v>
      </c>
      <c r="AL70">
        <v>0</v>
      </c>
      <c r="AM70">
        <v>0</v>
      </c>
    </row>
    <row r="71" spans="1:39" hidden="1" x14ac:dyDescent="0.2">
      <c r="A71" t="s">
        <v>190</v>
      </c>
      <c r="B71" t="s">
        <v>191</v>
      </c>
      <c r="C71" t="s">
        <v>191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5.8</v>
      </c>
      <c r="AE71">
        <v>346</v>
      </c>
      <c r="AF71">
        <v>0</v>
      </c>
      <c r="AG71">
        <v>0</v>
      </c>
      <c r="AH71">
        <v>0</v>
      </c>
      <c r="AI71">
        <f>0*1</f>
        <v>0</v>
      </c>
      <c r="AJ71">
        <f>0*1</f>
        <v>0</v>
      </c>
      <c r="AK71">
        <v>1</v>
      </c>
      <c r="AL71">
        <v>0</v>
      </c>
      <c r="AM71">
        <v>0</v>
      </c>
    </row>
    <row r="72" spans="1:39" hidden="1" x14ac:dyDescent="0.2">
      <c r="A72" t="s">
        <v>192</v>
      </c>
      <c r="B72" t="s">
        <v>193</v>
      </c>
      <c r="C72" t="s">
        <v>193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351</v>
      </c>
      <c r="AF72">
        <v>13.297872340425529</v>
      </c>
      <c r="AG72">
        <v>11.66114104102043</v>
      </c>
      <c r="AH72">
        <v>10.32727272727273</v>
      </c>
      <c r="AI72">
        <f>19.2545536320012*1</f>
        <v>19.254553632001201</v>
      </c>
      <c r="AJ72">
        <f>3.7300599949081*1</f>
        <v>3.7300599949081001</v>
      </c>
      <c r="AK72">
        <v>1</v>
      </c>
      <c r="AL72">
        <v>0</v>
      </c>
      <c r="AM72">
        <v>0</v>
      </c>
    </row>
    <row r="73" spans="1:39" hidden="1" x14ac:dyDescent="0.2">
      <c r="A73" t="s">
        <v>160</v>
      </c>
      <c r="B73" t="s">
        <v>194</v>
      </c>
      <c r="C73" t="s">
        <v>195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5.2</v>
      </c>
      <c r="AE73">
        <v>352</v>
      </c>
      <c r="AF73">
        <v>13.955223880597011</v>
      </c>
      <c r="AG73">
        <v>12.727392043796421</v>
      </c>
      <c r="AH73">
        <v>27.666666666666661</v>
      </c>
      <c r="AI73">
        <f>15.0902532971278*1</f>
        <v>15.0902532971278</v>
      </c>
      <c r="AJ73">
        <f>3.31330866840561*1</f>
        <v>3.3133086684056101</v>
      </c>
      <c r="AK73">
        <v>1</v>
      </c>
      <c r="AL73">
        <v>0</v>
      </c>
      <c r="AM73">
        <v>0</v>
      </c>
    </row>
    <row r="74" spans="1:39" hidden="1" x14ac:dyDescent="0.2">
      <c r="A74" t="s">
        <v>196</v>
      </c>
      <c r="B74" t="s">
        <v>197</v>
      </c>
      <c r="C74" t="s">
        <v>197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5.5</v>
      </c>
      <c r="AE74">
        <v>375</v>
      </c>
      <c r="AF74">
        <v>16.878127679296071</v>
      </c>
      <c r="AG74">
        <v>25.464558412009008</v>
      </c>
      <c r="AH74">
        <v>24.363989051203671</v>
      </c>
      <c r="AI74">
        <f>22.9866342293055*1</f>
        <v>22.986634229305501</v>
      </c>
      <c r="AJ74">
        <f>3.83214184362602*1</f>
        <v>3.8321418436260202</v>
      </c>
      <c r="AK74">
        <v>1</v>
      </c>
      <c r="AL74">
        <v>0</v>
      </c>
      <c r="AM74">
        <v>0</v>
      </c>
    </row>
    <row r="75" spans="1:39" hidden="1" x14ac:dyDescent="0.2">
      <c r="A75" t="s">
        <v>198</v>
      </c>
      <c r="B75" t="s">
        <v>199</v>
      </c>
      <c r="C75" t="s">
        <v>199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4.5</v>
      </c>
      <c r="AE75">
        <v>378</v>
      </c>
      <c r="AF75">
        <v>8.6447949479554609</v>
      </c>
      <c r="AG75">
        <v>8.6886611946542001</v>
      </c>
      <c r="AH75">
        <v>5.36</v>
      </c>
      <c r="AI75">
        <f>9.05429555290746*1</f>
        <v>9.05429555290746</v>
      </c>
      <c r="AJ75">
        <f>1.9389870320042*1</f>
        <v>1.9389870320042</v>
      </c>
      <c r="AK75">
        <v>1</v>
      </c>
      <c r="AL75">
        <v>0</v>
      </c>
      <c r="AM75">
        <v>0</v>
      </c>
    </row>
    <row r="76" spans="1:39" x14ac:dyDescent="0.2">
      <c r="A76" t="s">
        <v>132</v>
      </c>
      <c r="B76" t="s">
        <v>133</v>
      </c>
      <c r="C76" t="s">
        <v>133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10.9</v>
      </c>
      <c r="AE76">
        <v>213</v>
      </c>
      <c r="AF76">
        <v>37.729984115420017</v>
      </c>
      <c r="AG76">
        <v>33.059047838109286</v>
      </c>
      <c r="AH76">
        <v>51.36</v>
      </c>
      <c r="AI76">
        <f>27.7758188362936*1</f>
        <v>27.775818836293599</v>
      </c>
      <c r="AJ76">
        <f>5.45021508877577*1</f>
        <v>5.4502150887757699</v>
      </c>
      <c r="AK76">
        <v>1</v>
      </c>
      <c r="AL76">
        <v>1</v>
      </c>
      <c r="AM76">
        <v>1</v>
      </c>
    </row>
    <row r="77" spans="1:39" hidden="1" x14ac:dyDescent="0.2">
      <c r="A77" t="s">
        <v>202</v>
      </c>
      <c r="B77" t="s">
        <v>203</v>
      </c>
      <c r="C77" t="s">
        <v>202</v>
      </c>
      <c r="D77" t="s">
        <v>6</v>
      </c>
      <c r="E77">
        <v>0</v>
      </c>
      <c r="F77">
        <v>0</v>
      </c>
      <c r="G77">
        <v>0</v>
      </c>
      <c r="H77">
        <v>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7.1</v>
      </c>
      <c r="AE77">
        <v>389</v>
      </c>
      <c r="AF77">
        <v>17.708333333333321</v>
      </c>
      <c r="AG77">
        <v>21.505655724605571</v>
      </c>
      <c r="AH77">
        <v>7.1581920620337689</v>
      </c>
      <c r="AI77">
        <f>11.5324435987857*1</f>
        <v>11.532443598785701</v>
      </c>
      <c r="AJ77">
        <f>2.36396352962681*1</f>
        <v>2.36396352962681</v>
      </c>
      <c r="AK77">
        <v>1</v>
      </c>
      <c r="AL77">
        <v>0</v>
      </c>
      <c r="AM77">
        <v>0</v>
      </c>
    </row>
    <row r="78" spans="1:39" hidden="1" x14ac:dyDescent="0.2">
      <c r="A78" t="s">
        <v>204</v>
      </c>
      <c r="B78" t="s">
        <v>205</v>
      </c>
      <c r="C78" t="s">
        <v>205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7.1</v>
      </c>
      <c r="AE78">
        <v>394</v>
      </c>
      <c r="AF78">
        <v>15.692307692307701</v>
      </c>
      <c r="AG78">
        <v>18.795631367070609</v>
      </c>
      <c r="AH78">
        <v>24.557212232512029</v>
      </c>
      <c r="AI78">
        <f>15.4303679043331*1</f>
        <v>15.430367904333099</v>
      </c>
      <c r="AJ78">
        <f>3.00411459735478*1</f>
        <v>3.0041145973547798</v>
      </c>
      <c r="AK78">
        <v>1</v>
      </c>
      <c r="AL78">
        <v>0</v>
      </c>
      <c r="AM78">
        <v>0</v>
      </c>
    </row>
    <row r="79" spans="1:39" hidden="1" x14ac:dyDescent="0.2">
      <c r="A79" t="s">
        <v>77</v>
      </c>
      <c r="B79" t="s">
        <v>206</v>
      </c>
      <c r="C79" t="s">
        <v>206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396</v>
      </c>
      <c r="AF79">
        <v>10.26315789473685</v>
      </c>
      <c r="AG79">
        <v>8.0889481152285949</v>
      </c>
      <c r="AH79">
        <v>23.31111111111111</v>
      </c>
      <c r="AI79">
        <f>11.9054529351696*1</f>
        <v>11.905452935169601</v>
      </c>
      <c r="AJ79">
        <f>2.24357318860243*1</f>
        <v>2.2435731886024302</v>
      </c>
      <c r="AK79">
        <v>1</v>
      </c>
      <c r="AL79">
        <v>0</v>
      </c>
      <c r="AM79">
        <v>0</v>
      </c>
    </row>
    <row r="80" spans="1:39" hidden="1" x14ac:dyDescent="0.2">
      <c r="A80" t="s">
        <v>207</v>
      </c>
      <c r="B80" t="s">
        <v>208</v>
      </c>
      <c r="C80" t="s">
        <v>208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5.3</v>
      </c>
      <c r="AE80">
        <v>397</v>
      </c>
      <c r="AF80">
        <v>11.236559139784941</v>
      </c>
      <c r="AG80">
        <v>8.9568651966188249</v>
      </c>
      <c r="AH80">
        <v>11.514285714285711</v>
      </c>
      <c r="AI80">
        <f>14.6495533163496*1</f>
        <v>14.6495533163496</v>
      </c>
      <c r="AJ80">
        <f>2.96361926155257*1</f>
        <v>2.9636192615525698</v>
      </c>
      <c r="AK80">
        <v>1</v>
      </c>
      <c r="AL80">
        <v>0</v>
      </c>
      <c r="AM80">
        <v>0</v>
      </c>
    </row>
    <row r="81" spans="1:39" hidden="1" x14ac:dyDescent="0.2">
      <c r="A81" t="s">
        <v>209</v>
      </c>
      <c r="B81" t="s">
        <v>210</v>
      </c>
      <c r="C81" t="s">
        <v>211</v>
      </c>
      <c r="D81" t="s">
        <v>5</v>
      </c>
      <c r="E81">
        <v>0</v>
      </c>
      <c r="F81">
        <v>0</v>
      </c>
      <c r="G81">
        <v>1</v>
      </c>
      <c r="H81">
        <v>0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7.6</v>
      </c>
      <c r="AE81">
        <v>400</v>
      </c>
      <c r="AF81">
        <v>19.932432432432439</v>
      </c>
      <c r="AG81">
        <v>15.91214108847486</v>
      </c>
      <c r="AH81">
        <v>20.087581475047958</v>
      </c>
      <c r="AI81">
        <f>9.57625761905454*1</f>
        <v>9.5762576190545392</v>
      </c>
      <c r="AJ81">
        <f>1.84442046545658*1</f>
        <v>1.8444204654565799</v>
      </c>
      <c r="AK81">
        <v>1</v>
      </c>
      <c r="AL81">
        <v>0</v>
      </c>
      <c r="AM81">
        <v>0</v>
      </c>
    </row>
    <row r="82" spans="1:39" hidden="1" x14ac:dyDescent="0.2">
      <c r="A82" t="s">
        <v>212</v>
      </c>
      <c r="B82" t="s">
        <v>213</v>
      </c>
      <c r="C82" t="s">
        <v>214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13.1</v>
      </c>
      <c r="AE82">
        <v>401</v>
      </c>
      <c r="AF82">
        <v>35.162037037037031</v>
      </c>
      <c r="AG82">
        <v>35.161327363899517</v>
      </c>
      <c r="AH82">
        <v>51.825632488638348</v>
      </c>
      <c r="AI82">
        <f>33.6424364838574*1</f>
        <v>33.642436483857402</v>
      </c>
      <c r="AJ82">
        <f>6.75156577100512*1</f>
        <v>6.7515657710051196</v>
      </c>
      <c r="AK82">
        <v>1</v>
      </c>
      <c r="AL82">
        <v>0</v>
      </c>
      <c r="AM82">
        <v>0</v>
      </c>
    </row>
    <row r="83" spans="1:39" x14ac:dyDescent="0.2">
      <c r="A83" t="s">
        <v>289</v>
      </c>
      <c r="B83" t="s">
        <v>290</v>
      </c>
      <c r="C83" t="s">
        <v>290</v>
      </c>
      <c r="D83" t="s">
        <v>3</v>
      </c>
      <c r="E83">
        <v>1</v>
      </c>
      <c r="F83">
        <v>0</v>
      </c>
      <c r="G83">
        <v>0</v>
      </c>
      <c r="H83">
        <v>0</v>
      </c>
      <c r="I83" t="s">
        <v>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4.7</v>
      </c>
      <c r="AE83">
        <v>534</v>
      </c>
      <c r="AF83">
        <v>15.86206896551723</v>
      </c>
      <c r="AG83">
        <v>13.46025340320052</v>
      </c>
      <c r="AH83">
        <v>27.054299943893579</v>
      </c>
      <c r="AI83">
        <f>23.8647586297721*1</f>
        <v>23.864758629772101</v>
      </c>
      <c r="AJ83">
        <f>4.4745253959179*1</f>
        <v>4.4745253959179001</v>
      </c>
      <c r="AK83">
        <v>1</v>
      </c>
      <c r="AL83">
        <v>1</v>
      </c>
      <c r="AM83">
        <v>1</v>
      </c>
    </row>
    <row r="84" spans="1:39" hidden="1" x14ac:dyDescent="0.2">
      <c r="A84" t="s">
        <v>217</v>
      </c>
      <c r="B84" t="s">
        <v>218</v>
      </c>
      <c r="C84" t="s">
        <v>218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6.3</v>
      </c>
      <c r="AE84">
        <v>409</v>
      </c>
      <c r="AF84">
        <v>15.33333333333333</v>
      </c>
      <c r="AG84">
        <v>15.56069588972885</v>
      </c>
      <c r="AH84">
        <v>25.216666666666669</v>
      </c>
      <c r="AI84">
        <f>10.1522696330641*1</f>
        <v>10.152269633064099</v>
      </c>
      <c r="AJ84">
        <f>2.17680264535046*1</f>
        <v>2.1768026453504601</v>
      </c>
      <c r="AK84">
        <v>1</v>
      </c>
      <c r="AL84">
        <v>0</v>
      </c>
      <c r="AM84">
        <v>0</v>
      </c>
    </row>
    <row r="85" spans="1:39" hidden="1" x14ac:dyDescent="0.2">
      <c r="A85" t="s">
        <v>219</v>
      </c>
      <c r="B85" t="s">
        <v>220</v>
      </c>
      <c r="C85" t="s">
        <v>219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6.4</v>
      </c>
      <c r="AE85">
        <v>411</v>
      </c>
      <c r="AF85">
        <v>23.005319148936149</v>
      </c>
      <c r="AG85">
        <v>25.608996546464549</v>
      </c>
      <c r="AH85">
        <v>18.864774575782612</v>
      </c>
      <c r="AI85">
        <f>18.0638686038482*1</f>
        <v>18.063868603848199</v>
      </c>
      <c r="AJ85">
        <f>3.73367198133947*1</f>
        <v>3.7336719813394699</v>
      </c>
      <c r="AK85">
        <v>1</v>
      </c>
      <c r="AL85">
        <v>0</v>
      </c>
      <c r="AM85">
        <v>0</v>
      </c>
    </row>
    <row r="86" spans="1:39" hidden="1" x14ac:dyDescent="0.2">
      <c r="A86" t="s">
        <v>221</v>
      </c>
      <c r="B86" t="s">
        <v>222</v>
      </c>
      <c r="C86" t="s">
        <v>223</v>
      </c>
      <c r="D86" t="s">
        <v>3</v>
      </c>
      <c r="E86">
        <v>1</v>
      </c>
      <c r="F86">
        <v>0</v>
      </c>
      <c r="G86">
        <v>0</v>
      </c>
      <c r="H86">
        <v>0</v>
      </c>
      <c r="I86" t="s">
        <v>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5.5</v>
      </c>
      <c r="AE86">
        <v>423</v>
      </c>
      <c r="AF86">
        <v>16.481834459893669</v>
      </c>
      <c r="AG86">
        <v>21.076090759594759</v>
      </c>
      <c r="AH86">
        <v>7.8456602499155697</v>
      </c>
      <c r="AI86">
        <f>8.89460001057039*1</f>
        <v>8.8946000105703895</v>
      </c>
      <c r="AJ86">
        <f>1.81405461131997*1</f>
        <v>1.81405461131997</v>
      </c>
      <c r="AK86">
        <v>1</v>
      </c>
      <c r="AL86">
        <v>0</v>
      </c>
      <c r="AM86">
        <v>0</v>
      </c>
    </row>
    <row r="87" spans="1:39" hidden="1" x14ac:dyDescent="0.2">
      <c r="A87" t="s">
        <v>224</v>
      </c>
      <c r="B87" t="s">
        <v>225</v>
      </c>
      <c r="C87" t="s">
        <v>225</v>
      </c>
      <c r="D87" t="s">
        <v>4</v>
      </c>
      <c r="E87">
        <v>0</v>
      </c>
      <c r="F87">
        <v>1</v>
      </c>
      <c r="G87">
        <v>0</v>
      </c>
      <c r="H87">
        <v>0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6.2</v>
      </c>
      <c r="AE87">
        <v>426</v>
      </c>
      <c r="AF87">
        <v>19.4871794871795</v>
      </c>
      <c r="AG87">
        <v>16.579362842520489</v>
      </c>
      <c r="AH87">
        <v>24.193096715243051</v>
      </c>
      <c r="AI87">
        <f>12.4069211936244*1</f>
        <v>12.406921193624401</v>
      </c>
      <c r="AJ87">
        <f>2.25436051876634*1</f>
        <v>2.2543605187663398</v>
      </c>
      <c r="AK87">
        <v>1</v>
      </c>
      <c r="AL87">
        <v>0</v>
      </c>
      <c r="AM87">
        <v>0</v>
      </c>
    </row>
    <row r="88" spans="1:39" hidden="1" x14ac:dyDescent="0.2">
      <c r="A88" t="s">
        <v>226</v>
      </c>
      <c r="B88" t="s">
        <v>227</v>
      </c>
      <c r="C88" t="s">
        <v>227</v>
      </c>
      <c r="D88" t="s">
        <v>6</v>
      </c>
      <c r="E88">
        <v>0</v>
      </c>
      <c r="F88">
        <v>0</v>
      </c>
      <c r="G88">
        <v>0</v>
      </c>
      <c r="H88">
        <v>1</v>
      </c>
      <c r="I88" t="s">
        <v>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</v>
      </c>
      <c r="AE88">
        <v>427</v>
      </c>
      <c r="AF88">
        <v>38.08219178082193</v>
      </c>
      <c r="AG88">
        <v>49.545539074567174</v>
      </c>
      <c r="AH88">
        <v>29.68304634642169</v>
      </c>
      <c r="AI88">
        <f>9.8217986986127*1</f>
        <v>9.8217986986126995</v>
      </c>
      <c r="AJ88">
        <f>1.79993090734484*1</f>
        <v>1.79993090734484</v>
      </c>
      <c r="AK88">
        <v>1</v>
      </c>
      <c r="AL88">
        <v>0</v>
      </c>
      <c r="AM88">
        <v>0</v>
      </c>
    </row>
    <row r="89" spans="1:39" hidden="1" x14ac:dyDescent="0.2">
      <c r="A89" t="s">
        <v>228</v>
      </c>
      <c r="B89" t="s">
        <v>229</v>
      </c>
      <c r="C89" t="s">
        <v>229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5.5</v>
      </c>
      <c r="AE89">
        <v>430</v>
      </c>
      <c r="AF89">
        <v>22.13973323358222</v>
      </c>
      <c r="AG89">
        <v>9.8345575305952178</v>
      </c>
      <c r="AH89">
        <v>19.849568740434929</v>
      </c>
      <c r="AI89">
        <f>0*0</f>
        <v>0</v>
      </c>
      <c r="AJ89">
        <f>1.02963004593489*0</f>
        <v>0</v>
      </c>
      <c r="AK89">
        <v>0</v>
      </c>
      <c r="AL89">
        <v>0</v>
      </c>
      <c r="AM89">
        <v>0</v>
      </c>
    </row>
    <row r="90" spans="1:39" hidden="1" x14ac:dyDescent="0.2">
      <c r="A90" t="s">
        <v>230</v>
      </c>
      <c r="B90" t="s">
        <v>231</v>
      </c>
      <c r="C90" t="s">
        <v>230</v>
      </c>
      <c r="D90" t="s">
        <v>4</v>
      </c>
      <c r="E90">
        <v>0</v>
      </c>
      <c r="F90">
        <v>1</v>
      </c>
      <c r="G90">
        <v>0</v>
      </c>
      <c r="H90">
        <v>0</v>
      </c>
      <c r="I90" t="s">
        <v>23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5.4</v>
      </c>
      <c r="AE90">
        <v>436</v>
      </c>
      <c r="AF90">
        <v>14.35483870967742</v>
      </c>
      <c r="AG90">
        <v>16.43894936968254</v>
      </c>
      <c r="AH90">
        <v>21.544570919276801</v>
      </c>
      <c r="AI90">
        <f>5.43384409797523*1</f>
        <v>5.4338440979752303</v>
      </c>
      <c r="AJ90">
        <f>1.03382248300051*1</f>
        <v>1.0338224830005101</v>
      </c>
      <c r="AK90">
        <v>1</v>
      </c>
      <c r="AL90">
        <v>0</v>
      </c>
      <c r="AM90">
        <v>0</v>
      </c>
    </row>
    <row r="91" spans="1:39" hidden="1" x14ac:dyDescent="0.2">
      <c r="A91" t="s">
        <v>232</v>
      </c>
      <c r="B91" t="s">
        <v>233</v>
      </c>
      <c r="C91" t="s">
        <v>233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6.5</v>
      </c>
      <c r="AE91">
        <v>441</v>
      </c>
      <c r="AF91">
        <v>16.841225997902111</v>
      </c>
      <c r="AG91">
        <v>20.802092735765541</v>
      </c>
      <c r="AH91">
        <v>13.48102565624351</v>
      </c>
      <c r="AI91">
        <f>10.5278683608188*1</f>
        <v>10.5278683608188</v>
      </c>
      <c r="AJ91">
        <f>1.90768513209833*1</f>
        <v>1.9076851320983299</v>
      </c>
      <c r="AK91">
        <v>1</v>
      </c>
      <c r="AL91">
        <v>0</v>
      </c>
      <c r="AM91">
        <v>0</v>
      </c>
    </row>
    <row r="92" spans="1:39" hidden="1" x14ac:dyDescent="0.2">
      <c r="A92" t="s">
        <v>234</v>
      </c>
      <c r="B92" t="s">
        <v>235</v>
      </c>
      <c r="C92" t="s">
        <v>234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4.9000000000000004</v>
      </c>
      <c r="AE92">
        <v>446</v>
      </c>
      <c r="AF92">
        <v>17.04545454545454</v>
      </c>
      <c r="AG92">
        <v>15.12405735574327</v>
      </c>
      <c r="AH92">
        <v>26.375</v>
      </c>
      <c r="AI92">
        <f>14.0468567085962*1</f>
        <v>14.0468567085962</v>
      </c>
      <c r="AJ92">
        <f>2.81263314640495*1</f>
        <v>2.8126331464049499</v>
      </c>
      <c r="AK92">
        <v>1</v>
      </c>
      <c r="AL92">
        <v>0</v>
      </c>
      <c r="AM92">
        <v>0</v>
      </c>
    </row>
    <row r="93" spans="1:39" hidden="1" x14ac:dyDescent="0.2">
      <c r="A93" t="s">
        <v>236</v>
      </c>
      <c r="B93" t="s">
        <v>237</v>
      </c>
      <c r="C93" t="s">
        <v>238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8.5</v>
      </c>
      <c r="AE93">
        <v>448</v>
      </c>
      <c r="AF93">
        <v>22.999999999999989</v>
      </c>
      <c r="AG93">
        <v>28.66359262615336</v>
      </c>
      <c r="AH93">
        <v>43.213027871034157</v>
      </c>
      <c r="AI93">
        <f>28.7345706893*1</f>
        <v>28.7345706893</v>
      </c>
      <c r="AJ93">
        <f>5.86993562104509*1</f>
        <v>5.8699356210450899</v>
      </c>
      <c r="AK93">
        <v>1</v>
      </c>
      <c r="AL93">
        <v>0</v>
      </c>
      <c r="AM93">
        <v>0</v>
      </c>
    </row>
    <row r="94" spans="1:39" hidden="1" x14ac:dyDescent="0.2">
      <c r="A94" t="s">
        <v>239</v>
      </c>
      <c r="B94" t="s">
        <v>240</v>
      </c>
      <c r="C94" t="s">
        <v>241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4.8</v>
      </c>
      <c r="AE94">
        <v>450</v>
      </c>
      <c r="AF94">
        <v>12.622950819672131</v>
      </c>
      <c r="AG94">
        <v>14.89641841562621</v>
      </c>
      <c r="AH94">
        <v>10.00015446767401</v>
      </c>
      <c r="AI94">
        <f>11.8281811942653*1</f>
        <v>11.8281811942653</v>
      </c>
      <c r="AJ94">
        <f>2.18732639243392*1</f>
        <v>2.1873263924339201</v>
      </c>
      <c r="AK94">
        <v>1</v>
      </c>
      <c r="AL94">
        <v>0</v>
      </c>
      <c r="AM94">
        <v>0</v>
      </c>
    </row>
    <row r="95" spans="1:39" x14ac:dyDescent="0.2">
      <c r="A95" t="s">
        <v>291</v>
      </c>
      <c r="B95" t="s">
        <v>292</v>
      </c>
      <c r="C95" t="s">
        <v>292</v>
      </c>
      <c r="D95" t="s">
        <v>6</v>
      </c>
      <c r="E95">
        <v>0</v>
      </c>
      <c r="F95">
        <v>0</v>
      </c>
      <c r="G95">
        <v>0</v>
      </c>
      <c r="H95">
        <v>1</v>
      </c>
      <c r="I95" t="s">
        <v>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6.6</v>
      </c>
      <c r="AE95">
        <v>537</v>
      </c>
      <c r="AF95">
        <v>19.901250344445931</v>
      </c>
      <c r="AG95">
        <v>15.33577625319057</v>
      </c>
      <c r="AH95">
        <v>25.261924676749999</v>
      </c>
      <c r="AI95">
        <f>22.6107974427754*1</f>
        <v>22.6107974427754</v>
      </c>
      <c r="AJ95">
        <f>4.46807054152445*1</f>
        <v>4.4680705415244502</v>
      </c>
      <c r="AK95">
        <v>1</v>
      </c>
      <c r="AL95">
        <v>1</v>
      </c>
      <c r="AM95">
        <v>1</v>
      </c>
    </row>
    <row r="96" spans="1:39" hidden="1" x14ac:dyDescent="0.2">
      <c r="A96" t="s">
        <v>245</v>
      </c>
      <c r="B96" t="s">
        <v>246</v>
      </c>
      <c r="C96" t="s">
        <v>246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6.4</v>
      </c>
      <c r="AE96">
        <v>454</v>
      </c>
      <c r="AF96">
        <v>17.505903248291769</v>
      </c>
      <c r="AG96">
        <v>15.577686417179359</v>
      </c>
      <c r="AH96">
        <v>15.189699970866769</v>
      </c>
      <c r="AI96">
        <f>10.3033629962237*1</f>
        <v>10.303362996223701</v>
      </c>
      <c r="AJ96">
        <f>2.28075992099492*1</f>
        <v>2.2807599209949201</v>
      </c>
      <c r="AK96">
        <v>1</v>
      </c>
      <c r="AL96">
        <v>0</v>
      </c>
      <c r="AM96">
        <v>0</v>
      </c>
    </row>
    <row r="97" spans="1:39" hidden="1" x14ac:dyDescent="0.2">
      <c r="A97" t="s">
        <v>247</v>
      </c>
      <c r="B97" t="s">
        <v>248</v>
      </c>
      <c r="C97" t="s">
        <v>249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4.4000000000000004</v>
      </c>
      <c r="AE97">
        <v>462</v>
      </c>
      <c r="AF97">
        <v>13.586956521739131</v>
      </c>
      <c r="AG97">
        <v>17.032400117813161</v>
      </c>
      <c r="AH97">
        <v>17.998920582575021</v>
      </c>
      <c r="AI97">
        <f>13.8791947724118*1</f>
        <v>13.8791947724118</v>
      </c>
      <c r="AJ97">
        <f>2.92568551053162*1</f>
        <v>2.9256855105316202</v>
      </c>
      <c r="AK97">
        <v>1</v>
      </c>
      <c r="AL97">
        <v>0</v>
      </c>
      <c r="AM97">
        <v>0</v>
      </c>
    </row>
    <row r="98" spans="1:39" x14ac:dyDescent="0.2">
      <c r="A98" t="s">
        <v>162</v>
      </c>
      <c r="B98" t="s">
        <v>304</v>
      </c>
      <c r="C98" t="s">
        <v>304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7.6</v>
      </c>
      <c r="AE98">
        <v>599</v>
      </c>
      <c r="AF98">
        <v>23.076180503563041</v>
      </c>
      <c r="AG98">
        <v>21.984119660412919</v>
      </c>
      <c r="AH98">
        <v>45.267249506389923</v>
      </c>
      <c r="AI98">
        <f>28.6065125445177*1</f>
        <v>28.606512544517699</v>
      </c>
      <c r="AJ98">
        <f>4.07539801894097*1</f>
        <v>4.0753980189409704</v>
      </c>
      <c r="AK98">
        <v>1</v>
      </c>
      <c r="AL98">
        <v>1</v>
      </c>
      <c r="AM98">
        <v>1</v>
      </c>
    </row>
    <row r="99" spans="1:39" hidden="1" x14ac:dyDescent="0.2">
      <c r="A99" t="s">
        <v>87</v>
      </c>
      <c r="B99" t="s">
        <v>252</v>
      </c>
      <c r="C99" t="s">
        <v>252</v>
      </c>
      <c r="D99" t="s">
        <v>5</v>
      </c>
      <c r="E99">
        <v>0</v>
      </c>
      <c r="F99">
        <v>0</v>
      </c>
      <c r="G99">
        <v>1</v>
      </c>
      <c r="H99">
        <v>0</v>
      </c>
      <c r="I99" t="s">
        <v>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6.9</v>
      </c>
      <c r="AE99">
        <v>467</v>
      </c>
      <c r="AF99">
        <v>24.026963552643711</v>
      </c>
      <c r="AG99">
        <v>23.87027138036839</v>
      </c>
      <c r="AH99">
        <v>45.177968098611402</v>
      </c>
      <c r="AI99">
        <f>16.724659195864*1</f>
        <v>16.724659195864</v>
      </c>
      <c r="AJ99">
        <f>3.10038677233036*1</f>
        <v>3.10038677233036</v>
      </c>
      <c r="AK99">
        <v>1</v>
      </c>
      <c r="AL99">
        <v>0</v>
      </c>
      <c r="AM99">
        <v>0</v>
      </c>
    </row>
    <row r="100" spans="1:39" hidden="1" x14ac:dyDescent="0.2">
      <c r="A100" t="s">
        <v>253</v>
      </c>
      <c r="B100" t="s">
        <v>254</v>
      </c>
      <c r="C100" t="s">
        <v>254</v>
      </c>
      <c r="D100" t="s">
        <v>6</v>
      </c>
      <c r="E100">
        <v>0</v>
      </c>
      <c r="F100">
        <v>0</v>
      </c>
      <c r="G100">
        <v>0</v>
      </c>
      <c r="H100">
        <v>1</v>
      </c>
      <c r="I100" t="s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6.6</v>
      </c>
      <c r="AE100">
        <v>469</v>
      </c>
      <c r="AF100">
        <v>0</v>
      </c>
      <c r="AG100">
        <v>0</v>
      </c>
      <c r="AH100">
        <v>0</v>
      </c>
      <c r="AI100">
        <f>0*1</f>
        <v>0</v>
      </c>
      <c r="AJ100">
        <f>0*1</f>
        <v>0</v>
      </c>
      <c r="AK100">
        <v>1</v>
      </c>
      <c r="AL100">
        <v>0</v>
      </c>
      <c r="AM100">
        <v>0</v>
      </c>
    </row>
    <row r="101" spans="1:39" hidden="1" x14ac:dyDescent="0.2">
      <c r="A101" t="s">
        <v>255</v>
      </c>
      <c r="B101" t="s">
        <v>256</v>
      </c>
      <c r="C101" t="s">
        <v>257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  <c r="AE101">
        <v>471</v>
      </c>
      <c r="AF101">
        <v>0</v>
      </c>
      <c r="AG101">
        <v>0</v>
      </c>
      <c r="AH101">
        <v>0</v>
      </c>
      <c r="AI101">
        <f>0*1</f>
        <v>0</v>
      </c>
      <c r="AJ101">
        <f>0*1</f>
        <v>0</v>
      </c>
      <c r="AK101">
        <v>1</v>
      </c>
      <c r="AL101">
        <v>0</v>
      </c>
      <c r="AM101">
        <v>0</v>
      </c>
    </row>
    <row r="102" spans="1:39" hidden="1" x14ac:dyDescent="0.2">
      <c r="A102" t="s">
        <v>258</v>
      </c>
      <c r="B102" t="s">
        <v>259</v>
      </c>
      <c r="C102" t="s">
        <v>259</v>
      </c>
      <c r="D102" t="s">
        <v>4</v>
      </c>
      <c r="E102">
        <v>0</v>
      </c>
      <c r="F102">
        <v>1</v>
      </c>
      <c r="G102">
        <v>0</v>
      </c>
      <c r="H102">
        <v>0</v>
      </c>
      <c r="I102" t="s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4.7</v>
      </c>
      <c r="AE102">
        <v>472</v>
      </c>
      <c r="AF102">
        <v>0</v>
      </c>
      <c r="AG102">
        <v>0</v>
      </c>
      <c r="AH102">
        <v>0</v>
      </c>
      <c r="AI102">
        <f>0*1</f>
        <v>0</v>
      </c>
      <c r="AJ102">
        <f>0*1</f>
        <v>0</v>
      </c>
      <c r="AK102">
        <v>1</v>
      </c>
      <c r="AL102">
        <v>0</v>
      </c>
      <c r="AM102">
        <v>0</v>
      </c>
    </row>
    <row r="103" spans="1:39" hidden="1" x14ac:dyDescent="0.2">
      <c r="A103" t="s">
        <v>260</v>
      </c>
      <c r="B103" t="s">
        <v>261</v>
      </c>
      <c r="C103" t="s">
        <v>261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6.3</v>
      </c>
      <c r="AE103">
        <v>481</v>
      </c>
      <c r="AF103">
        <v>19.92009270089013</v>
      </c>
      <c r="AG103">
        <v>19.71487663135305</v>
      </c>
      <c r="AH103">
        <v>10.95924509521841</v>
      </c>
      <c r="AI103">
        <f>8.20639159844263*1</f>
        <v>8.2063915984426306</v>
      </c>
      <c r="AJ103">
        <f>1.73016514360863*1</f>
        <v>1.7301651436086301</v>
      </c>
      <c r="AK103">
        <v>1</v>
      </c>
      <c r="AL103">
        <v>0</v>
      </c>
      <c r="AM103">
        <v>0</v>
      </c>
    </row>
    <row r="104" spans="1:39" hidden="1" x14ac:dyDescent="0.2">
      <c r="A104" t="s">
        <v>236</v>
      </c>
      <c r="B104" t="s">
        <v>262</v>
      </c>
      <c r="C104" t="s">
        <v>263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6.1</v>
      </c>
      <c r="AE104">
        <v>483</v>
      </c>
      <c r="AF104">
        <v>18.118279569892469</v>
      </c>
      <c r="AG104">
        <v>16.30272683464225</v>
      </c>
      <c r="AH104">
        <v>16.55282280826513</v>
      </c>
      <c r="AI104">
        <f>6.40075313355536*1</f>
        <v>6.4007531335553596</v>
      </c>
      <c r="AJ104">
        <f>1.26567489334305*1</f>
        <v>1.2656748933430499</v>
      </c>
      <c r="AK104">
        <v>1</v>
      </c>
      <c r="AL104">
        <v>0</v>
      </c>
      <c r="AM104">
        <v>0</v>
      </c>
    </row>
    <row r="105" spans="1:39" hidden="1" x14ac:dyDescent="0.2">
      <c r="A105" t="s">
        <v>264</v>
      </c>
      <c r="B105" t="s">
        <v>265</v>
      </c>
      <c r="C105" t="s">
        <v>265</v>
      </c>
      <c r="D105" t="s">
        <v>4</v>
      </c>
      <c r="E105">
        <v>0</v>
      </c>
      <c r="F105">
        <v>1</v>
      </c>
      <c r="G105">
        <v>0</v>
      </c>
      <c r="H105">
        <v>0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4.4000000000000004</v>
      </c>
      <c r="AE105">
        <v>484</v>
      </c>
      <c r="AF105">
        <v>14.414537040203591</v>
      </c>
      <c r="AG105">
        <v>15.262915788054871</v>
      </c>
      <c r="AH105">
        <v>17.873280652975591</v>
      </c>
      <c r="AI105">
        <f>11.6204312660089*1</f>
        <v>11.6204312660089</v>
      </c>
      <c r="AJ105">
        <f>2.19697777608798*1</f>
        <v>2.1969777760879801</v>
      </c>
      <c r="AK105">
        <v>1</v>
      </c>
      <c r="AL105">
        <v>0</v>
      </c>
      <c r="AM105">
        <v>0</v>
      </c>
    </row>
    <row r="106" spans="1:39" hidden="1" x14ac:dyDescent="0.2">
      <c r="A106" t="s">
        <v>266</v>
      </c>
      <c r="B106" t="s">
        <v>267</v>
      </c>
      <c r="C106" t="s">
        <v>267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7.2</v>
      </c>
      <c r="AE106">
        <v>486</v>
      </c>
      <c r="AF106">
        <v>16.095172422405689</v>
      </c>
      <c r="AG106">
        <v>12.44535402516099</v>
      </c>
      <c r="AH106">
        <v>14.508859744950451</v>
      </c>
      <c r="AI106">
        <f>5.75638980723518*1</f>
        <v>5.7563898072351796</v>
      </c>
      <c r="AJ106">
        <f>1.15001962137242*1</f>
        <v>1.1500196213724201</v>
      </c>
      <c r="AK106">
        <v>1</v>
      </c>
      <c r="AL106">
        <v>0</v>
      </c>
      <c r="AM106">
        <v>0</v>
      </c>
    </row>
    <row r="107" spans="1:39" hidden="1" x14ac:dyDescent="0.2">
      <c r="A107" t="s">
        <v>79</v>
      </c>
      <c r="B107" t="s">
        <v>268</v>
      </c>
      <c r="C107" t="s">
        <v>268</v>
      </c>
      <c r="D107" t="s">
        <v>4</v>
      </c>
      <c r="E107">
        <v>0</v>
      </c>
      <c r="F107">
        <v>1</v>
      </c>
      <c r="G107">
        <v>0</v>
      </c>
      <c r="H107">
        <v>0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4.4000000000000004</v>
      </c>
      <c r="AE107">
        <v>487</v>
      </c>
      <c r="AF107">
        <v>11.891891891891889</v>
      </c>
      <c r="AG107">
        <v>11.45412071948339</v>
      </c>
      <c r="AH107">
        <v>10.8</v>
      </c>
      <c r="AI107">
        <f>11.8781282038214*1</f>
        <v>11.878128203821401</v>
      </c>
      <c r="AJ107">
        <f>2.41711058994583*1</f>
        <v>2.4171105899458301</v>
      </c>
      <c r="AK107">
        <v>1</v>
      </c>
      <c r="AL107">
        <v>0</v>
      </c>
      <c r="AM107">
        <v>0</v>
      </c>
    </row>
    <row r="108" spans="1:39" hidden="1" x14ac:dyDescent="0.2">
      <c r="A108" t="s">
        <v>269</v>
      </c>
      <c r="B108" t="s">
        <v>270</v>
      </c>
      <c r="C108" t="s">
        <v>270</v>
      </c>
      <c r="D108" t="s">
        <v>6</v>
      </c>
      <c r="E108">
        <v>0</v>
      </c>
      <c r="F108">
        <v>0</v>
      </c>
      <c r="G108">
        <v>0</v>
      </c>
      <c r="H108">
        <v>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8.5</v>
      </c>
      <c r="AE108">
        <v>489</v>
      </c>
      <c r="AF108">
        <v>26.083333333333339</v>
      </c>
      <c r="AG108">
        <v>25.53632566259909</v>
      </c>
      <c r="AH108">
        <v>20.45685238944063</v>
      </c>
      <c r="AI108">
        <f>14.2930010292823*1</f>
        <v>14.2930010292823</v>
      </c>
      <c r="AJ108">
        <f>3.01939317193134*1</f>
        <v>3.0193931719313398</v>
      </c>
      <c r="AK108">
        <v>1</v>
      </c>
      <c r="AL108">
        <v>0</v>
      </c>
      <c r="AM108">
        <v>0</v>
      </c>
    </row>
    <row r="109" spans="1:39" hidden="1" x14ac:dyDescent="0.2">
      <c r="A109" t="s">
        <v>271</v>
      </c>
      <c r="B109" t="s">
        <v>272</v>
      </c>
      <c r="C109" t="s">
        <v>273</v>
      </c>
      <c r="D109" t="s">
        <v>5</v>
      </c>
      <c r="E109">
        <v>0</v>
      </c>
      <c r="F109">
        <v>0</v>
      </c>
      <c r="G109">
        <v>1</v>
      </c>
      <c r="H109">
        <v>0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491</v>
      </c>
      <c r="AF109">
        <v>13.000000000000011</v>
      </c>
      <c r="AG109">
        <v>11.38212577096372</v>
      </c>
      <c r="AH109">
        <v>18.144548511866152</v>
      </c>
      <c r="AI109">
        <f>12.1382397428679*1</f>
        <v>12.138239742867899</v>
      </c>
      <c r="AJ109">
        <f>2.44506452379261*1</f>
        <v>2.4450645237926101</v>
      </c>
      <c r="AK109">
        <v>1</v>
      </c>
      <c r="AL109">
        <v>0</v>
      </c>
      <c r="AM109">
        <v>0</v>
      </c>
    </row>
    <row r="110" spans="1:39" hidden="1" x14ac:dyDescent="0.2">
      <c r="A110" t="s">
        <v>274</v>
      </c>
      <c r="B110" t="s">
        <v>275</v>
      </c>
      <c r="C110" t="s">
        <v>275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4.5</v>
      </c>
      <c r="AE110">
        <v>497</v>
      </c>
      <c r="AF110">
        <v>10.226227033551391</v>
      </c>
      <c r="AG110">
        <v>13.243873671937941</v>
      </c>
      <c r="AH110">
        <v>8.6666666666666661</v>
      </c>
      <c r="AI110">
        <f>8.0997661050912*1</f>
        <v>8.0997661050912004</v>
      </c>
      <c r="AJ110">
        <f>1.59109076844178*1</f>
        <v>1.5910907684417801</v>
      </c>
      <c r="AK110">
        <v>1</v>
      </c>
      <c r="AL110">
        <v>0</v>
      </c>
      <c r="AM110">
        <v>0</v>
      </c>
    </row>
    <row r="111" spans="1:39" hidden="1" x14ac:dyDescent="0.2">
      <c r="A111" t="s">
        <v>276</v>
      </c>
      <c r="B111" t="s">
        <v>277</v>
      </c>
      <c r="C111" t="s">
        <v>277</v>
      </c>
      <c r="D111" t="s">
        <v>3</v>
      </c>
      <c r="E111">
        <v>1</v>
      </c>
      <c r="F111">
        <v>0</v>
      </c>
      <c r="G111">
        <v>0</v>
      </c>
      <c r="H111">
        <v>0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>
        <v>501</v>
      </c>
      <c r="AF111">
        <v>20.375000000000011</v>
      </c>
      <c r="AG111">
        <v>20.85299586748426</v>
      </c>
      <c r="AH111">
        <v>12.63350148445288</v>
      </c>
      <c r="AI111">
        <f>12.2569597429067*1</f>
        <v>12.2569597429067</v>
      </c>
      <c r="AJ111">
        <f>2.37300428328646*1</f>
        <v>2.37300428328646</v>
      </c>
      <c r="AK111">
        <v>1</v>
      </c>
      <c r="AL111">
        <v>0</v>
      </c>
      <c r="AM111">
        <v>0</v>
      </c>
    </row>
    <row r="112" spans="1:39" hidden="1" x14ac:dyDescent="0.2">
      <c r="A112" t="s">
        <v>278</v>
      </c>
      <c r="B112" t="s">
        <v>279</v>
      </c>
      <c r="C112" t="s">
        <v>279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5.4</v>
      </c>
      <c r="AE112">
        <v>503</v>
      </c>
      <c r="AF112">
        <v>14.19563173574981</v>
      </c>
      <c r="AG112">
        <v>17.025255990519579</v>
      </c>
      <c r="AH112">
        <v>8.5431025775395355</v>
      </c>
      <c r="AI112">
        <f>8.50876428775597*1</f>
        <v>8.5087642877559695</v>
      </c>
      <c r="AJ112">
        <f>1.6951615822894*1</f>
        <v>1.6951615822893999</v>
      </c>
      <c r="AK112">
        <v>1</v>
      </c>
      <c r="AL112">
        <v>0</v>
      </c>
      <c r="AM112">
        <v>0</v>
      </c>
    </row>
    <row r="113" spans="1:39" x14ac:dyDescent="0.2">
      <c r="A113" t="s">
        <v>250</v>
      </c>
      <c r="B113" t="s">
        <v>251</v>
      </c>
      <c r="C113" t="s">
        <v>251</v>
      </c>
      <c r="D113" t="s">
        <v>3</v>
      </c>
      <c r="E113">
        <v>1</v>
      </c>
      <c r="F113">
        <v>0</v>
      </c>
      <c r="G113">
        <v>0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5.2</v>
      </c>
      <c r="AE113">
        <v>465</v>
      </c>
      <c r="AF113">
        <v>19.2</v>
      </c>
      <c r="AG113">
        <v>14.12572835537722</v>
      </c>
      <c r="AH113">
        <v>31.976789285746179</v>
      </c>
      <c r="AI113">
        <f>21.2349002654697*1</f>
        <v>21.234900265469701</v>
      </c>
      <c r="AJ113">
        <f>4.05906484023092*1</f>
        <v>4.0590648402309197</v>
      </c>
      <c r="AK113">
        <v>1</v>
      </c>
      <c r="AL113">
        <v>1</v>
      </c>
      <c r="AM113">
        <v>1</v>
      </c>
    </row>
    <row r="114" spans="1:39" hidden="1" x14ac:dyDescent="0.2">
      <c r="A114" t="s">
        <v>282</v>
      </c>
      <c r="B114" t="s">
        <v>283</v>
      </c>
      <c r="C114" t="s">
        <v>283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514</v>
      </c>
      <c r="AF114">
        <v>9.3309774681837023</v>
      </c>
      <c r="AG114">
        <v>7.5108002673939342</v>
      </c>
      <c r="AH114">
        <v>12</v>
      </c>
      <c r="AI114">
        <f>7.04231641644184*1</f>
        <v>7.0423164164418397</v>
      </c>
      <c r="AJ114">
        <f>1.52241144572189*1</f>
        <v>1.52241144572189</v>
      </c>
      <c r="AK114">
        <v>1</v>
      </c>
      <c r="AL114">
        <v>0</v>
      </c>
      <c r="AM114">
        <v>0</v>
      </c>
    </row>
    <row r="115" spans="1:39" hidden="1" x14ac:dyDescent="0.2">
      <c r="A115" t="s">
        <v>266</v>
      </c>
      <c r="B115" t="s">
        <v>284</v>
      </c>
      <c r="C115" t="s">
        <v>284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5.0999999999999996</v>
      </c>
      <c r="AE115">
        <v>523</v>
      </c>
      <c r="AF115">
        <v>13.56650920066461</v>
      </c>
      <c r="AG115">
        <v>15.9514766294028</v>
      </c>
      <c r="AH115">
        <v>7.1333333333333329</v>
      </c>
      <c r="AI115">
        <f>7.82475453809612*1</f>
        <v>7.8247545380961201</v>
      </c>
      <c r="AJ115">
        <f>1.77253815452913*1</f>
        <v>1.7725381545291301</v>
      </c>
      <c r="AK115">
        <v>1</v>
      </c>
      <c r="AL115">
        <v>0</v>
      </c>
      <c r="AM115">
        <v>0</v>
      </c>
    </row>
    <row r="116" spans="1:39" hidden="1" x14ac:dyDescent="0.2">
      <c r="A116" t="s">
        <v>285</v>
      </c>
      <c r="B116" t="s">
        <v>286</v>
      </c>
      <c r="C116" t="s">
        <v>286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5.4</v>
      </c>
      <c r="AE116">
        <v>525</v>
      </c>
      <c r="AF116">
        <v>15.04587155963301</v>
      </c>
      <c r="AG116">
        <v>11.200152916574391</v>
      </c>
      <c r="AH116">
        <v>19.895611653722941</v>
      </c>
      <c r="AI116">
        <f>11.1459988457461*1</f>
        <v>11.145998845746099</v>
      </c>
      <c r="AJ116">
        <f>2.00521719373865*1</f>
        <v>2.00521719373865</v>
      </c>
      <c r="AK116">
        <v>1</v>
      </c>
      <c r="AL116">
        <v>0</v>
      </c>
      <c r="AM116">
        <v>0</v>
      </c>
    </row>
    <row r="117" spans="1:39" hidden="1" x14ac:dyDescent="0.2">
      <c r="A117" t="s">
        <v>287</v>
      </c>
      <c r="B117" t="s">
        <v>288</v>
      </c>
      <c r="C117" t="s">
        <v>287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4.5999999999999996</v>
      </c>
      <c r="AE117">
        <v>527</v>
      </c>
      <c r="AF117">
        <v>12.335081784098699</v>
      </c>
      <c r="AG117">
        <v>11.01341343205724</v>
      </c>
      <c r="AH117">
        <v>19.66808096437645</v>
      </c>
      <c r="AI117">
        <f>9.58264850440272*1</f>
        <v>9.5826485044027194</v>
      </c>
      <c r="AJ117">
        <f>1.74028235107607*1</f>
        <v>1.7402823510760701</v>
      </c>
      <c r="AK117">
        <v>1</v>
      </c>
      <c r="AL117">
        <v>0</v>
      </c>
      <c r="AM117">
        <v>0</v>
      </c>
    </row>
    <row r="118" spans="1:39" x14ac:dyDescent="0.2">
      <c r="A118" t="s">
        <v>105</v>
      </c>
      <c r="B118" t="s">
        <v>106</v>
      </c>
      <c r="C118" t="s">
        <v>106</v>
      </c>
      <c r="D118" t="s">
        <v>6</v>
      </c>
      <c r="E118">
        <v>0</v>
      </c>
      <c r="F118">
        <v>0</v>
      </c>
      <c r="G118">
        <v>0</v>
      </c>
      <c r="H118">
        <v>1</v>
      </c>
      <c r="I118" t="s">
        <v>14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6.1</v>
      </c>
      <c r="AE118">
        <v>127</v>
      </c>
      <c r="AF118">
        <v>27.639887759506649</v>
      </c>
      <c r="AG118">
        <v>13.81742192264783</v>
      </c>
      <c r="AH118">
        <v>48.349451854168237</v>
      </c>
      <c r="AI118">
        <f>18.645630269736*1</f>
        <v>18.645630269735999</v>
      </c>
      <c r="AJ118">
        <f>3.38513875745217*1</f>
        <v>3.3851387574521699</v>
      </c>
      <c r="AK118">
        <v>1</v>
      </c>
      <c r="AL118">
        <v>1</v>
      </c>
      <c r="AM118">
        <v>1</v>
      </c>
    </row>
    <row r="119" spans="1:39" x14ac:dyDescent="0.2">
      <c r="A119" t="s">
        <v>200</v>
      </c>
      <c r="B119" t="s">
        <v>201</v>
      </c>
      <c r="C119" t="s">
        <v>201</v>
      </c>
      <c r="D119" t="s">
        <v>4</v>
      </c>
      <c r="E119">
        <v>0</v>
      </c>
      <c r="F119">
        <v>1</v>
      </c>
      <c r="G119">
        <v>0</v>
      </c>
      <c r="H119">
        <v>0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6.9</v>
      </c>
      <c r="AE119">
        <v>385</v>
      </c>
      <c r="AF119">
        <v>26.1493893241169</v>
      </c>
      <c r="AG119">
        <v>28.804494742507892</v>
      </c>
      <c r="AH119">
        <v>20.31285091517621</v>
      </c>
      <c r="AI119">
        <f>14.5990044263578*1</f>
        <v>14.5990044263578</v>
      </c>
      <c r="AJ119">
        <f>2.98431634685525*1</f>
        <v>2.98431634685525</v>
      </c>
      <c r="AK119">
        <v>1</v>
      </c>
      <c r="AL119">
        <v>1</v>
      </c>
      <c r="AM119">
        <v>1</v>
      </c>
    </row>
    <row r="120" spans="1:39" hidden="1" x14ac:dyDescent="0.2">
      <c r="A120" t="s">
        <v>77</v>
      </c>
      <c r="B120" t="s">
        <v>293</v>
      </c>
      <c r="C120" t="s">
        <v>293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4.9000000000000004</v>
      </c>
      <c r="AE120">
        <v>539</v>
      </c>
      <c r="AF120">
        <v>9.864864864864872</v>
      </c>
      <c r="AG120">
        <v>7.2802271948184663</v>
      </c>
      <c r="AH120">
        <v>7.2772147007205827</v>
      </c>
      <c r="AI120">
        <f>10.1049971327571*1</f>
        <v>10.1049971327571</v>
      </c>
      <c r="AJ120">
        <f>2.00463499566106*1</f>
        <v>2.0046349956610601</v>
      </c>
      <c r="AK120">
        <v>1</v>
      </c>
      <c r="AL120">
        <v>0</v>
      </c>
      <c r="AM120">
        <v>0</v>
      </c>
    </row>
    <row r="121" spans="1:39" hidden="1" x14ac:dyDescent="0.2">
      <c r="A121" t="s">
        <v>294</v>
      </c>
      <c r="B121" t="s">
        <v>295</v>
      </c>
      <c r="C121" t="s">
        <v>295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5.0999999999999996</v>
      </c>
      <c r="AE121">
        <v>552</v>
      </c>
      <c r="AF121">
        <v>12.22952159190717</v>
      </c>
      <c r="AG121">
        <v>10.91748243662582</v>
      </c>
      <c r="AH121">
        <v>19.649999999999999</v>
      </c>
      <c r="AI121">
        <f>12.186694307055*1</f>
        <v>12.186694307054999</v>
      </c>
      <c r="AJ121">
        <f>2.70290491825735*1</f>
        <v>2.7029049182573499</v>
      </c>
      <c r="AK121">
        <v>1</v>
      </c>
      <c r="AL121">
        <v>0</v>
      </c>
      <c r="AM121">
        <v>0</v>
      </c>
    </row>
    <row r="122" spans="1:39" hidden="1" x14ac:dyDescent="0.2">
      <c r="A122" t="s">
        <v>296</v>
      </c>
      <c r="B122" t="s">
        <v>297</v>
      </c>
      <c r="C122" t="s">
        <v>297</v>
      </c>
      <c r="D122" t="s">
        <v>4</v>
      </c>
      <c r="E122">
        <v>0</v>
      </c>
      <c r="F122">
        <v>1</v>
      </c>
      <c r="G122">
        <v>0</v>
      </c>
      <c r="H122">
        <v>0</v>
      </c>
      <c r="I122" t="s">
        <v>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4.4000000000000004</v>
      </c>
      <c r="AE122">
        <v>575</v>
      </c>
      <c r="AF122">
        <v>7.869028479214335</v>
      </c>
      <c r="AG122">
        <v>14.745297085607319</v>
      </c>
      <c r="AH122">
        <v>6.2582657447405614</v>
      </c>
      <c r="AI122">
        <f>9.22632189166384*1</f>
        <v>9.2263218916638401</v>
      </c>
      <c r="AJ122">
        <f>1.51554987391166*1</f>
        <v>1.51554987391166</v>
      </c>
      <c r="AK122">
        <v>1</v>
      </c>
      <c r="AL122">
        <v>0</v>
      </c>
      <c r="AM122">
        <v>0</v>
      </c>
    </row>
    <row r="123" spans="1:39" hidden="1" x14ac:dyDescent="0.2">
      <c r="A123" t="s">
        <v>298</v>
      </c>
      <c r="B123" t="s">
        <v>299</v>
      </c>
      <c r="C123" t="s">
        <v>299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4.8</v>
      </c>
      <c r="AE123">
        <v>578</v>
      </c>
      <c r="AF123">
        <v>11.61673479941418</v>
      </c>
      <c r="AG123">
        <v>7.2458398816697853</v>
      </c>
      <c r="AH123">
        <v>8.359623207864562</v>
      </c>
      <c r="AI123">
        <f>11.5190015997819*1</f>
        <v>11.5190015997819</v>
      </c>
      <c r="AJ123">
        <f>3.01905110179635*1</f>
        <v>3.0190511017963502</v>
      </c>
      <c r="AK123">
        <v>1</v>
      </c>
      <c r="AL123">
        <v>0</v>
      </c>
      <c r="AM123">
        <v>0</v>
      </c>
    </row>
    <row r="124" spans="1:39" x14ac:dyDescent="0.2">
      <c r="A124" t="s">
        <v>280</v>
      </c>
      <c r="B124" t="s">
        <v>281</v>
      </c>
      <c r="C124" t="s">
        <v>281</v>
      </c>
      <c r="D124" t="s">
        <v>4</v>
      </c>
      <c r="E124">
        <v>0</v>
      </c>
      <c r="F124">
        <v>1</v>
      </c>
      <c r="G124">
        <v>0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4.9000000000000004</v>
      </c>
      <c r="AE124">
        <v>513</v>
      </c>
      <c r="AF124">
        <v>16.28994818393728</v>
      </c>
      <c r="AG124">
        <v>14.522101302627281</v>
      </c>
      <c r="AH124">
        <v>18.204966046560841</v>
      </c>
      <c r="AI124">
        <f>12.420092531105*1</f>
        <v>12.420092531105</v>
      </c>
      <c r="AJ124">
        <f>1.90064286096353*1</f>
        <v>1.90064286096353</v>
      </c>
      <c r="AK124">
        <v>1</v>
      </c>
      <c r="AL124">
        <v>1</v>
      </c>
      <c r="AM124">
        <v>1</v>
      </c>
    </row>
    <row r="125" spans="1:39" hidden="1" x14ac:dyDescent="0.2">
      <c r="A125" t="s">
        <v>302</v>
      </c>
      <c r="B125" t="s">
        <v>303</v>
      </c>
      <c r="C125" t="s">
        <v>303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6.3</v>
      </c>
      <c r="AE125">
        <v>597</v>
      </c>
      <c r="AF125">
        <v>19.230769230769219</v>
      </c>
      <c r="AG125">
        <v>22.405719262009821</v>
      </c>
      <c r="AH125">
        <v>8.3515865691852511</v>
      </c>
      <c r="AI125">
        <f>19.7969802805574*1</f>
        <v>19.796980280557399</v>
      </c>
      <c r="AJ125">
        <f>3.88461407838931*1</f>
        <v>3.8846140783893102</v>
      </c>
      <c r="AK125">
        <v>1</v>
      </c>
      <c r="AL125">
        <v>0</v>
      </c>
      <c r="AM125">
        <v>0</v>
      </c>
    </row>
    <row r="126" spans="1:39" x14ac:dyDescent="0.2">
      <c r="A126" t="s">
        <v>215</v>
      </c>
      <c r="B126" t="s">
        <v>216</v>
      </c>
      <c r="C126" t="s">
        <v>216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5.9</v>
      </c>
      <c r="AE126">
        <v>408</v>
      </c>
      <c r="AF126">
        <v>19.346804852608411</v>
      </c>
      <c r="AG126">
        <v>21.01898176287321</v>
      </c>
      <c r="AH126">
        <v>33.475506003658182</v>
      </c>
      <c r="AI126">
        <f>11.0440971313046*1</f>
        <v>11.0440971313046</v>
      </c>
      <c r="AJ126">
        <f>1.85669175651946*1</f>
        <v>1.8566917565194601</v>
      </c>
      <c r="AK126">
        <v>1</v>
      </c>
      <c r="AL126">
        <v>1</v>
      </c>
      <c r="AM126">
        <v>1</v>
      </c>
    </row>
    <row r="127" spans="1:39" hidden="1" x14ac:dyDescent="0.2">
      <c r="A127" t="s">
        <v>136</v>
      </c>
      <c r="B127" t="s">
        <v>305</v>
      </c>
      <c r="C127" t="s">
        <v>306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28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5.6</v>
      </c>
      <c r="AE127">
        <v>600</v>
      </c>
      <c r="AF127">
        <v>19.344262295081968</v>
      </c>
      <c r="AG127">
        <v>24.37142100518594</v>
      </c>
      <c r="AH127">
        <v>37.41683847402598</v>
      </c>
      <c r="AI127">
        <f>20.939156426645*1</f>
        <v>20.939156426644999</v>
      </c>
      <c r="AJ127">
        <f>4.92884981944628*1</f>
        <v>4.9288498194462802</v>
      </c>
      <c r="AK127">
        <v>1</v>
      </c>
      <c r="AL127">
        <v>0</v>
      </c>
      <c r="AM127">
        <v>0</v>
      </c>
    </row>
    <row r="128" spans="1:39" hidden="1" x14ac:dyDescent="0.2">
      <c r="A128" t="s">
        <v>307</v>
      </c>
      <c r="B128" t="s">
        <v>308</v>
      </c>
      <c r="C128" t="s">
        <v>307</v>
      </c>
      <c r="D128" t="s">
        <v>5</v>
      </c>
      <c r="E128">
        <v>0</v>
      </c>
      <c r="F128">
        <v>0</v>
      </c>
      <c r="G128">
        <v>1</v>
      </c>
      <c r="H128">
        <v>0</v>
      </c>
      <c r="I128" t="s">
        <v>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9.9</v>
      </c>
      <c r="AE128">
        <v>607</v>
      </c>
      <c r="AF128">
        <v>26.80177769699738</v>
      </c>
      <c r="AG128">
        <v>29.755447515722871</v>
      </c>
      <c r="AH128">
        <v>23.442105263157899</v>
      </c>
      <c r="AI128">
        <f>23.847126811613*1</f>
        <v>23.847126811612998</v>
      </c>
      <c r="AJ128">
        <f>5.0361012543545*1</f>
        <v>5.0361012543544996</v>
      </c>
      <c r="AK128">
        <v>1</v>
      </c>
      <c r="AL128">
        <v>0</v>
      </c>
      <c r="AM128">
        <v>0</v>
      </c>
    </row>
    <row r="129" spans="1:39" hidden="1" x14ac:dyDescent="0.2">
      <c r="A129" t="s">
        <v>309</v>
      </c>
      <c r="B129" t="s">
        <v>310</v>
      </c>
      <c r="C129" t="s">
        <v>310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4.9000000000000004</v>
      </c>
      <c r="AE129">
        <v>609</v>
      </c>
      <c r="AF129">
        <v>13.41463414634147</v>
      </c>
      <c r="AG129">
        <v>14.07649881654033</v>
      </c>
      <c r="AH129">
        <v>12.453970116880029</v>
      </c>
      <c r="AI129">
        <f>11.4732506328425*1</f>
        <v>11.4732506328425</v>
      </c>
      <c r="AJ129">
        <f>2.19612595854334*1</f>
        <v>2.1961259585433401</v>
      </c>
      <c r="AK129">
        <v>1</v>
      </c>
      <c r="AL129">
        <v>0</v>
      </c>
      <c r="AM129">
        <v>0</v>
      </c>
    </row>
    <row r="130" spans="1:39" hidden="1" x14ac:dyDescent="0.2">
      <c r="A130" t="s">
        <v>311</v>
      </c>
      <c r="B130" t="s">
        <v>312</v>
      </c>
      <c r="C130" t="s">
        <v>312</v>
      </c>
      <c r="D130" t="s">
        <v>3</v>
      </c>
      <c r="E130">
        <v>1</v>
      </c>
      <c r="F130">
        <v>0</v>
      </c>
      <c r="G130">
        <v>0</v>
      </c>
      <c r="H130">
        <v>0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5</v>
      </c>
      <c r="AE130">
        <v>612</v>
      </c>
      <c r="AF130">
        <v>15.208333333333339</v>
      </c>
      <c r="AG130">
        <v>9.5616760423358347</v>
      </c>
      <c r="AH130">
        <v>19.545275304267001</v>
      </c>
      <c r="AI130">
        <f>8.50678368448118*1</f>
        <v>8.5067836844811797</v>
      </c>
      <c r="AJ130">
        <f>1.787219562498*1</f>
        <v>1.7872195624980001</v>
      </c>
      <c r="AK130">
        <v>1</v>
      </c>
      <c r="AL130">
        <v>0</v>
      </c>
      <c r="AM130">
        <v>0</v>
      </c>
    </row>
    <row r="131" spans="1:39" hidden="1" x14ac:dyDescent="0.2">
      <c r="A131" t="s">
        <v>313</v>
      </c>
      <c r="B131" t="s">
        <v>314</v>
      </c>
      <c r="C131" t="s">
        <v>314</v>
      </c>
      <c r="D131" t="s">
        <v>5</v>
      </c>
      <c r="E131">
        <v>0</v>
      </c>
      <c r="F131">
        <v>0</v>
      </c>
      <c r="G131">
        <v>1</v>
      </c>
      <c r="H131">
        <v>0</v>
      </c>
      <c r="I131" t="s">
        <v>28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6.2</v>
      </c>
      <c r="AE131">
        <v>613</v>
      </c>
      <c r="AF131">
        <v>17.22972972972974</v>
      </c>
      <c r="AG131">
        <v>17.230008817682709</v>
      </c>
      <c r="AH131">
        <v>11.625</v>
      </c>
      <c r="AI131">
        <f>11.9538799228752*1</f>
        <v>11.953879922875201</v>
      </c>
      <c r="AJ131">
        <f>2.56415244279473*1</f>
        <v>2.5641524427947302</v>
      </c>
      <c r="AK131">
        <v>1</v>
      </c>
      <c r="AL131">
        <v>0</v>
      </c>
      <c r="AM131">
        <v>0</v>
      </c>
    </row>
    <row r="132" spans="1:39" hidden="1" x14ac:dyDescent="0.2">
      <c r="A132" t="s">
        <v>315</v>
      </c>
      <c r="B132" t="s">
        <v>316</v>
      </c>
      <c r="C132" t="s">
        <v>316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4.4000000000000004</v>
      </c>
      <c r="AE132">
        <v>621</v>
      </c>
      <c r="AF132">
        <v>16.235294117647051</v>
      </c>
      <c r="AG132">
        <v>14.542245739569809</v>
      </c>
      <c r="AH132">
        <v>39.642790788970103</v>
      </c>
      <c r="AI132">
        <f>20.0057255186304*1</f>
        <v>20.005725518630399</v>
      </c>
      <c r="AJ132">
        <f>3.75672503794103*1</f>
        <v>3.7567250379410302</v>
      </c>
      <c r="AK132">
        <v>1</v>
      </c>
      <c r="AL132">
        <v>0</v>
      </c>
      <c r="AM132">
        <v>0</v>
      </c>
    </row>
    <row r="133" spans="1:39" hidden="1" x14ac:dyDescent="0.2">
      <c r="A133" t="s">
        <v>317</v>
      </c>
      <c r="B133" t="s">
        <v>318</v>
      </c>
      <c r="C133" t="s">
        <v>318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7.4</v>
      </c>
      <c r="AE133">
        <v>625</v>
      </c>
      <c r="AF133">
        <v>22.49126887005345</v>
      </c>
      <c r="AG133">
        <v>24.242513183765329</v>
      </c>
      <c r="AH133">
        <v>23.129512237389829</v>
      </c>
      <c r="AI133">
        <f>12.9166311764155*1</f>
        <v>12.9166311764155</v>
      </c>
      <c r="AJ133">
        <f>2.52876835749851*1</f>
        <v>2.5287683574985098</v>
      </c>
      <c r="AK133">
        <v>1</v>
      </c>
      <c r="AL133">
        <v>0</v>
      </c>
      <c r="AM133">
        <v>0</v>
      </c>
    </row>
    <row r="134" spans="1:39" hidden="1" x14ac:dyDescent="0.2">
      <c r="A134" t="s">
        <v>319</v>
      </c>
      <c r="B134" t="s">
        <v>320</v>
      </c>
      <c r="C134" t="s">
        <v>319</v>
      </c>
      <c r="D134" t="s">
        <v>4</v>
      </c>
      <c r="E134">
        <v>0</v>
      </c>
      <c r="F134">
        <v>1</v>
      </c>
      <c r="G134">
        <v>0</v>
      </c>
      <c r="H134">
        <v>0</v>
      </c>
      <c r="I134" t="s">
        <v>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4.4000000000000004</v>
      </c>
      <c r="AE134">
        <v>629</v>
      </c>
      <c r="AF134">
        <v>11.170694316242111</v>
      </c>
      <c r="AG134">
        <v>8.2811473765438759</v>
      </c>
      <c r="AH134">
        <v>16.59726931488855</v>
      </c>
      <c r="AI134">
        <f>12.3529923124338*1</f>
        <v>12.3529923124338</v>
      </c>
      <c r="AJ134">
        <f>2.39546492398657*1</f>
        <v>2.39546492398657</v>
      </c>
      <c r="AK134">
        <v>1</v>
      </c>
      <c r="AL134">
        <v>0</v>
      </c>
      <c r="AM134">
        <v>0</v>
      </c>
    </row>
    <row r="135" spans="1:39" hidden="1" x14ac:dyDescent="0.2">
      <c r="A135" t="s">
        <v>321</v>
      </c>
      <c r="B135" t="s">
        <v>322</v>
      </c>
      <c r="C135" t="s">
        <v>322</v>
      </c>
      <c r="D135" t="s">
        <v>4</v>
      </c>
      <c r="E135">
        <v>0</v>
      </c>
      <c r="F135">
        <v>1</v>
      </c>
      <c r="G135">
        <v>0</v>
      </c>
      <c r="H135">
        <v>0</v>
      </c>
      <c r="I135" t="s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4.5</v>
      </c>
      <c r="AE135">
        <v>633</v>
      </c>
      <c r="AF135">
        <v>14.23357664233577</v>
      </c>
      <c r="AG135">
        <v>16.601923712161589</v>
      </c>
      <c r="AH135">
        <v>14.537277436154209</v>
      </c>
      <c r="AI135">
        <f>9.2371713220556*1</f>
        <v>9.2371713220556</v>
      </c>
      <c r="AJ135">
        <f>1.9414682620365*1</f>
        <v>1.9414682620365</v>
      </c>
      <c r="AK135">
        <v>1</v>
      </c>
      <c r="AL135">
        <v>0</v>
      </c>
      <c r="AM135">
        <v>0</v>
      </c>
    </row>
    <row r="136" spans="1:39" hidden="1" x14ac:dyDescent="0.2">
      <c r="A136" t="s">
        <v>67</v>
      </c>
      <c r="B136" t="s">
        <v>323</v>
      </c>
      <c r="C136" t="s">
        <v>324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5.8</v>
      </c>
      <c r="AE136">
        <v>636</v>
      </c>
      <c r="AF136">
        <v>16.08229056882827</v>
      </c>
      <c r="AG136">
        <v>16.504006544812121</v>
      </c>
      <c r="AH136">
        <v>13.141869609704701</v>
      </c>
      <c r="AI136">
        <f>11.659854102403*1</f>
        <v>11.659854102402999</v>
      </c>
      <c r="AJ136">
        <f>2.14098951442416*1</f>
        <v>2.14098951442416</v>
      </c>
      <c r="AK136">
        <v>1</v>
      </c>
      <c r="AL136">
        <v>0</v>
      </c>
      <c r="AM136">
        <v>0</v>
      </c>
    </row>
    <row r="137" spans="1:39" hidden="1" x14ac:dyDescent="0.2">
      <c r="A137" t="s">
        <v>325</v>
      </c>
      <c r="B137" t="s">
        <v>326</v>
      </c>
      <c r="C137" t="s">
        <v>326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4.9000000000000004</v>
      </c>
      <c r="AE137">
        <v>639</v>
      </c>
      <c r="AF137">
        <v>16.22448979591837</v>
      </c>
      <c r="AG137">
        <v>19.097457828967201</v>
      </c>
      <c r="AH137">
        <v>22.56666666666667</v>
      </c>
      <c r="AI137">
        <f>10.1912395985428*1</f>
        <v>10.191239598542801</v>
      </c>
      <c r="AJ137">
        <f>1.98776197531727*1</f>
        <v>1.9877619753172699</v>
      </c>
      <c r="AK137">
        <v>1</v>
      </c>
      <c r="AL137">
        <v>0</v>
      </c>
      <c r="AM137">
        <v>0</v>
      </c>
    </row>
    <row r="138" spans="1:39" hidden="1" x14ac:dyDescent="0.2">
      <c r="A138" t="s">
        <v>327</v>
      </c>
      <c r="B138" t="s">
        <v>328</v>
      </c>
      <c r="C138" t="s">
        <v>328</v>
      </c>
      <c r="D138" t="s">
        <v>4</v>
      </c>
      <c r="E138">
        <v>0</v>
      </c>
      <c r="F138">
        <v>1</v>
      </c>
      <c r="G138">
        <v>0</v>
      </c>
      <c r="H138">
        <v>0</v>
      </c>
      <c r="I138" t="s">
        <v>30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4.9000000000000004</v>
      </c>
      <c r="AE138">
        <v>651</v>
      </c>
      <c r="AF138">
        <v>11.020442990327441</v>
      </c>
      <c r="AG138">
        <v>9.3965236847485407</v>
      </c>
      <c r="AH138">
        <v>9.8168290201513884</v>
      </c>
      <c r="AI138">
        <f>15.6596049311171*1</f>
        <v>15.6596049311171</v>
      </c>
      <c r="AJ138">
        <f>3.07300390543167*1</f>
        <v>3.07300390543167</v>
      </c>
      <c r="AK138">
        <v>1</v>
      </c>
      <c r="AL138">
        <v>0</v>
      </c>
      <c r="AM138">
        <v>0</v>
      </c>
    </row>
    <row r="139" spans="1:39" x14ac:dyDescent="0.2">
      <c r="A139" t="s">
        <v>242</v>
      </c>
      <c r="B139" t="s">
        <v>243</v>
      </c>
      <c r="C139" t="s">
        <v>244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5.2</v>
      </c>
      <c r="AE139">
        <v>451</v>
      </c>
      <c r="AF139">
        <v>17.222222222222211</v>
      </c>
      <c r="AG139">
        <v>14.684321038079039</v>
      </c>
      <c r="AH139">
        <v>12.343951208433969</v>
      </c>
      <c r="AI139">
        <f>8.62558785853877*1</f>
        <v>8.6255878585387702</v>
      </c>
      <c r="AJ139">
        <f>1.65722656022431*1</f>
        <v>1.6572265602243099</v>
      </c>
      <c r="AK139">
        <v>1</v>
      </c>
      <c r="AL139">
        <v>1</v>
      </c>
      <c r="AM139">
        <v>1</v>
      </c>
    </row>
    <row r="140" spans="1:39" hidden="1" x14ac:dyDescent="0.2">
      <c r="A140" t="s">
        <v>332</v>
      </c>
      <c r="B140" t="s">
        <v>333</v>
      </c>
      <c r="C140" t="s">
        <v>334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30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5.3</v>
      </c>
      <c r="AE140">
        <v>666</v>
      </c>
      <c r="AF140">
        <v>10.65217391304348</v>
      </c>
      <c r="AG140">
        <v>10.00310160397459</v>
      </c>
      <c r="AH140">
        <v>12.22857142857143</v>
      </c>
      <c r="AI140">
        <f>8.83834152142749*1</f>
        <v>8.8383415214274894</v>
      </c>
      <c r="AJ140">
        <f>1.72614423979252*1</f>
        <v>1.72614423979252</v>
      </c>
      <c r="AK140">
        <v>1</v>
      </c>
      <c r="AL140">
        <v>0</v>
      </c>
      <c r="AM140">
        <v>0</v>
      </c>
    </row>
    <row r="141" spans="1:39" hidden="1" x14ac:dyDescent="0.2">
      <c r="A141" t="s">
        <v>335</v>
      </c>
      <c r="B141" t="s">
        <v>336</v>
      </c>
      <c r="C141" t="s">
        <v>337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30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4.9000000000000004</v>
      </c>
      <c r="AE141">
        <v>671</v>
      </c>
      <c r="AF141">
        <v>18.6482088715934</v>
      </c>
      <c r="AG141">
        <v>8.3669718693131436</v>
      </c>
      <c r="AH141">
        <v>16.8</v>
      </c>
      <c r="AI141">
        <f>19.1968400614142*1</f>
        <v>19.1968400614142</v>
      </c>
      <c r="AJ141">
        <f>5.42040340177348*1</f>
        <v>5.4204034017734797</v>
      </c>
      <c r="AK141">
        <v>1</v>
      </c>
      <c r="AL141">
        <v>0</v>
      </c>
      <c r="AM141">
        <v>0</v>
      </c>
    </row>
    <row r="142" spans="1:39" hidden="1" x14ac:dyDescent="0.2">
      <c r="A142" t="s">
        <v>338</v>
      </c>
      <c r="B142" t="s">
        <v>339</v>
      </c>
      <c r="C142" t="s">
        <v>340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30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675</v>
      </c>
      <c r="AF142">
        <v>11.741071428571431</v>
      </c>
      <c r="AG142">
        <v>9.8033174378021677</v>
      </c>
      <c r="AH142">
        <v>16.195855078428838</v>
      </c>
      <c r="AI142">
        <f>7.44012877895986*1</f>
        <v>7.4401287789598598</v>
      </c>
      <c r="AJ142">
        <f>1.54621764598095*1</f>
        <v>1.54621764598095</v>
      </c>
      <c r="AK142">
        <v>1</v>
      </c>
      <c r="AL142">
        <v>0</v>
      </c>
      <c r="AM142">
        <v>0</v>
      </c>
    </row>
    <row r="143" spans="1:39" hidden="1" x14ac:dyDescent="0.2">
      <c r="A143" t="s">
        <v>341</v>
      </c>
      <c r="B143" t="s">
        <v>342</v>
      </c>
      <c r="C143" t="s">
        <v>342</v>
      </c>
      <c r="D143" t="s">
        <v>6</v>
      </c>
      <c r="E143">
        <v>0</v>
      </c>
      <c r="F143">
        <v>0</v>
      </c>
      <c r="G143">
        <v>0</v>
      </c>
      <c r="H143">
        <v>1</v>
      </c>
      <c r="I143" t="s">
        <v>30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5.6</v>
      </c>
      <c r="AE143">
        <v>683</v>
      </c>
      <c r="AF143">
        <v>0</v>
      </c>
      <c r="AG143">
        <v>0</v>
      </c>
      <c r="AH143">
        <v>0</v>
      </c>
      <c r="AI143">
        <f>0*1</f>
        <v>0</v>
      </c>
      <c r="AJ143">
        <f>0*1</f>
        <v>0</v>
      </c>
      <c r="AK143">
        <v>1</v>
      </c>
      <c r="AL143">
        <v>0</v>
      </c>
      <c r="AM143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2024-12-06T16:09:52Z</dcterms:created>
  <dcterms:modified xsi:type="dcterms:W3CDTF">2024-12-06T16:21:16Z</dcterms:modified>
</cp:coreProperties>
</file>