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C11CCBBE-CEF2-5843-B863-D30B44E2E7FF}" xr6:coauthVersionLast="47" xr6:coauthVersionMax="47" xr10:uidLastSave="{00000000-0000-0000-0000-000000000000}"/>
  <bookViews>
    <workbookView xWindow="240" yWindow="760" windowWidth="18360" windowHeight="10980" firstSheet="11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0" l="1"/>
  <c r="F10" i="20" s="1"/>
  <c r="D9" i="20"/>
  <c r="F9" i="20" s="1"/>
  <c r="D8" i="20"/>
  <c r="F8" i="20" s="1"/>
  <c r="D7" i="20"/>
  <c r="F7" i="20" s="1"/>
  <c r="D6" i="20"/>
  <c r="F6" i="20" s="1"/>
  <c r="I5" i="20"/>
  <c r="F5" i="20"/>
  <c r="D5" i="20"/>
  <c r="D4" i="20"/>
  <c r="F4" i="20" s="1"/>
  <c r="F3" i="20"/>
  <c r="D3" i="20"/>
  <c r="F2" i="20"/>
  <c r="D2" i="20"/>
  <c r="D9" i="19"/>
  <c r="F9" i="19" s="1"/>
  <c r="F8" i="19"/>
  <c r="D8" i="19"/>
  <c r="D7" i="19"/>
  <c r="F7" i="19" s="1"/>
  <c r="D6" i="19"/>
  <c r="F6" i="19" s="1"/>
  <c r="D5" i="19"/>
  <c r="F5" i="19" s="1"/>
  <c r="F4" i="19"/>
  <c r="D4" i="19"/>
  <c r="F3" i="19"/>
  <c r="I7" i="19" s="1"/>
  <c r="D3" i="19"/>
  <c r="F2" i="19"/>
  <c r="D2" i="19"/>
  <c r="F9" i="18"/>
  <c r="D9" i="18"/>
  <c r="D8" i="18"/>
  <c r="F8" i="18" s="1"/>
  <c r="D7" i="18"/>
  <c r="F7" i="18" s="1"/>
  <c r="D6" i="18"/>
  <c r="F6" i="18" s="1"/>
  <c r="F5" i="18"/>
  <c r="D5" i="18"/>
  <c r="I5" i="18" s="1"/>
  <c r="D4" i="18"/>
  <c r="F4" i="18" s="1"/>
  <c r="F3" i="18"/>
  <c r="D3" i="18"/>
  <c r="F2" i="18"/>
  <c r="D2" i="18"/>
  <c r="F5" i="17"/>
  <c r="D5" i="17"/>
  <c r="I5" i="17" s="1"/>
  <c r="D4" i="17"/>
  <c r="F4" i="17" s="1"/>
  <c r="F3" i="17"/>
  <c r="D3" i="17"/>
  <c r="F2" i="17"/>
  <c r="D2" i="17"/>
  <c r="I5" i="16"/>
  <c r="F4" i="16"/>
  <c r="D4" i="16"/>
  <c r="D3" i="16"/>
  <c r="F3" i="16" s="1"/>
  <c r="I7" i="16" s="1"/>
  <c r="F2" i="16"/>
  <c r="D2" i="16"/>
  <c r="F11" i="15"/>
  <c r="D11" i="15"/>
  <c r="F10" i="15"/>
  <c r="D10" i="15"/>
  <c r="F9" i="15"/>
  <c r="D9" i="15"/>
  <c r="D8" i="15"/>
  <c r="F8" i="15" s="1"/>
  <c r="D7" i="15"/>
  <c r="F7" i="15" s="1"/>
  <c r="D6" i="15"/>
  <c r="F6" i="15" s="1"/>
  <c r="I5" i="15"/>
  <c r="F5" i="15"/>
  <c r="D5" i="15"/>
  <c r="D4" i="15"/>
  <c r="F4" i="15" s="1"/>
  <c r="F3" i="15"/>
  <c r="D3" i="15"/>
  <c r="F2" i="15"/>
  <c r="D2" i="15"/>
  <c r="F7" i="14"/>
  <c r="D7" i="14"/>
  <c r="F6" i="14"/>
  <c r="D6" i="14"/>
  <c r="I5" i="14"/>
  <c r="F5" i="14"/>
  <c r="D5" i="14"/>
  <c r="F4" i="14"/>
  <c r="D4" i="14"/>
  <c r="F3" i="14"/>
  <c r="I7" i="14" s="1"/>
  <c r="D3" i="14"/>
  <c r="F2" i="14"/>
  <c r="D2" i="14"/>
  <c r="D10" i="13"/>
  <c r="F10" i="13" s="1"/>
  <c r="F9" i="13"/>
  <c r="D9" i="13"/>
  <c r="F8" i="13"/>
  <c r="D8" i="13"/>
  <c r="F7" i="13"/>
  <c r="D7" i="13"/>
  <c r="F6" i="13"/>
  <c r="D6" i="13"/>
  <c r="I5" i="13"/>
  <c r="F5" i="13"/>
  <c r="D5" i="13"/>
  <c r="F4" i="13"/>
  <c r="D4" i="13"/>
  <c r="D3" i="13"/>
  <c r="F3" i="13" s="1"/>
  <c r="I7" i="13" s="1"/>
  <c r="F2" i="13"/>
  <c r="D2" i="13"/>
  <c r="I5" i="12"/>
  <c r="F5" i="12"/>
  <c r="D5" i="12"/>
  <c r="F4" i="12"/>
  <c r="D4" i="12"/>
  <c r="D3" i="12"/>
  <c r="F3" i="12" s="1"/>
  <c r="F2" i="12"/>
  <c r="D2" i="12"/>
  <c r="D13" i="11"/>
  <c r="F13" i="11" s="1"/>
  <c r="F12" i="11"/>
  <c r="D12" i="11"/>
  <c r="F11" i="11"/>
  <c r="D11" i="11"/>
  <c r="D10" i="11"/>
  <c r="F10" i="11" s="1"/>
  <c r="F9" i="11"/>
  <c r="D9" i="11"/>
  <c r="D8" i="11"/>
  <c r="F8" i="11" s="1"/>
  <c r="D7" i="11"/>
  <c r="F7" i="11" s="1"/>
  <c r="D6" i="11"/>
  <c r="F6" i="11" s="1"/>
  <c r="I5" i="11"/>
  <c r="F5" i="11"/>
  <c r="D5" i="11"/>
  <c r="D4" i="11"/>
  <c r="F4" i="11" s="1"/>
  <c r="F3" i="11"/>
  <c r="D3" i="11"/>
  <c r="F2" i="11"/>
  <c r="D2" i="11"/>
  <c r="D12" i="10"/>
  <c r="F12" i="10" s="1"/>
  <c r="F11" i="10"/>
  <c r="D11" i="10"/>
  <c r="D10" i="10"/>
  <c r="F10" i="10" s="1"/>
  <c r="F9" i="10"/>
  <c r="D9" i="10"/>
  <c r="D8" i="10"/>
  <c r="F8" i="10" s="1"/>
  <c r="F7" i="10"/>
  <c r="D7" i="10"/>
  <c r="D6" i="10"/>
  <c r="F6" i="10" s="1"/>
  <c r="I5" i="10"/>
  <c r="F5" i="10"/>
  <c r="D5" i="10"/>
  <c r="D4" i="10"/>
  <c r="F4" i="10" s="1"/>
  <c r="D3" i="10"/>
  <c r="F3" i="10" s="1"/>
  <c r="I7" i="10" s="1"/>
  <c r="F2" i="10"/>
  <c r="D2" i="10"/>
  <c r="D11" i="9"/>
  <c r="F11" i="9" s="1"/>
  <c r="F10" i="9"/>
  <c r="D10" i="9"/>
  <c r="F9" i="9"/>
  <c r="D9" i="9"/>
  <c r="D8" i="9"/>
  <c r="F8" i="9" s="1"/>
  <c r="D7" i="9"/>
  <c r="F7" i="9" s="1"/>
  <c r="D6" i="9"/>
  <c r="F6" i="9" s="1"/>
  <c r="F5" i="9"/>
  <c r="D5" i="9"/>
  <c r="I5" i="9" s="1"/>
  <c r="D4" i="9"/>
  <c r="F4" i="9" s="1"/>
  <c r="F3" i="9"/>
  <c r="D3" i="9"/>
  <c r="D2" i="9"/>
  <c r="F2" i="9" s="1"/>
  <c r="D7" i="8"/>
  <c r="F7" i="8" s="1"/>
  <c r="D6" i="8"/>
  <c r="F6" i="8" s="1"/>
  <c r="I5" i="8"/>
  <c r="F5" i="8"/>
  <c r="D5" i="8"/>
  <c r="D4" i="8"/>
  <c r="F4" i="8" s="1"/>
  <c r="F3" i="8"/>
  <c r="D3" i="8"/>
  <c r="F2" i="8"/>
  <c r="D2" i="8"/>
  <c r="D6" i="7"/>
  <c r="F6" i="7" s="1"/>
  <c r="D5" i="7"/>
  <c r="F5" i="7" s="1"/>
  <c r="F4" i="7"/>
  <c r="D4" i="7"/>
  <c r="F3" i="7"/>
  <c r="D3" i="7"/>
  <c r="D2" i="7"/>
  <c r="F2" i="7" s="1"/>
  <c r="D5" i="6"/>
  <c r="F5" i="6" s="1"/>
  <c r="F4" i="6"/>
  <c r="D4" i="6"/>
  <c r="D3" i="6"/>
  <c r="F3" i="6" s="1"/>
  <c r="D2" i="6"/>
  <c r="F2" i="6" s="1"/>
  <c r="F6" i="5"/>
  <c r="D6" i="5"/>
  <c r="F5" i="5"/>
  <c r="D5" i="5"/>
  <c r="I5" i="5" s="1"/>
  <c r="D4" i="5"/>
  <c r="F4" i="5" s="1"/>
  <c r="D3" i="5"/>
  <c r="F3" i="5" s="1"/>
  <c r="F2" i="5"/>
  <c r="I7" i="5" s="1"/>
  <c r="D2" i="5"/>
  <c r="D8" i="4"/>
  <c r="F8" i="4" s="1"/>
  <c r="D7" i="4"/>
  <c r="F7" i="4" s="1"/>
  <c r="F6" i="4"/>
  <c r="D6" i="4"/>
  <c r="I5" i="4"/>
  <c r="F5" i="4"/>
  <c r="D5" i="4"/>
  <c r="D4" i="4"/>
  <c r="F4" i="4" s="1"/>
  <c r="F3" i="4"/>
  <c r="D3" i="4"/>
  <c r="D2" i="4"/>
  <c r="F2" i="4" s="1"/>
  <c r="D8" i="3"/>
  <c r="F8" i="3" s="1"/>
  <c r="D7" i="3"/>
  <c r="F7" i="3" s="1"/>
  <c r="D6" i="3"/>
  <c r="F6" i="3" s="1"/>
  <c r="D5" i="3"/>
  <c r="I5" i="3" s="1"/>
  <c r="D4" i="3"/>
  <c r="F4" i="3" s="1"/>
  <c r="F3" i="3"/>
  <c r="D3" i="3"/>
  <c r="D2" i="3"/>
  <c r="F2" i="3" s="1"/>
  <c r="F10" i="2"/>
  <c r="D10" i="2"/>
  <c r="D9" i="2"/>
  <c r="F9" i="2" s="1"/>
  <c r="D8" i="2"/>
  <c r="F8" i="2" s="1"/>
  <c r="D7" i="2"/>
  <c r="F7" i="2" s="1"/>
  <c r="D6" i="2"/>
  <c r="F6" i="2" s="1"/>
  <c r="D5" i="2"/>
  <c r="I5" i="2" s="1"/>
  <c r="D4" i="2"/>
  <c r="F4" i="2" s="1"/>
  <c r="F3" i="2"/>
  <c r="D3" i="2"/>
  <c r="D2" i="2"/>
  <c r="F2" i="2" s="1"/>
  <c r="F13" i="1"/>
  <c r="D13" i="1"/>
  <c r="D12" i="1"/>
  <c r="F12" i="1" s="1"/>
  <c r="D11" i="1"/>
  <c r="F11" i="1" s="1"/>
  <c r="F10" i="1"/>
  <c r="D10" i="1"/>
  <c r="D9" i="1"/>
  <c r="F9" i="1" s="1"/>
  <c r="F8" i="1"/>
  <c r="D8" i="1"/>
  <c r="D7" i="1"/>
  <c r="F7" i="1" s="1"/>
  <c r="D6" i="1"/>
  <c r="F6" i="1" s="1"/>
  <c r="D5" i="1"/>
  <c r="I5" i="1" s="1"/>
  <c r="F4" i="1"/>
  <c r="D4" i="1"/>
  <c r="D3" i="1"/>
  <c r="F3" i="1" s="1"/>
  <c r="D2" i="1"/>
  <c r="F2" i="1" s="1"/>
  <c r="I7" i="6" l="1"/>
  <c r="I7" i="15"/>
  <c r="I7" i="18"/>
  <c r="I7" i="12"/>
  <c r="I7" i="17"/>
  <c r="I7" i="20"/>
  <c r="I7" i="4"/>
  <c r="I7" i="9"/>
  <c r="I7" i="7"/>
  <c r="I7" i="8"/>
  <c r="I7" i="11"/>
  <c r="F5" i="1"/>
  <c r="I7" i="1" s="1"/>
  <c r="I5" i="6"/>
  <c r="I5" i="7"/>
  <c r="I5" i="19"/>
  <c r="F5" i="2"/>
  <c r="I7" i="2" s="1"/>
  <c r="F5" i="3"/>
  <c r="I7" i="3" s="1"/>
</calcChain>
</file>

<file path=xl/sharedStrings.xml><?xml version="1.0" encoding="utf-8"?>
<sst xmlns="http://schemas.openxmlformats.org/spreadsheetml/2006/main" count="349" uniqueCount="157">
  <si>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</si>
  <si>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</si>
  <si>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</si>
  <si>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</si>
  <si>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</si>
  <si>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</si>
  <si>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</si>
  <si>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</si>
  <si>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</si>
  <si>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</si>
  <si>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</si>
  <si>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</si>
  <si>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</si>
  <si>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</si>
  <si>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</si>
  <si>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</si>
  <si>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</si>
  <si>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</si>
  <si>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</si>
  <si>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</si>
  <si>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</si>
  <si>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</si>
  <si>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</si>
  <si>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</si>
  <si>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</si>
  <si>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</si>
  <si>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</si>
  <si>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</si>
  <si>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</si>
  <si>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</si>
  <si>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</si>
  <si>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Solanke</t>
  </si>
  <si>
    <t>Christie</t>
  </si>
  <si>
    <t>Tavernier</t>
  </si>
  <si>
    <t>Senesi</t>
  </si>
  <si>
    <t>Neto</t>
  </si>
  <si>
    <t>Semenyo</t>
  </si>
  <si>
    <t>Zabarnyi</t>
  </si>
  <si>
    <t>Maupay</t>
  </si>
  <si>
    <t>Janelt</t>
  </si>
  <si>
    <t>Mbeumo</t>
  </si>
  <si>
    <t>Wissa</t>
  </si>
  <si>
    <t>Jensen</t>
  </si>
  <si>
    <t>Collins</t>
  </si>
  <si>
    <t>Flekken</t>
  </si>
  <si>
    <t>Gross</t>
  </si>
  <si>
    <t>Welbeck</t>
  </si>
  <si>
    <t>João Pedro</t>
  </si>
  <si>
    <t>Ferguson</t>
  </si>
  <si>
    <t>Mitoma</t>
  </si>
  <si>
    <t>Berge</t>
  </si>
  <si>
    <t>Brownhill</t>
  </si>
  <si>
    <t>Trafford</t>
  </si>
  <si>
    <t>Amdouni</t>
  </si>
  <si>
    <t>Sterling</t>
  </si>
  <si>
    <t>T.Silva</t>
  </si>
  <si>
    <t>Colwill</t>
  </si>
  <si>
    <t>Mudryk</t>
  </si>
  <si>
    <t>Enzo</t>
  </si>
  <si>
    <t>Ward</t>
  </si>
  <si>
    <t>J.Ayew</t>
  </si>
  <si>
    <t>Eze</t>
  </si>
  <si>
    <t>Johnstone</t>
  </si>
  <si>
    <t>Mateta</t>
  </si>
  <si>
    <t>Edouard</t>
  </si>
  <si>
    <t>A.Doucoure</t>
  </si>
  <si>
    <t>Tarkowski</t>
  </si>
  <si>
    <t>Pickford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</si>
  <si>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</si>
  <si>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</si>
  <si>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</si>
  <si>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</si>
  <si>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</si>
  <si>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</si>
  <si>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</si>
  <si>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</si>
  <si>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Cairney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</si>
  <si>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</si>
  <si>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</si>
  <si>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</si>
  <si>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</si>
  <si>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</si>
  <si>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</si>
  <si>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</si>
  <si>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</si>
  <si>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</si>
  <si>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A.Becker</t>
  </si>
  <si>
    <t>Salah</t>
  </si>
  <si>
    <t>Alexander-Arnold</t>
  </si>
  <si>
    <t>Virgil</t>
  </si>
  <si>
    <t>Jones</t>
  </si>
  <si>
    <t>Mac Allister</t>
  </si>
  <si>
    <t>Konaté</t>
  </si>
  <si>
    <t>Luis Díaz</t>
  </si>
  <si>
    <t>Darwin</t>
  </si>
  <si>
    <t>Diogo J.</t>
  </si>
  <si>
    <t>Gakpo</t>
  </si>
  <si>
    <t>Szoboszlai</t>
  </si>
  <si>
    <t>Barkley</t>
  </si>
  <si>
    <t>Kaminski</t>
  </si>
  <si>
    <t>Adebayo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</si>
  <si>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</si>
  <si>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</si>
  <si>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</si>
  <si>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</si>
  <si>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</si>
  <si>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</si>
  <si>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</si>
  <si>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</si>
  <si>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</si>
  <si>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Akanji</t>
  </si>
  <si>
    <t>Rashford</t>
  </si>
  <si>
    <t>McTominay</t>
  </si>
  <si>
    <t>B.Fernandes</t>
  </si>
  <si>
    <t>Dalot</t>
  </si>
  <si>
    <t>Garnacho</t>
  </si>
  <si>
    <t>Trippier</t>
  </si>
  <si>
    <t>Schär</t>
  </si>
  <si>
    <t>Longstaff</t>
  </si>
  <si>
    <t>Burn</t>
  </si>
  <si>
    <t>Joelinton</t>
  </si>
  <si>
    <t>Gordon</t>
  </si>
  <si>
    <t>Bruno G.</t>
  </si>
  <si>
    <t>Almirón</t>
  </si>
  <si>
    <t>Isak</t>
  </si>
  <si>
    <t>Wood</t>
  </si>
  <si>
    <t>Gibbs-White</t>
  </si>
  <si>
    <t>Elanga</t>
  </si>
  <si>
    <t>Archer</t>
  </si>
  <si>
    <t>McAtee</t>
  </si>
  <si>
    <t>Foderingham</t>
  </si>
  <si>
    <t>Hamer</t>
  </si>
  <si>
    <t>Richarlison</t>
  </si>
  <si>
    <t>Romero</t>
  </si>
  <si>
    <t>Kulusevski</t>
  </si>
  <si>
    <t>Johnson</t>
  </si>
  <si>
    <t>Son</t>
  </si>
  <si>
    <t>Sarr</t>
  </si>
  <si>
    <t>Pedro Porro</t>
  </si>
  <si>
    <t>Vicario</t>
  </si>
  <si>
    <t>Ward-Prowse</t>
  </si>
  <si>
    <t>Zouma</t>
  </si>
  <si>
    <t>Emerson</t>
  </si>
  <si>
    <t>Bowen</t>
  </si>
  <si>
    <t>Areola</t>
  </si>
  <si>
    <t>L.Paquetá</t>
  </si>
  <si>
    <t>Coufal</t>
  </si>
  <si>
    <t>Souček</t>
  </si>
  <si>
    <t>Mario Jr.</t>
  </si>
  <si>
    <t>Kilman</t>
  </si>
  <si>
    <t>Dawson</t>
  </si>
  <si>
    <t>José Sá</t>
  </si>
  <si>
    <t>Toti</t>
  </si>
  <si>
    <t>Hee Chan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</si>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</sst>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2" totalsRowShown="0">
  <autoFilter ref="A1:F12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3" totalsRowShown="0">
  <autoFilter ref="A1:F13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5" totalsRowShown="0">
  <autoFilter ref="A1:F5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0" totalsRowShown="0">
  <autoFilter ref="A1:F10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7" totalsRowShown="0">
  <autoFilter ref="A1:F7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11" totalsRowShown="0">
  <autoFilter ref="A1:F11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4" totalsRowShown="0">
  <autoFilter ref="A1:F4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5" totalsRowShown="0">
  <autoFilter ref="A1:F5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9" totalsRowShown="0">
  <autoFilter ref="A1:F9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9" totalsRowShown="0">
  <autoFilter ref="A1:F9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0" totalsRowShown="0">
  <autoFilter ref="A1:F10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0" totalsRowShown="0">
  <autoFilter ref="A1:F10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8" totalsRowShown="0">
  <autoFilter ref="A1:F8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8" totalsRowShown="0">
  <autoFilter ref="A1:F8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6" totalsRowShown="0">
  <autoFilter ref="A1:F6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5" totalsRowShown="0">
  <autoFilter ref="A1:F5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6" totalsRowShown="0">
  <autoFilter ref="A1:F6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7" totalsRowShown="0">
  <autoFilter ref="A1:F7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1" totalsRowShown="0">
  <autoFilter ref="A1:F11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28.51021310444003</v>
      </c>
      <c r="C2">
        <v>28.108108108108109</v>
      </c>
      <c r="D2">
        <f>TableARS[[#This Row],[ARIMAPP]]*$I$2+TableARS[[#This Row],[LSTMPP]]*$I$3</f>
        <v>27.444554291065479</v>
      </c>
      <c r="E2">
        <v>29</v>
      </c>
      <c r="F2">
        <f>ABS(TableARS[[#This Row],[PP]]-TableARS[[#This Row],[AP]])</f>
        <v>1.5554457089345206</v>
      </c>
      <c r="H2" t="s">
        <v>0</v>
      </c>
      <c r="I2">
        <v>0.24488664244</v>
      </c>
    </row>
    <row r="3" spans="1:9" x14ac:dyDescent="0.2">
      <c r="A3" t="s">
        <v>11</v>
      </c>
      <c r="B3">
        <v>40.408163265306143</v>
      </c>
      <c r="C3">
        <v>40.986018432776262</v>
      </c>
      <c r="D3">
        <f>TableARS[[#This Row],[ARIMAPP]]*$I$2+TableARS[[#This Row],[LSTMPP]]*$I$3</f>
        <v>39.733359288435778</v>
      </c>
      <c r="E3">
        <v>45</v>
      </c>
      <c r="F3">
        <f>ABS(TableARS[[#This Row],[PP]]-TableARS[[#This Row],[AP]])</f>
        <v>5.2666407115642215</v>
      </c>
      <c r="H3" t="s">
        <v>1</v>
      </c>
      <c r="I3">
        <v>0.72800288977000005</v>
      </c>
    </row>
    <row r="4" spans="1:9" x14ac:dyDescent="0.2">
      <c r="A4" t="s">
        <v>12</v>
      </c>
      <c r="B4">
        <v>33.434343434343432</v>
      </c>
      <c r="C4">
        <v>31.139240506329109</v>
      </c>
      <c r="D4">
        <f>TableARS[[#This Row],[ARIMAPP]]*$I$2+TableARS[[#This Row],[LSTMPP]]*$I$3</f>
        <v>30.857081179672853</v>
      </c>
      <c r="E4">
        <v>41</v>
      </c>
      <c r="F4">
        <f>ABS(TableARS[[#This Row],[PP]]-TableARS[[#This Row],[AP]])</f>
        <v>10.142918820327147</v>
      </c>
    </row>
    <row r="5" spans="1:9" x14ac:dyDescent="0.2">
      <c r="A5" t="s">
        <v>13</v>
      </c>
      <c r="B5">
        <v>56.836582559663682</v>
      </c>
      <c r="C5">
        <v>40.637687838203689</v>
      </c>
      <c r="D5">
        <f>TableARS[[#This Row],[ARIMAPP]]*$I$2+TableARS[[#This Row],[LSTMPP]]*$I$3</f>
        <v>43.502874050583372</v>
      </c>
      <c r="E5">
        <v>50</v>
      </c>
      <c r="F5">
        <f>ABS(TableARS[[#This Row],[PP]]-TableARS[[#This Row],[AP]])</f>
        <v>6.4971259494166276</v>
      </c>
      <c r="H5" t="s">
        <v>2</v>
      </c>
      <c r="I5">
        <f>SUM(ABS(TableARS[[#This Row],[PP]]-TableARS[[#This Row],[AP]]))</f>
        <v>6.4971259494166276</v>
      </c>
    </row>
    <row r="6" spans="1:9" x14ac:dyDescent="0.2">
      <c r="A6" t="s">
        <v>14</v>
      </c>
      <c r="B6">
        <v>38.872467439273358</v>
      </c>
      <c r="C6">
        <v>40.328884069344163</v>
      </c>
      <c r="D6">
        <f>TableARS[[#This Row],[ARIMAPP]]*$I$2+TableARS[[#This Row],[LSTMPP]]*$I$3</f>
        <v>38.878892178243746</v>
      </c>
      <c r="E6">
        <v>26</v>
      </c>
      <c r="F6">
        <f>ABS(TableARS[[#This Row],[PP]]-TableARS[[#This Row],[AP]])</f>
        <v>12.878892178243746</v>
      </c>
    </row>
    <row r="7" spans="1:9" x14ac:dyDescent="0.2">
      <c r="A7" t="s">
        <v>15</v>
      </c>
      <c r="B7">
        <v>31.42857142857142</v>
      </c>
      <c r="C7">
        <v>30.705128205128212</v>
      </c>
      <c r="D7">
        <f>TableARS[[#This Row],[ARIMAPP]]*$I$2+TableARS[[#This Row],[LSTMPP]]*$I$3</f>
        <v>30.049859397920244</v>
      </c>
      <c r="E7">
        <v>35</v>
      </c>
      <c r="F7">
        <f>ABS(TableARS[[#This Row],[PP]]-TableARS[[#This Row],[AP]])</f>
        <v>4.950140602079756</v>
      </c>
      <c r="H7" t="s">
        <v>3</v>
      </c>
      <c r="I7">
        <f>AVERAGE(TableARS[DIFF])/10</f>
        <v>0.76466223609246819</v>
      </c>
    </row>
    <row r="8" spans="1:9" x14ac:dyDescent="0.2">
      <c r="A8" t="s">
        <v>16</v>
      </c>
      <c r="B8">
        <v>52.908857741144971</v>
      </c>
      <c r="C8">
        <v>42.44287778220059</v>
      </c>
      <c r="D8">
        <f>TableARS[[#This Row],[ARIMAPP]]*$I$2+TableARS[[#This Row],[LSTMPP]]*$I$3</f>
        <v>43.855210203161555</v>
      </c>
      <c r="E8">
        <v>39</v>
      </c>
      <c r="F8">
        <f>ABS(TableARS[[#This Row],[PP]]-TableARS[[#This Row],[AP]])</f>
        <v>4.8552102031615547</v>
      </c>
    </row>
    <row r="9" spans="1:9" x14ac:dyDescent="0.2">
      <c r="A9" t="s">
        <v>17</v>
      </c>
      <c r="B9">
        <v>40.676584087561587</v>
      </c>
      <c r="C9">
        <v>34.667999847072153</v>
      </c>
      <c r="D9">
        <f>TableARS[[#This Row],[ARIMAPP]]*$I$2+TableARS[[#This Row],[LSTMPP]]*$I$3</f>
        <v>35.19955617434573</v>
      </c>
      <c r="E9">
        <v>32</v>
      </c>
      <c r="F9">
        <f>ABS(TableARS[[#This Row],[PP]]-TableARS[[#This Row],[AP]])</f>
        <v>3.1995561743457301</v>
      </c>
    </row>
    <row r="10" spans="1:9" x14ac:dyDescent="0.2">
      <c r="A10" t="s">
        <v>18</v>
      </c>
      <c r="B10">
        <v>42.984604819433663</v>
      </c>
      <c r="C10">
        <v>35</v>
      </c>
      <c r="D10">
        <f>TableARS[[#This Row],[ARIMAPP]]*$I$2+TableARS[[#This Row],[LSTMPP]]*$I$3</f>
        <v>36.006456692791353</v>
      </c>
      <c r="E10">
        <v>23</v>
      </c>
      <c r="F10">
        <f>ABS(TableARS[[#This Row],[PP]]-TableARS[[#This Row],[AP]])</f>
        <v>13.006456692791353</v>
      </c>
    </row>
    <row r="11" spans="1:9" x14ac:dyDescent="0.2">
      <c r="A11" t="s">
        <v>19</v>
      </c>
      <c r="B11">
        <v>41.875000000000007</v>
      </c>
      <c r="C11">
        <v>33.94736842105263</v>
      </c>
      <c r="D11">
        <f>TableARS[[#This Row],[ARIMAPP]]*$I$2+TableARS[[#This Row],[LSTMPP]]*$I$3</f>
        <v>34.968410462788157</v>
      </c>
      <c r="E11">
        <v>24</v>
      </c>
      <c r="F11">
        <f>ABS(TableARS[[#This Row],[PP]]-TableARS[[#This Row],[AP]])</f>
        <v>10.968410462788157</v>
      </c>
    </row>
    <row r="12" spans="1:9" x14ac:dyDescent="0.2">
      <c r="A12" t="s">
        <v>20</v>
      </c>
      <c r="B12">
        <v>48.444444444444422</v>
      </c>
      <c r="C12">
        <v>40.555555555555557</v>
      </c>
      <c r="D12">
        <f>TableARS[[#This Row],[ARIMAPP]]*$I$2+TableARS[[#This Row],[LSTMPP]]*$I$3</f>
        <v>41.387958985543328</v>
      </c>
      <c r="E12">
        <v>51</v>
      </c>
      <c r="F12">
        <f>ABS(TableARS[[#This Row],[PP]]-TableARS[[#This Row],[AP]])</f>
        <v>9.6120410144566719</v>
      </c>
    </row>
    <row r="13" spans="1:9" x14ac:dyDescent="0.2">
      <c r="A13" t="s">
        <v>21</v>
      </c>
      <c r="B13">
        <v>36.17021276595743</v>
      </c>
      <c r="C13">
        <v>32.027027027027017</v>
      </c>
      <c r="D13">
        <f>TableARS[[#This Row],[ARIMAPP]]*$I$2+TableARS[[#This Row],[LSTMPP]]*$I$3</f>
        <v>32.173370187013305</v>
      </c>
      <c r="E13">
        <v>41</v>
      </c>
      <c r="F13">
        <f>ABS(TableARS[[#This Row],[PP]]-TableARS[[#This Row],[AP]])</f>
        <v>8.8266298129866954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>
      <selection activeCell="I4" sqref="I4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75</v>
      </c>
      <c r="B2">
        <v>14.183270176153069</v>
      </c>
      <c r="C2">
        <v>41.906594168923959</v>
      </c>
      <c r="D2">
        <f>TableFUL[[#This Row],[ARIMAPP]]*$I$2+TableFUL[[#This Row],[LSTMPP]]*$I$3</f>
        <v>45.102768235092569</v>
      </c>
      <c r="E2">
        <v>42</v>
      </c>
      <c r="F2">
        <f>ABS(TableFUL[[#This Row],[PP]]-TableFUL[[#This Row],[AP]])</f>
        <v>3.1027682350925687</v>
      </c>
      <c r="H2" t="s">
        <v>0</v>
      </c>
      <c r="I2">
        <v>4.1931565599999998E-2</v>
      </c>
    </row>
    <row r="3" spans="1:9" x14ac:dyDescent="0.2">
      <c r="A3" t="s">
        <v>76</v>
      </c>
      <c r="B3">
        <v>20.243902439024389</v>
      </c>
      <c r="C3">
        <v>23.84615384615384</v>
      </c>
      <c r="D3">
        <f>TableFUL[[#This Row],[ARIMAPP]]*$I$2+TableFUL[[#This Row],[LSTMPP]]*$I$3</f>
        <v>26.175316717045021</v>
      </c>
      <c r="E3">
        <v>36</v>
      </c>
      <c r="F3">
        <f>ABS(TableFUL[[#This Row],[PP]]-TableFUL[[#This Row],[AP]])</f>
        <v>9.8246832829549788</v>
      </c>
      <c r="H3" t="s">
        <v>1</v>
      </c>
      <c r="I3">
        <v>1.0620772790999999</v>
      </c>
    </row>
    <row r="4" spans="1:9" x14ac:dyDescent="0.2">
      <c r="A4" t="s">
        <v>77</v>
      </c>
      <c r="B4">
        <v>26.455696202531659</v>
      </c>
      <c r="C4">
        <v>27.93650793650794</v>
      </c>
      <c r="D4">
        <f>TableFUL[[#This Row],[ARIMAPP]]*$I$2+TableFUL[[#This Row],[LSTMPP]]*$I$3</f>
        <v>30.780059097572032</v>
      </c>
      <c r="E4">
        <v>42</v>
      </c>
      <c r="F4">
        <f>ABS(TableFUL[[#This Row],[PP]]-TableFUL[[#This Row],[AP]])</f>
        <v>11.219940902427968</v>
      </c>
    </row>
    <row r="5" spans="1:9" x14ac:dyDescent="0.2">
      <c r="A5" t="s">
        <v>78</v>
      </c>
      <c r="B5">
        <v>36.863218796276961</v>
      </c>
      <c r="C5">
        <v>32.801724137931039</v>
      </c>
      <c r="D5">
        <f>TableFUL[[#This Row],[ARIMAPP]]*$I$2+TableFUL[[#This Row],[LSTMPP]]*$I$3</f>
        <v>36.383698399385835</v>
      </c>
      <c r="E5">
        <v>32</v>
      </c>
      <c r="F5">
        <f>ABS(TableFUL[[#This Row],[PP]]-TableFUL[[#This Row],[AP]])</f>
        <v>4.3836983993858354</v>
      </c>
      <c r="H5" t="s">
        <v>2</v>
      </c>
      <c r="I5">
        <f>SUM(ABS(TableFUL[[#This Row],[PP]]-TableFUL[[#This Row],[AP]]))</f>
        <v>4.3836983993858354</v>
      </c>
    </row>
    <row r="6" spans="1:9" x14ac:dyDescent="0.2">
      <c r="A6" t="s">
        <v>79</v>
      </c>
      <c r="B6">
        <v>25.217391304347821</v>
      </c>
      <c r="C6">
        <v>26.72727272727272</v>
      </c>
      <c r="D6">
        <f>TableFUL[[#This Row],[ARIMAPP]]*$I$2+TableFUL[[#This Row],[LSTMPP]]*$I$3</f>
        <v>29.443833793684576</v>
      </c>
      <c r="E6">
        <v>32</v>
      </c>
      <c r="F6">
        <f>ABS(TableFUL[[#This Row],[PP]]-TableFUL[[#This Row],[AP]])</f>
        <v>2.5561662063154245</v>
      </c>
    </row>
    <row r="7" spans="1:9" x14ac:dyDescent="0.2">
      <c r="A7" t="s">
        <v>80</v>
      </c>
      <c r="B7">
        <v>30.524357796187029</v>
      </c>
      <c r="C7">
        <v>30.46052631578948</v>
      </c>
      <c r="D7">
        <f>TableFUL[[#This Row],[ARIMAPP]]*$I$2+TableFUL[[#This Row],[LSTMPP]]*$I$3</f>
        <v>33.631367020756322</v>
      </c>
      <c r="E7">
        <v>26</v>
      </c>
      <c r="F7">
        <f>ABS(TableFUL[[#This Row],[PP]]-TableFUL[[#This Row],[AP]])</f>
        <v>7.631367020756322</v>
      </c>
      <c r="H7" t="s">
        <v>3</v>
      </c>
      <c r="I7">
        <f>AVERAGE(TableFUL[DIFF])/10</f>
        <v>0.46003413518909236</v>
      </c>
    </row>
    <row r="8" spans="1:9" x14ac:dyDescent="0.2">
      <c r="A8" t="s">
        <v>81</v>
      </c>
      <c r="B8">
        <v>23.055555555555539</v>
      </c>
      <c r="C8">
        <v>26.491228070175438</v>
      </c>
      <c r="D8">
        <f>TableFUL[[#This Row],[ARIMAPP]]*$I$2+TableFUL[[#This Row],[LSTMPP]]*$I$3</f>
        <v>29.102486969011693</v>
      </c>
      <c r="E8">
        <v>34</v>
      </c>
      <c r="F8">
        <f>ABS(TableFUL[[#This Row],[PP]]-TableFUL[[#This Row],[AP]])</f>
        <v>4.897513030988307</v>
      </c>
    </row>
    <row r="9" spans="1:9" x14ac:dyDescent="0.2">
      <c r="A9" t="s">
        <v>82</v>
      </c>
      <c r="B9">
        <v>25.8139534883721</v>
      </c>
      <c r="C9">
        <v>25.441176470588228</v>
      </c>
      <c r="D9">
        <f>TableFUL[[#This Row],[ARIMAPP]]*$I$2+TableFUL[[#This Row],[LSTMPP]]*$I$3</f>
        <v>28.102914967078309</v>
      </c>
      <c r="E9">
        <v>28</v>
      </c>
      <c r="F9">
        <f>ABS(TableFUL[[#This Row],[PP]]-TableFUL[[#This Row],[AP]])</f>
        <v>0.10291496707830916</v>
      </c>
    </row>
    <row r="10" spans="1:9" x14ac:dyDescent="0.2">
      <c r="A10" t="s">
        <v>83</v>
      </c>
      <c r="B10">
        <v>35.588182304889571</v>
      </c>
      <c r="C10">
        <v>37.329190336809489</v>
      </c>
      <c r="D10">
        <f>TableFUL[[#This Row],[ARIMAPP]]*$I$2+TableFUL[[#This Row],[LSTMPP]]*$I$3</f>
        <v>41.138753104826868</v>
      </c>
      <c r="E10">
        <v>38</v>
      </c>
      <c r="F10">
        <f>ABS(TableFUL[[#This Row],[PP]]-TableFUL[[#This Row],[AP]])</f>
        <v>3.1387531048268684</v>
      </c>
    </row>
    <row r="11" spans="1:9" x14ac:dyDescent="0.2">
      <c r="A11" t="s">
        <v>84</v>
      </c>
      <c r="B11">
        <v>26.86695541153513</v>
      </c>
      <c r="C11">
        <v>26.388888888888889</v>
      </c>
      <c r="D11">
        <f>TableFUL[[#This Row],[ARIMAPP]]*$I$2+TableFUL[[#This Row],[LSTMPP]]*$I$3</f>
        <v>29.153612812894394</v>
      </c>
      <c r="E11">
        <v>27</v>
      </c>
      <c r="F11">
        <f>ABS(TableFUL[[#This Row],[PP]]-TableFUL[[#This Row],[AP]])</f>
        <v>2.1536128128943943</v>
      </c>
    </row>
    <row r="12" spans="1:9" x14ac:dyDescent="0.2">
      <c r="A12" t="s">
        <v>85</v>
      </c>
      <c r="B12">
        <v>39.142857142857139</v>
      </c>
      <c r="C12">
        <v>39.499023707174267</v>
      </c>
      <c r="D12">
        <f>TableFUL[[#This Row],[ARIMAPP]]*$I$2+TableFUL[[#This Row],[LSTMPP]]*$I$3</f>
        <v>43.592336908079183</v>
      </c>
      <c r="E12">
        <v>42</v>
      </c>
      <c r="F12">
        <f>ABS(TableFUL[[#This Row],[PP]]-TableFUL[[#This Row],[AP]])</f>
        <v>1.5923369080791829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86</v>
      </c>
      <c r="B2">
        <v>44.733168337584942</v>
      </c>
      <c r="C2">
        <v>44.564678717443101</v>
      </c>
      <c r="D2">
        <f>TableLIV[[#This Row],[ARIMAPP]]*$I$2+TableLIV[[#This Row],[LSTMPP]]*$I$3</f>
        <v>46.62458842586274</v>
      </c>
      <c r="E2">
        <v>38</v>
      </c>
      <c r="F2">
        <f>ABS(TableLIV[[#This Row],[PP]]-TableLIV[[#This Row],[AP]])</f>
        <v>8.6245884258627399</v>
      </c>
      <c r="H2" t="s">
        <v>0</v>
      </c>
      <c r="I2">
        <v>0</v>
      </c>
    </row>
    <row r="3" spans="1:9" x14ac:dyDescent="0.2">
      <c r="A3" t="s">
        <v>87</v>
      </c>
      <c r="B3">
        <v>69.175824175824104</v>
      </c>
      <c r="C3">
        <v>68.697822109719453</v>
      </c>
      <c r="D3">
        <f>TableLIV[[#This Row],[ARIMAPP]]*$I$2+TableLIV[[#This Row],[LSTMPP]]*$I$3</f>
        <v>71.873236244494933</v>
      </c>
      <c r="E3">
        <v>73</v>
      </c>
      <c r="F3">
        <f>ABS(TableLIV[[#This Row],[PP]]-TableLIV[[#This Row],[AP]])</f>
        <v>1.1267637555050669</v>
      </c>
      <c r="H3" t="s">
        <v>1</v>
      </c>
      <c r="I3">
        <v>1.0462229229</v>
      </c>
    </row>
    <row r="4" spans="1:9" x14ac:dyDescent="0.2">
      <c r="A4" t="s">
        <v>88</v>
      </c>
      <c r="B4">
        <v>52.713281216029991</v>
      </c>
      <c r="C4">
        <v>48.895353472176701</v>
      </c>
      <c r="D4">
        <f>TableLIV[[#This Row],[ARIMAPP]]*$I$2+TableLIV[[#This Row],[LSTMPP]]*$I$3</f>
        <v>51.155439625889372</v>
      </c>
      <c r="E4">
        <v>61</v>
      </c>
      <c r="F4">
        <f>ABS(TableLIV[[#This Row],[PP]]-TableLIV[[#This Row],[AP]])</f>
        <v>9.8445603741106282</v>
      </c>
    </row>
    <row r="5" spans="1:9" x14ac:dyDescent="0.2">
      <c r="A5" t="s">
        <v>89</v>
      </c>
      <c r="B5">
        <v>47.441078257506611</v>
      </c>
      <c r="C5">
        <v>41.763440915681947</v>
      </c>
      <c r="D5">
        <f>TableLIV[[#This Row],[ARIMAPP]]*$I$2+TableLIV[[#This Row],[LSTMPP]]*$I$3</f>
        <v>43.693869225166218</v>
      </c>
      <c r="E5">
        <v>42</v>
      </c>
      <c r="F5">
        <f>ABS(TableLIV[[#This Row],[PP]]-TableLIV[[#This Row],[AP]])</f>
        <v>1.6938692251662175</v>
      </c>
      <c r="H5" t="s">
        <v>2</v>
      </c>
      <c r="I5">
        <f>SUM(ABS(TableLIV[[#This Row],[PP]]-TableLIV[[#This Row],[AP]]))</f>
        <v>1.6938692251662175</v>
      </c>
    </row>
    <row r="6" spans="1:9" x14ac:dyDescent="0.2">
      <c r="A6" t="s">
        <v>90</v>
      </c>
      <c r="B6">
        <v>22.000000000000011</v>
      </c>
      <c r="C6">
        <v>24.71153846153846</v>
      </c>
      <c r="D6">
        <f>TableLIV[[#This Row],[ARIMAPP]]*$I$2+TableLIV[[#This Row],[LSTMPP]]*$I$3</f>
        <v>25.853777998586537</v>
      </c>
      <c r="E6">
        <v>26</v>
      </c>
      <c r="F6">
        <f>ABS(TableLIV[[#This Row],[PP]]-TableLIV[[#This Row],[AP]])</f>
        <v>0.14622200141346298</v>
      </c>
    </row>
    <row r="7" spans="1:9" x14ac:dyDescent="0.2">
      <c r="A7" t="s">
        <v>91</v>
      </c>
      <c r="B7">
        <v>28.453608247422679</v>
      </c>
      <c r="C7">
        <v>28.506493506493509</v>
      </c>
      <c r="D7">
        <f>TableLIV[[#This Row],[ARIMAPP]]*$I$2+TableLIV[[#This Row],[LSTMPP]]*$I$3</f>
        <v>29.824146957993509</v>
      </c>
      <c r="E7">
        <v>26</v>
      </c>
      <c r="F7">
        <f>ABS(TableLIV[[#This Row],[PP]]-TableLIV[[#This Row],[AP]])</f>
        <v>3.8241469579935092</v>
      </c>
      <c r="H7" t="s">
        <v>3</v>
      </c>
      <c r="I7">
        <f>AVERAGE(TableLIV[DIFF])/10</f>
        <v>0.60035857007344418</v>
      </c>
    </row>
    <row r="8" spans="1:9" x14ac:dyDescent="0.2">
      <c r="A8" t="s">
        <v>92</v>
      </c>
      <c r="B8">
        <v>29.411764705882351</v>
      </c>
      <c r="C8">
        <v>29.81481481481481</v>
      </c>
      <c r="D8">
        <f>TableLIV[[#This Row],[ARIMAPP]]*$I$2+TableLIV[[#This Row],[LSTMPP]]*$I$3</f>
        <v>31.192942701277772</v>
      </c>
      <c r="E8">
        <v>23</v>
      </c>
      <c r="F8">
        <f>ABS(TableLIV[[#This Row],[PP]]-TableLIV[[#This Row],[AP]])</f>
        <v>8.1929427012777722</v>
      </c>
    </row>
    <row r="9" spans="1:9" x14ac:dyDescent="0.2">
      <c r="A9" t="s">
        <v>93</v>
      </c>
      <c r="B9">
        <v>33.947368421052637</v>
      </c>
      <c r="C9">
        <v>35.321392741875663</v>
      </c>
      <c r="D9">
        <f>TableLIV[[#This Row],[ARIMAPP]]*$I$2+TableLIV[[#This Row],[LSTMPP]]*$I$3</f>
        <v>36.954050755304003</v>
      </c>
      <c r="E9">
        <v>36</v>
      </c>
      <c r="F9">
        <f>ABS(TableLIV[[#This Row],[PP]]-TableLIV[[#This Row],[AP]])</f>
        <v>0.95405075530400296</v>
      </c>
    </row>
    <row r="10" spans="1:9" x14ac:dyDescent="0.2">
      <c r="A10" t="s">
        <v>94</v>
      </c>
      <c r="B10">
        <v>39.230769230769241</v>
      </c>
      <c r="C10">
        <v>33.064516129032249</v>
      </c>
      <c r="D10">
        <f>TableLIV[[#This Row],[ARIMAPP]]*$I$2+TableLIV[[#This Row],[LSTMPP]]*$I$3</f>
        <v>34.592854708790313</v>
      </c>
      <c r="E10">
        <v>35</v>
      </c>
      <c r="F10">
        <f>ABS(TableLIV[[#This Row],[PP]]-TableLIV[[#This Row],[AP]])</f>
        <v>0.40714529120968734</v>
      </c>
    </row>
    <row r="11" spans="1:9" x14ac:dyDescent="0.2">
      <c r="A11" t="s">
        <v>95</v>
      </c>
      <c r="B11">
        <v>35.384615384615373</v>
      </c>
      <c r="C11">
        <v>40.390737263001711</v>
      </c>
      <c r="D11">
        <f>TableLIV[[#This Row],[ARIMAPP]]*$I$2+TableLIV[[#This Row],[LSTMPP]]*$I$3</f>
        <v>42.257715197383597</v>
      </c>
      <c r="E11">
        <v>63</v>
      </c>
      <c r="F11">
        <f>ABS(TableLIV[[#This Row],[PP]]-TableLIV[[#This Row],[AP]])</f>
        <v>20.742284802616403</v>
      </c>
    </row>
    <row r="12" spans="1:9" x14ac:dyDescent="0.2">
      <c r="A12" t="s">
        <v>96</v>
      </c>
      <c r="B12">
        <v>36.11417289026474</v>
      </c>
      <c r="C12">
        <v>33.677793482755128</v>
      </c>
      <c r="D12">
        <f>TableLIV[[#This Row],[ARIMAPP]]*$I$2+TableLIV[[#This Row],[LSTMPP]]*$I$3</f>
        <v>35.234479534350641</v>
      </c>
      <c r="E12">
        <v>23</v>
      </c>
      <c r="F12">
        <f>ABS(TableLIV[[#This Row],[PP]]-TableLIV[[#This Row],[AP]])</f>
        <v>12.234479534350641</v>
      </c>
    </row>
    <row r="13" spans="1:9" x14ac:dyDescent="0.2">
      <c r="A13" t="s">
        <v>97</v>
      </c>
      <c r="B13">
        <v>42.727272727272727</v>
      </c>
      <c r="C13">
        <v>37.517792551516237</v>
      </c>
      <c r="D13">
        <f>TableLIV[[#This Row],[ARIMAPP]]*$I$2+TableLIV[[#This Row],[LSTMPP]]*$I$3</f>
        <v>39.251974584003165</v>
      </c>
      <c r="E13">
        <v>35</v>
      </c>
      <c r="F13">
        <f>ABS(TableLIV[[#This Row],[PP]]-TableLIV[[#This Row],[AP]])</f>
        <v>4.2519745840031646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98</v>
      </c>
      <c r="B2">
        <v>27.978890218527471</v>
      </c>
      <c r="C2">
        <v>29.117647058823518</v>
      </c>
      <c r="D2">
        <f>TableLUT[[#This Row],[ARIMAPP]]*$I$2+TableLUT[[#This Row],[LSTMPP]]*$I$3</f>
        <v>44.278485232235276</v>
      </c>
      <c r="E2">
        <v>50</v>
      </c>
      <c r="F2">
        <f>ABS(TableLUT[[#This Row],[PP]]-TableLUT[[#This Row],[AP]])</f>
        <v>5.7215147677647238</v>
      </c>
      <c r="H2" t="s">
        <v>0</v>
      </c>
      <c r="I2">
        <v>0</v>
      </c>
    </row>
    <row r="3" spans="1:9" x14ac:dyDescent="0.2">
      <c r="A3" t="s">
        <v>99</v>
      </c>
      <c r="B3">
        <v>21.818181806804521</v>
      </c>
      <c r="C3">
        <v>22.5</v>
      </c>
      <c r="D3">
        <f>TableLUT[[#This Row],[ARIMAPP]]*$I$2+TableLUT[[#This Row],[LSTMPP]]*$I$3</f>
        <v>34.215193134000003</v>
      </c>
      <c r="E3">
        <v>27</v>
      </c>
      <c r="F3">
        <f>ABS(TableLUT[[#This Row],[PP]]-TableLUT[[#This Row],[AP]])</f>
        <v>7.2151931340000033</v>
      </c>
      <c r="H3" t="s">
        <v>1</v>
      </c>
      <c r="I3">
        <v>1.5206752504000001</v>
      </c>
    </row>
    <row r="4" spans="1:9" x14ac:dyDescent="0.2">
      <c r="A4" t="s">
        <v>100</v>
      </c>
      <c r="B4">
        <v>22.72727272727272</v>
      </c>
      <c r="C4">
        <v>26.395224274557819</v>
      </c>
      <c r="D4">
        <f>TableLUT[[#This Row],[ARIMAPP]]*$I$2+TableLUT[[#This Row],[LSTMPP]]*$I$3</f>
        <v>40.138564283077372</v>
      </c>
      <c r="E4">
        <v>49</v>
      </c>
      <c r="F4">
        <f>ABS(TableLUT[[#This Row],[PP]]-TableLUT[[#This Row],[AP]])</f>
        <v>8.8614357169226281</v>
      </c>
    </row>
    <row r="5" spans="1:9" x14ac:dyDescent="0.2">
      <c r="A5" t="s">
        <v>101</v>
      </c>
      <c r="B5">
        <v>33.636363636363633</v>
      </c>
      <c r="C5">
        <v>31.875</v>
      </c>
      <c r="D5">
        <f>TableLUT[[#This Row],[ARIMAPP]]*$I$2+TableLUT[[#This Row],[LSTMPP]]*$I$3</f>
        <v>48.4715236065</v>
      </c>
      <c r="E5">
        <v>41</v>
      </c>
      <c r="F5">
        <f>ABS(TableLUT[[#This Row],[PP]]-TableLUT[[#This Row],[AP]])</f>
        <v>7.4715236064999999</v>
      </c>
      <c r="H5" t="s">
        <v>2</v>
      </c>
      <c r="I5">
        <f>SUM(ABS(TableLUT[[#This Row],[PP]]-TableLUT[[#This Row],[AP]]))</f>
        <v>7.4715236064999999</v>
      </c>
    </row>
    <row r="7" spans="1:9" x14ac:dyDescent="0.2">
      <c r="H7" t="s">
        <v>3</v>
      </c>
      <c r="I7">
        <f>AVERAGE(TableLUT[DIFF])/10</f>
        <v>0.73174168062968392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102</v>
      </c>
      <c r="B2">
        <v>38.980661464169458</v>
      </c>
      <c r="C2">
        <v>35.058346730183459</v>
      </c>
      <c r="D2">
        <f>TableMCI[[#This Row],[ARIMAPP]]*$I$2+TableMCI[[#This Row],[LSTMPP]]*$I$3</f>
        <v>37.913219139472176</v>
      </c>
      <c r="E2">
        <v>21</v>
      </c>
      <c r="F2">
        <f>ABS(TableMCI[[#This Row],[PP]]-TableMCI[[#This Row],[AP]])</f>
        <v>16.913219139472176</v>
      </c>
      <c r="H2" t="s">
        <v>0</v>
      </c>
      <c r="I2">
        <v>0.73000906417</v>
      </c>
    </row>
    <row r="3" spans="1:9" x14ac:dyDescent="0.2">
      <c r="A3" t="s">
        <v>103</v>
      </c>
      <c r="B3">
        <v>38.891951892788029</v>
      </c>
      <c r="C3">
        <v>36.316170754069681</v>
      </c>
      <c r="D3">
        <f>TableMCI[[#This Row],[ARIMAPP]]*$I$2+TableMCI[[#This Row],[LSTMPP]]*$I$3</f>
        <v>38.187758160332415</v>
      </c>
      <c r="E3">
        <v>24</v>
      </c>
      <c r="F3">
        <f>ABS(TableMCI[[#This Row],[PP]]-TableMCI[[#This Row],[AP]])</f>
        <v>14.187758160332415</v>
      </c>
      <c r="H3" t="s">
        <v>1</v>
      </c>
      <c r="I3">
        <v>0.26974982637</v>
      </c>
    </row>
    <row r="4" spans="1:9" x14ac:dyDescent="0.2">
      <c r="A4" t="s">
        <v>104</v>
      </c>
      <c r="B4">
        <v>32.113821138211406</v>
      </c>
      <c r="C4">
        <v>29.948979591836739</v>
      </c>
      <c r="D4">
        <f>TableMCI[[#This Row],[ARIMAPP]]*$I$2+TableMCI[[#This Row],[LSTMPP]]*$I$3</f>
        <v>31.522112560885105</v>
      </c>
      <c r="E4">
        <v>36</v>
      </c>
      <c r="F4">
        <f>ABS(TableMCI[[#This Row],[PP]]-TableMCI[[#This Row],[AP]])</f>
        <v>4.4778874391148946</v>
      </c>
    </row>
    <row r="5" spans="1:9" x14ac:dyDescent="0.2">
      <c r="A5" t="s">
        <v>105</v>
      </c>
      <c r="B5">
        <v>45.869345956436547</v>
      </c>
      <c r="C5">
        <v>41.646489376042119</v>
      </c>
      <c r="D5">
        <f>TableMCI[[#This Row],[ARIMAPP]]*$I$2+TableMCI[[#This Row],[LSTMPP]]*$I$3</f>
        <v>44.719171593855634</v>
      </c>
      <c r="E5">
        <v>69</v>
      </c>
      <c r="F5">
        <f>ABS(TableMCI[[#This Row],[PP]]-TableMCI[[#This Row],[AP]])</f>
        <v>24.280828406144366</v>
      </c>
      <c r="H5" t="s">
        <v>2</v>
      </c>
      <c r="I5">
        <f>SUM(ABS(TableMCI[[#This Row],[PP]]-TableMCI[[#This Row],[AP]]))</f>
        <v>24.280828406144366</v>
      </c>
    </row>
    <row r="6" spans="1:9" x14ac:dyDescent="0.2">
      <c r="A6" t="s">
        <v>106</v>
      </c>
      <c r="B6">
        <v>30.50359712230215</v>
      </c>
      <c r="C6">
        <v>30.143966202008411</v>
      </c>
      <c r="D6">
        <f>TableMCI[[#This Row],[ARIMAPP]]*$I$2+TableMCI[[#This Row],[LSTMPP]]*$I$3</f>
        <v>30.399232038165415</v>
      </c>
      <c r="E6">
        <v>40</v>
      </c>
      <c r="F6">
        <f>ABS(TableMCI[[#This Row],[PP]]-TableMCI[[#This Row],[AP]])</f>
        <v>9.6007679618345847</v>
      </c>
    </row>
    <row r="7" spans="1:9" x14ac:dyDescent="0.2">
      <c r="A7" t="s">
        <v>107</v>
      </c>
      <c r="B7">
        <v>81.578947368421083</v>
      </c>
      <c r="C7">
        <v>73.146636338088967</v>
      </c>
      <c r="D7">
        <f>TableMCI[[#This Row],[ARIMAPP]]*$I$2+TableMCI[[#This Row],[LSTMPP]]*$I$3</f>
        <v>79.284663476143791</v>
      </c>
      <c r="E7">
        <v>65</v>
      </c>
      <c r="F7">
        <f>ABS(TableMCI[[#This Row],[PP]]-TableMCI[[#This Row],[AP]])</f>
        <v>14.284663476143791</v>
      </c>
      <c r="H7" t="s">
        <v>3</v>
      </c>
      <c r="I7">
        <f>AVERAGE(TableMCI[DIFF])/10</f>
        <v>1.2719047837972552</v>
      </c>
    </row>
    <row r="8" spans="1:9" x14ac:dyDescent="0.2">
      <c r="A8" t="s">
        <v>108</v>
      </c>
      <c r="B8">
        <v>36.666666666666671</v>
      </c>
      <c r="C8">
        <v>29.838709677419359</v>
      </c>
      <c r="D8">
        <f>TableMCI[[#This Row],[ARIMAPP]]*$I$2+TableMCI[[#This Row],[LSTMPP]]*$I$3</f>
        <v>34.815985774155379</v>
      </c>
      <c r="E8">
        <v>49</v>
      </c>
      <c r="F8">
        <f>ABS(TableMCI[[#This Row],[PP]]-TableMCI[[#This Row],[AP]])</f>
        <v>14.184014225844621</v>
      </c>
    </row>
    <row r="9" spans="1:9" x14ac:dyDescent="0.2">
      <c r="A9" t="s">
        <v>109</v>
      </c>
      <c r="B9">
        <v>36.341463414634141</v>
      </c>
      <c r="C9">
        <v>34.224665464947208</v>
      </c>
      <c r="D9">
        <f>TableMCI[[#This Row],[ARIMAPP]]*$I$2+TableMCI[[#This Row],[LSTMPP]]*$I$3</f>
        <v>35.761695264626205</v>
      </c>
      <c r="E9">
        <v>48</v>
      </c>
      <c r="F9">
        <f>ABS(TableMCI[[#This Row],[PP]]-TableMCI[[#This Row],[AP]])</f>
        <v>12.238304735373795</v>
      </c>
    </row>
    <row r="10" spans="1:9" x14ac:dyDescent="0.2">
      <c r="A10" t="s">
        <v>110</v>
      </c>
      <c r="B10">
        <v>32.258064516129032</v>
      </c>
      <c r="C10">
        <v>28.75</v>
      </c>
      <c r="D10">
        <f>TableMCI[[#This Row],[ARIMAPP]]*$I$2+TableMCI[[#This Row],[LSTMPP]]*$I$3</f>
        <v>31.303986997492338</v>
      </c>
      <c r="E10">
        <v>27</v>
      </c>
      <c r="F10">
        <f>ABS(TableMCI[[#This Row],[PP]]-TableMCI[[#This Row],[AP]])</f>
        <v>4.3039869974923377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111</v>
      </c>
      <c r="B2">
        <v>46.028255020015457</v>
      </c>
      <c r="C2">
        <v>44.195351825034876</v>
      </c>
      <c r="D2">
        <f>TableMUN[[#This Row],[ARIMAPP]]*$I$2+TableMUN[[#This Row],[LSTMPP]]*$I$3</f>
        <v>40.733894470558845</v>
      </c>
      <c r="E2">
        <v>34</v>
      </c>
      <c r="F2">
        <f>ABS(TableMUN[[#This Row],[PP]]-TableMUN[[#This Row],[AP]])</f>
        <v>6.7338944705588446</v>
      </c>
      <c r="H2" t="s">
        <v>0</v>
      </c>
      <c r="I2">
        <v>9.5641884908999997E-2</v>
      </c>
    </row>
    <row r="3" spans="1:9" x14ac:dyDescent="0.2">
      <c r="A3" t="s">
        <v>112</v>
      </c>
      <c r="B3">
        <v>25.267175572519101</v>
      </c>
      <c r="C3">
        <v>26.92307692307693</v>
      </c>
      <c r="D3">
        <f>TableMUN[[#This Row],[ARIMAPP]]*$I$2+TableMUN[[#This Row],[LSTMPP]]*$I$3</f>
        <v>24.549249591543912</v>
      </c>
      <c r="E3">
        <v>36</v>
      </c>
      <c r="F3">
        <f>ABS(TableMUN[[#This Row],[PP]]-TableMUN[[#This Row],[AP]])</f>
        <v>11.450750408456088</v>
      </c>
      <c r="H3" t="s">
        <v>1</v>
      </c>
      <c r="I3">
        <v>0.82206983089999996</v>
      </c>
    </row>
    <row r="4" spans="1:9" x14ac:dyDescent="0.2">
      <c r="A4" t="s">
        <v>113</v>
      </c>
      <c r="B4">
        <v>44.229876789715632</v>
      </c>
      <c r="C4">
        <v>45.337048278648943</v>
      </c>
      <c r="D4">
        <f>TableMUN[[#This Row],[ARIMAPP]]*$I$2+TableMUN[[#This Row],[LSTMPP]]*$I$3</f>
        <v>41.500448397395303</v>
      </c>
      <c r="E4">
        <v>26</v>
      </c>
      <c r="F4">
        <f>ABS(TableMUN[[#This Row],[PP]]-TableMUN[[#This Row],[AP]])</f>
        <v>15.500448397395303</v>
      </c>
    </row>
    <row r="5" spans="1:9" x14ac:dyDescent="0.2">
      <c r="A5" t="s">
        <v>114</v>
      </c>
      <c r="B5">
        <v>37.142857142857117</v>
      </c>
      <c r="C5">
        <v>31.607142857142851</v>
      </c>
      <c r="D5">
        <f>TableMUN[[#This Row],[ARIMAPP]]*$I$2+TableMUN[[#This Row],[LSTMPP]]*$I$3</f>
        <v>29.535691451852134</v>
      </c>
      <c r="E5">
        <v>28</v>
      </c>
      <c r="F5">
        <f>ABS(TableMUN[[#This Row],[PP]]-TableMUN[[#This Row],[AP]])</f>
        <v>1.5356914518521343</v>
      </c>
      <c r="H5" t="s">
        <v>2</v>
      </c>
      <c r="I5">
        <f>SUM(ABS(TableMUN[[#This Row],[PP]]-TableMUN[[#This Row],[AP]]))</f>
        <v>1.5356914518521343</v>
      </c>
    </row>
    <row r="6" spans="1:9" x14ac:dyDescent="0.2">
      <c r="A6" t="s">
        <v>115</v>
      </c>
      <c r="B6">
        <v>21.111111111111121</v>
      </c>
      <c r="C6">
        <v>22.38095238095238</v>
      </c>
      <c r="D6">
        <f>TableMUN[[#This Row],[ARIMAPP]]*$I$2+TableMUN[[#This Row],[LSTMPP]]*$I$3</f>
        <v>20.417812198380478</v>
      </c>
      <c r="E6">
        <v>50</v>
      </c>
      <c r="F6">
        <f>ABS(TableMUN[[#This Row],[PP]]-TableMUN[[#This Row],[AP]])</f>
        <v>29.582187801619522</v>
      </c>
    </row>
    <row r="7" spans="1:9" x14ac:dyDescent="0.2">
      <c r="A7" t="s">
        <v>74</v>
      </c>
      <c r="B7">
        <v>50.352496481517292</v>
      </c>
      <c r="C7">
        <v>28.500000000000011</v>
      </c>
      <c r="D7">
        <f>TableMUN[[#This Row],[ARIMAPP]]*$I$2+TableMUN[[#This Row],[LSTMPP]]*$I$3</f>
        <v>28.244797854016113</v>
      </c>
      <c r="E7">
        <v>31</v>
      </c>
      <c r="F7">
        <f>ABS(TableMUN[[#This Row],[PP]]-TableMUN[[#This Row],[AP]])</f>
        <v>2.7552021459838869</v>
      </c>
      <c r="H7" t="s">
        <v>3</v>
      </c>
      <c r="I7">
        <f>AVERAGE(TableMUN[DIFF])/10</f>
        <v>1.1259695779310965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79</v>
      </c>
      <c r="B2">
        <v>45.633802816901422</v>
      </c>
      <c r="C2">
        <v>44.642310869574167</v>
      </c>
      <c r="D2">
        <f>TableNEW[[#This Row],[ARIMAPP]]*$I$2+TableNEW[[#This Row],[LSTMPP]]*$I$3</f>
        <v>37.557869114693858</v>
      </c>
      <c r="E2">
        <v>38</v>
      </c>
      <c r="F2">
        <f>ABS(TableNEW[[#This Row],[PP]]-TableNEW[[#This Row],[AP]])</f>
        <v>0.44213088530614186</v>
      </c>
      <c r="H2" t="s">
        <v>0</v>
      </c>
      <c r="I2">
        <v>0.63607093890999999</v>
      </c>
    </row>
    <row r="3" spans="1:9" x14ac:dyDescent="0.2">
      <c r="A3" t="s">
        <v>116</v>
      </c>
      <c r="B3">
        <v>53.276010061329472</v>
      </c>
      <c r="C3">
        <v>38.095238095238088</v>
      </c>
      <c r="D3">
        <f>TableNEW[[#This Row],[ARIMAPP]]*$I$2+TableNEW[[#This Row],[LSTMPP]]*$I$3</f>
        <v>41.167652585659866</v>
      </c>
      <c r="E3">
        <v>34</v>
      </c>
      <c r="F3">
        <f>ABS(TableNEW[[#This Row],[PP]]-TableNEW[[#This Row],[AP]])</f>
        <v>7.1676525856598658</v>
      </c>
      <c r="H3" t="s">
        <v>1</v>
      </c>
      <c r="I3">
        <v>0.19110868467</v>
      </c>
    </row>
    <row r="4" spans="1:9" x14ac:dyDescent="0.2">
      <c r="A4" t="s">
        <v>117</v>
      </c>
      <c r="B4">
        <v>33.395772234332149</v>
      </c>
      <c r="C4">
        <v>30.84905660377359</v>
      </c>
      <c r="D4">
        <f>TableNEW[[#This Row],[ARIMAPP]]*$I$2+TableNEW[[#This Row],[LSTMPP]]*$I$3</f>
        <v>27.137602831573709</v>
      </c>
      <c r="E4">
        <v>28</v>
      </c>
      <c r="F4">
        <f>ABS(TableNEW[[#This Row],[PP]]-TableNEW[[#This Row],[AP]])</f>
        <v>0.86239716842629122</v>
      </c>
    </row>
    <row r="5" spans="1:9" x14ac:dyDescent="0.2">
      <c r="A5" t="s">
        <v>118</v>
      </c>
      <c r="B5">
        <v>29.62072105370595</v>
      </c>
      <c r="C5">
        <v>25.68421052631578</v>
      </c>
      <c r="D5">
        <f>TableNEW[[#This Row],[ARIMAPP]]*$I$2+TableNEW[[#This Row],[LSTMPP]]*$I$3</f>
        <v>23.749355542293525</v>
      </c>
      <c r="E5">
        <v>33</v>
      </c>
      <c r="F5">
        <f>ABS(TableNEW[[#This Row],[PP]]-TableNEW[[#This Row],[AP]])</f>
        <v>9.2506444577064748</v>
      </c>
      <c r="H5" t="s">
        <v>2</v>
      </c>
      <c r="I5">
        <f>SUM(ABS(TableNEW[[#This Row],[PP]]-TableNEW[[#This Row],[AP]]))</f>
        <v>9.2506444577064748</v>
      </c>
    </row>
    <row r="6" spans="1:9" x14ac:dyDescent="0.2">
      <c r="A6" t="s">
        <v>119</v>
      </c>
      <c r="B6">
        <v>29.692307692307679</v>
      </c>
      <c r="C6">
        <v>29.66346153846154</v>
      </c>
      <c r="D6">
        <f>TableNEW[[#This Row],[ARIMAPP]]*$I$2+TableNEW[[#This Row],[LSTMPP]]*$I$3</f>
        <v>24.555359149625282</v>
      </c>
      <c r="E6">
        <v>29</v>
      </c>
      <c r="F6">
        <f>ABS(TableNEW[[#This Row],[PP]]-TableNEW[[#This Row],[AP]])</f>
        <v>4.4446408503747179</v>
      </c>
    </row>
    <row r="7" spans="1:9" x14ac:dyDescent="0.2">
      <c r="A7" t="s">
        <v>120</v>
      </c>
      <c r="B7">
        <v>25.467625899280559</v>
      </c>
      <c r="C7">
        <v>26.261261261261261</v>
      </c>
      <c r="D7">
        <f>TableNEW[[#This Row],[ARIMAPP]]*$I$2+TableNEW[[#This Row],[LSTMPP]]*$I$3</f>
        <v>21.217971814978881</v>
      </c>
      <c r="E7">
        <v>32</v>
      </c>
      <c r="F7">
        <f>ABS(TableNEW[[#This Row],[PP]]-TableNEW[[#This Row],[AP]])</f>
        <v>10.782028185021119</v>
      </c>
      <c r="H7" t="s">
        <v>3</v>
      </c>
      <c r="I7">
        <f>AVERAGE(TableNEW[DIFF])/10</f>
        <v>0.55365428278038942</v>
      </c>
    </row>
    <row r="8" spans="1:9" x14ac:dyDescent="0.2">
      <c r="A8" t="s">
        <v>121</v>
      </c>
      <c r="B8">
        <v>44.90713863054205</v>
      </c>
      <c r="C8">
        <v>26.014492753623191</v>
      </c>
      <c r="D8">
        <f>TableNEW[[#This Row],[ARIMAPP]]*$I$2+TableNEW[[#This Row],[LSTMPP]]*$I$3</f>
        <v>33.535721324992593</v>
      </c>
      <c r="E8">
        <v>40</v>
      </c>
      <c r="F8">
        <f>ABS(TableNEW[[#This Row],[PP]]-TableNEW[[#This Row],[AP]])</f>
        <v>6.4642786750074066</v>
      </c>
    </row>
    <row r="9" spans="1:9" x14ac:dyDescent="0.2">
      <c r="A9" t="s">
        <v>122</v>
      </c>
      <c r="B9">
        <v>33.246614042337058</v>
      </c>
      <c r="C9">
        <v>35.316800394654592</v>
      </c>
      <c r="D9">
        <f>TableNEW[[#This Row],[ARIMAPP]]*$I$2+TableNEW[[#This Row],[LSTMPP]]*$I$3</f>
        <v>27.896552279663101</v>
      </c>
      <c r="E9">
        <v>29</v>
      </c>
      <c r="F9">
        <f>ABS(TableNEW[[#This Row],[PP]]-TableNEW[[#This Row],[AP]])</f>
        <v>1.1034477203368986</v>
      </c>
    </row>
    <row r="10" spans="1:9" x14ac:dyDescent="0.2">
      <c r="A10" t="s">
        <v>123</v>
      </c>
      <c r="B10">
        <v>43.834219839371613</v>
      </c>
      <c r="C10">
        <v>43.557913938867607</v>
      </c>
      <c r="D10">
        <f>TableNEW[[#This Row],[ARIMAPP]]*$I$2+TableNEW[[#This Row],[LSTMPP]]*$I$3</f>
        <v>36.205969009442498</v>
      </c>
      <c r="E10">
        <v>25</v>
      </c>
      <c r="F10">
        <f>ABS(TableNEW[[#This Row],[PP]]-TableNEW[[#This Row],[AP]])</f>
        <v>11.205969009442498</v>
      </c>
    </row>
    <row r="11" spans="1:9" x14ac:dyDescent="0.2">
      <c r="A11" t="s">
        <v>124</v>
      </c>
      <c r="B11">
        <v>50.370370370370381</v>
      </c>
      <c r="C11">
        <v>39.784220058656089</v>
      </c>
      <c r="D11">
        <f>TableNEW[[#This Row],[ARIMAPP]]*$I$2+TableNEW[[#This Row],[LSTMPP]]*$I$3</f>
        <v>39.642238740757527</v>
      </c>
      <c r="E11">
        <v>36</v>
      </c>
      <c r="F11">
        <f>ABS(TableNEW[[#This Row],[PP]]-TableNEW[[#This Row],[AP]])</f>
        <v>3.6422387407575272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125</v>
      </c>
      <c r="B2">
        <v>33.510623285976699</v>
      </c>
      <c r="C2">
        <v>33.931961709918461</v>
      </c>
      <c r="D2">
        <f>TableNFO[[#This Row],[ARIMAPP]]*$I$2+TableNFO[[#This Row],[LSTMPP]]*$I$3</f>
        <v>48.786853440515024</v>
      </c>
      <c r="E2">
        <v>46</v>
      </c>
      <c r="F2">
        <f>ABS(TableNFO[[#This Row],[PP]]-TableNFO[[#This Row],[AP]])</f>
        <v>2.7868534405150243</v>
      </c>
      <c r="H2" t="s">
        <v>0</v>
      </c>
      <c r="I2">
        <v>1.5599781524E-2</v>
      </c>
    </row>
    <row r="3" spans="1:9" x14ac:dyDescent="0.2">
      <c r="A3" t="s">
        <v>126</v>
      </c>
      <c r="B3">
        <v>34.447289500815998</v>
      </c>
      <c r="C3">
        <v>25.926959589527581</v>
      </c>
      <c r="D3">
        <f>TableNFO[[#This Row],[ARIMAPP]]*$I$2+TableNFO[[#This Row],[LSTMPP]]*$I$3</f>
        <v>37.415321791998899</v>
      </c>
      <c r="E3">
        <v>37</v>
      </c>
      <c r="F3">
        <f>ABS(TableNFO[[#This Row],[PP]]-TableNFO[[#This Row],[AP]])</f>
        <v>0.41532179199889896</v>
      </c>
      <c r="H3" t="s">
        <v>1</v>
      </c>
      <c r="I3">
        <v>1.4223785659999999</v>
      </c>
    </row>
    <row r="4" spans="1:9" x14ac:dyDescent="0.2">
      <c r="A4" t="s">
        <v>127</v>
      </c>
      <c r="B4">
        <v>25.42302362289362</v>
      </c>
      <c r="C4">
        <v>24.86486486486487</v>
      </c>
      <c r="D4">
        <f>TableNFO[[#This Row],[ARIMAPP]]*$I$2+TableNFO[[#This Row],[LSTMPP]]*$I$3</f>
        <v>35.763844444466905</v>
      </c>
      <c r="E4">
        <v>40</v>
      </c>
      <c r="F4">
        <f>ABS(TableNFO[[#This Row],[PP]]-TableNFO[[#This Row],[AP]])</f>
        <v>4.2361555555330952</v>
      </c>
    </row>
    <row r="5" spans="1:9" x14ac:dyDescent="0.2">
      <c r="H5" t="s">
        <v>2</v>
      </c>
      <c r="I5" t="e">
        <f>SUM(ABS(TableNFO[[#This Row],[PP]]-TableNFO[[#This Row],[AP]]))</f>
        <v>#VALUE!</v>
      </c>
    </row>
    <row r="7" spans="1:9" x14ac:dyDescent="0.2">
      <c r="H7" t="s">
        <v>3</v>
      </c>
      <c r="I7">
        <f>AVERAGE(TableNFO[DIFF])/10</f>
        <v>0.24794435960156727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128</v>
      </c>
      <c r="B2">
        <v>21.999999999999989</v>
      </c>
      <c r="C2">
        <v>22.8125</v>
      </c>
      <c r="D2">
        <f>TableSHU[[#This Row],[ARIMAPP]]*$I$2+TableSHU[[#This Row],[LSTMPP]]*$I$3</f>
        <v>23.21470140507579</v>
      </c>
      <c r="E2">
        <v>24</v>
      </c>
      <c r="F2">
        <f>ABS(TableSHU[[#This Row],[PP]]-TableSHU[[#This Row],[AP]])</f>
        <v>0.78529859492421039</v>
      </c>
      <c r="H2" t="s">
        <v>0</v>
      </c>
      <c r="I2">
        <v>1.0552136052000001</v>
      </c>
    </row>
    <row r="3" spans="1:9" x14ac:dyDescent="0.2">
      <c r="A3" t="s">
        <v>129</v>
      </c>
      <c r="B3">
        <v>21.943794224010119</v>
      </c>
      <c r="C3">
        <v>23.125</v>
      </c>
      <c r="D3">
        <f>TableSHU[[#This Row],[ARIMAPP]]*$I$2+TableSHU[[#This Row],[LSTMPP]]*$I$3</f>
        <v>23.155392334199849</v>
      </c>
      <c r="E3">
        <v>31</v>
      </c>
      <c r="F3">
        <f>ABS(TableSHU[[#This Row],[PP]]-TableSHU[[#This Row],[AP]])</f>
        <v>7.8446076658001509</v>
      </c>
      <c r="H3" t="s">
        <v>1</v>
      </c>
      <c r="I3">
        <v>9.1646062457000002E-8</v>
      </c>
    </row>
    <row r="4" spans="1:9" x14ac:dyDescent="0.2">
      <c r="A4" t="s">
        <v>130</v>
      </c>
      <c r="B4">
        <v>22.307692307692321</v>
      </c>
      <c r="C4">
        <v>24</v>
      </c>
      <c r="D4">
        <f>TableSHU[[#This Row],[ARIMAPP]]*$I$2+TableSHU[[#This Row],[LSTMPP]]*$I$3</f>
        <v>23.53938262319782</v>
      </c>
      <c r="E4">
        <v>24</v>
      </c>
      <c r="F4">
        <f>ABS(TableSHU[[#This Row],[PP]]-TableSHU[[#This Row],[AP]])</f>
        <v>0.46061737680217973</v>
      </c>
    </row>
    <row r="5" spans="1:9" x14ac:dyDescent="0.2">
      <c r="A5" t="s">
        <v>131</v>
      </c>
      <c r="B5">
        <v>30</v>
      </c>
      <c r="C5">
        <v>33.125</v>
      </c>
      <c r="D5">
        <f>TableSHU[[#This Row],[ARIMAPP]]*$I$2+TableSHU[[#This Row],[LSTMPP]]*$I$3</f>
        <v>31.65641119177582</v>
      </c>
      <c r="E5">
        <v>25</v>
      </c>
      <c r="F5">
        <f>ABS(TableSHU[[#This Row],[PP]]-TableSHU[[#This Row],[AP]])</f>
        <v>6.6564111917758204</v>
      </c>
      <c r="H5" t="s">
        <v>2</v>
      </c>
      <c r="I5">
        <f>SUM(ABS(TableSHU[[#This Row],[PP]]-TableSHU[[#This Row],[AP]]))</f>
        <v>6.6564111917758204</v>
      </c>
    </row>
    <row r="7" spans="1:9" x14ac:dyDescent="0.2">
      <c r="H7" t="s">
        <v>3</v>
      </c>
      <c r="I7">
        <f>AVERAGE(TableSHU[DIFF])/10</f>
        <v>0.39367337073255904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132</v>
      </c>
      <c r="B2">
        <v>27.121742455042991</v>
      </c>
      <c r="C2">
        <v>35.42307692307692</v>
      </c>
      <c r="D2">
        <f>TableTOT[[#This Row],[ARIMAPP]]*$I$2+TableTOT[[#This Row],[LSTMPP]]*$I$3</f>
        <v>42.192635494427321</v>
      </c>
      <c r="E2">
        <v>73</v>
      </c>
      <c r="F2">
        <f>ABS(TableTOT[[#This Row],[PP]]-TableTOT[[#This Row],[AP]])</f>
        <v>30.807364505572679</v>
      </c>
      <c r="H2" t="s">
        <v>0</v>
      </c>
      <c r="I2">
        <v>1.3161601915999999E-9</v>
      </c>
    </row>
    <row r="3" spans="1:9" x14ac:dyDescent="0.2">
      <c r="A3" t="s">
        <v>133</v>
      </c>
      <c r="B3">
        <v>30.370370370370381</v>
      </c>
      <c r="C3">
        <v>27.325581395348841</v>
      </c>
      <c r="D3">
        <f>TableTOT[[#This Row],[ARIMAPP]]*$I$2+TableTOT[[#This Row],[LSTMPP]]*$I$3</f>
        <v>32.54766090566995</v>
      </c>
      <c r="E3">
        <v>29</v>
      </c>
      <c r="F3">
        <f>ABS(TableTOT[[#This Row],[PP]]-TableTOT[[#This Row],[AP]])</f>
        <v>3.5476609056699502</v>
      </c>
      <c r="H3" t="s">
        <v>1</v>
      </c>
      <c r="I3">
        <v>1.191105887</v>
      </c>
    </row>
    <row r="4" spans="1:9" x14ac:dyDescent="0.2">
      <c r="A4" t="s">
        <v>134</v>
      </c>
      <c r="B4">
        <v>40.103694625824623</v>
      </c>
      <c r="C4">
        <v>39.729606143882492</v>
      </c>
      <c r="D4">
        <f>TableTOT[[#This Row],[ARIMAPP]]*$I$2+TableTOT[[#This Row],[LSTMPP]]*$I$3</f>
        <v>47.322167818952693</v>
      </c>
      <c r="E4">
        <v>37</v>
      </c>
      <c r="F4">
        <f>ABS(TableTOT[[#This Row],[PP]]-TableTOT[[#This Row],[AP]])</f>
        <v>10.322167818952693</v>
      </c>
    </row>
    <row r="5" spans="1:9" x14ac:dyDescent="0.2">
      <c r="A5" t="s">
        <v>135</v>
      </c>
      <c r="B5">
        <v>29.78723404255318</v>
      </c>
      <c r="C5">
        <v>30</v>
      </c>
      <c r="D5">
        <f>TableTOT[[#This Row],[ARIMAPP]]*$I$2+TableTOT[[#This Row],[LSTMPP]]*$I$3</f>
        <v>35.733176649204772</v>
      </c>
      <c r="E5">
        <v>39</v>
      </c>
      <c r="F5">
        <f>ABS(TableTOT[[#This Row],[PP]]-TableTOT[[#This Row],[AP]])</f>
        <v>3.266823350795228</v>
      </c>
      <c r="H5" t="s">
        <v>2</v>
      </c>
      <c r="I5">
        <f>SUM(ABS(TableTOT[[#This Row],[PP]]-TableTOT[[#This Row],[AP]]))</f>
        <v>3.266823350795228</v>
      </c>
    </row>
    <row r="6" spans="1:9" x14ac:dyDescent="0.2">
      <c r="A6" t="s">
        <v>136</v>
      </c>
      <c r="B6">
        <v>50.666666666666679</v>
      </c>
      <c r="C6">
        <v>40.746576692510523</v>
      </c>
      <c r="D6">
        <f>TableTOT[[#This Row],[ARIMAPP]]*$I$2+TableTOT[[#This Row],[LSTMPP]]*$I$3</f>
        <v>48.533487440231724</v>
      </c>
      <c r="E6">
        <v>58</v>
      </c>
      <c r="F6">
        <f>ABS(TableTOT[[#This Row],[PP]]-TableTOT[[#This Row],[AP]])</f>
        <v>9.466512559768276</v>
      </c>
    </row>
    <row r="7" spans="1:9" x14ac:dyDescent="0.2">
      <c r="A7" t="s">
        <v>137</v>
      </c>
      <c r="B7">
        <v>20.5</v>
      </c>
      <c r="C7">
        <v>23.75</v>
      </c>
      <c r="D7">
        <f>TableTOT[[#This Row],[ARIMAPP]]*$I$2+TableTOT[[#This Row],[LSTMPP]]*$I$3</f>
        <v>28.288764843231281</v>
      </c>
      <c r="E7">
        <v>27</v>
      </c>
      <c r="F7">
        <f>ABS(TableTOT[[#This Row],[PP]]-TableTOT[[#This Row],[AP]])</f>
        <v>1.2887648432312808</v>
      </c>
      <c r="H7" t="s">
        <v>3</v>
      </c>
      <c r="I7">
        <f>AVERAGE(TableTOT[DIFF])/10</f>
        <v>1.0743883455487269</v>
      </c>
    </row>
    <row r="8" spans="1:9" x14ac:dyDescent="0.2">
      <c r="A8" t="s">
        <v>138</v>
      </c>
      <c r="B8">
        <v>40.370370370370381</v>
      </c>
      <c r="C8">
        <v>34.155849011960967</v>
      </c>
      <c r="D8">
        <f>TableTOT[[#This Row],[ARIMAPP]]*$I$2+TableTOT[[#This Row],[LSTMPP]]*$I$3</f>
        <v>40.683232886763712</v>
      </c>
      <c r="E8">
        <v>35</v>
      </c>
      <c r="F8">
        <f>ABS(TableTOT[[#This Row],[PP]]-TableTOT[[#This Row],[AP]])</f>
        <v>5.6832328867637116</v>
      </c>
    </row>
    <row r="9" spans="1:9" x14ac:dyDescent="0.2">
      <c r="A9" t="s">
        <v>139</v>
      </c>
      <c r="B9">
        <v>32.040375910809843</v>
      </c>
      <c r="C9">
        <v>39.09689410423848</v>
      </c>
      <c r="D9">
        <f>TableTOT[[#This Row],[ARIMAPP]]*$I$2+TableTOT[[#This Row],[LSTMPP]]*$I$3</f>
        <v>46.568540773144314</v>
      </c>
      <c r="E9">
        <v>25</v>
      </c>
      <c r="F9">
        <f>ABS(TableTOT[[#This Row],[PP]]-TableTOT[[#This Row],[AP]])</f>
        <v>21.568540773144314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9"/>
  <sheetViews>
    <sheetView workbookViewId="0">
      <selection activeCell="I4" sqref="I4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140</v>
      </c>
      <c r="B2">
        <v>38.229211712685917</v>
      </c>
      <c r="C2">
        <v>33.472222222222221</v>
      </c>
      <c r="D2">
        <f>TableWHU[[#This Row],[ARIMAPP]]*$I$2+TableWHU[[#This Row],[LSTMPP]]*$I$3</f>
        <v>35.682621323843016</v>
      </c>
      <c r="E2">
        <v>47</v>
      </c>
      <c r="F2">
        <f>ABS(TableWHU[[#This Row],[PP]]-TableWHU[[#This Row],[AP]])</f>
        <v>11.317378676156984</v>
      </c>
      <c r="H2" t="s">
        <v>0</v>
      </c>
      <c r="I2">
        <v>0.12941428181</v>
      </c>
    </row>
    <row r="3" spans="1:9" x14ac:dyDescent="0.2">
      <c r="A3" t="s">
        <v>141</v>
      </c>
      <c r="B3">
        <v>32.414332373331078</v>
      </c>
      <c r="C3">
        <v>31.21621621621621</v>
      </c>
      <c r="D3">
        <f>TableWHU[[#This Row],[ARIMAPP]]*$I$2+TableWHU[[#This Row],[LSTMPP]]*$I$3</f>
        <v>32.858559367520947</v>
      </c>
      <c r="E3">
        <v>22</v>
      </c>
      <c r="F3">
        <f>ABS(TableWHU[[#This Row],[PP]]-TableWHU[[#This Row],[AP]])</f>
        <v>10.858559367520947</v>
      </c>
      <c r="H3" t="s">
        <v>1</v>
      </c>
      <c r="I3">
        <v>0.91823049995999995</v>
      </c>
    </row>
    <row r="4" spans="1:9" x14ac:dyDescent="0.2">
      <c r="A4" t="s">
        <v>142</v>
      </c>
      <c r="B4">
        <v>17.5</v>
      </c>
      <c r="C4">
        <v>23.229166666666671</v>
      </c>
      <c r="D4">
        <f>TableWHU[[#This Row],[ARIMAPP]]*$I$2+TableWHU[[#This Row],[LSTMPP]]*$I$3</f>
        <v>23.594479253662502</v>
      </c>
      <c r="E4">
        <v>35</v>
      </c>
      <c r="F4">
        <f>ABS(TableWHU[[#This Row],[PP]]-TableWHU[[#This Row],[AP]])</f>
        <v>11.405520746337498</v>
      </c>
    </row>
    <row r="5" spans="1:9" x14ac:dyDescent="0.2">
      <c r="A5" t="s">
        <v>143</v>
      </c>
      <c r="B5">
        <v>44.962406015037637</v>
      </c>
      <c r="C5">
        <v>36.320754716981128</v>
      </c>
      <c r="D5">
        <f>TableWHU[[#This Row],[ARIMAPP]]*$I$2+TableWHU[[#This Row],[LSTMPP]]*$I$3</f>
        <v>39.169602245583832</v>
      </c>
      <c r="E5">
        <v>41</v>
      </c>
      <c r="F5">
        <f>ABS(TableWHU[[#This Row],[PP]]-TableWHU[[#This Row],[AP]])</f>
        <v>1.8303977544161683</v>
      </c>
      <c r="H5" t="s">
        <v>2</v>
      </c>
      <c r="I5">
        <f>SUM(ABS(TableWHU[[#This Row],[PP]]-TableWHU[[#This Row],[AP]]))</f>
        <v>1.8303977544161683</v>
      </c>
    </row>
    <row r="6" spans="1:9" x14ac:dyDescent="0.2">
      <c r="A6" t="s">
        <v>144</v>
      </c>
      <c r="B6">
        <v>31.632653061224499</v>
      </c>
      <c r="C6">
        <v>30.512820512820511</v>
      </c>
      <c r="D6">
        <f>TableWHU[[#This Row],[ARIMAPP]]*$I$2+TableWHU[[#This Row],[LSTMPP]]*$I$3</f>
        <v>32.111519512340188</v>
      </c>
      <c r="E6">
        <v>44</v>
      </c>
      <c r="F6">
        <f>ABS(TableWHU[[#This Row],[PP]]-TableWHU[[#This Row],[AP]])</f>
        <v>11.888480487659812</v>
      </c>
    </row>
    <row r="7" spans="1:9" x14ac:dyDescent="0.2">
      <c r="A7" t="s">
        <v>145</v>
      </c>
      <c r="B7">
        <v>34.010898203455042</v>
      </c>
      <c r="C7">
        <v>37.054391755404588</v>
      </c>
      <c r="D7">
        <f>TableWHU[[#This Row],[ARIMAPP]]*$I$2+TableWHU[[#This Row],[LSTMPP]]*$I$3</f>
        <v>38.425968631992014</v>
      </c>
      <c r="E7">
        <v>40</v>
      </c>
      <c r="F7">
        <f>ABS(TableWHU[[#This Row],[PP]]-TableWHU[[#This Row],[AP]])</f>
        <v>1.5740313680079865</v>
      </c>
      <c r="H7" t="s">
        <v>3</v>
      </c>
      <c r="I7">
        <f>AVERAGE(TableWHU[DIFF])/10</f>
        <v>0.88331977373978232</v>
      </c>
    </row>
    <row r="8" spans="1:9" x14ac:dyDescent="0.2">
      <c r="A8" t="s">
        <v>146</v>
      </c>
      <c r="B8">
        <v>32.727272727272727</v>
      </c>
      <c r="C8">
        <v>37.5</v>
      </c>
      <c r="D8">
        <f>TableWHU[[#This Row],[ARIMAPP]]*$I$2+TableWHU[[#This Row],[LSTMPP]]*$I$3</f>
        <v>38.669020244099997</v>
      </c>
      <c r="E8">
        <v>25</v>
      </c>
      <c r="F8">
        <f>ABS(TableWHU[[#This Row],[PP]]-TableWHU[[#This Row],[AP]])</f>
        <v>13.669020244099997</v>
      </c>
    </row>
    <row r="9" spans="1:9" x14ac:dyDescent="0.2">
      <c r="A9" t="s">
        <v>147</v>
      </c>
      <c r="B9">
        <v>42.454771877364578</v>
      </c>
      <c r="C9">
        <v>34.444444444444443</v>
      </c>
      <c r="D9">
        <f>TableWHU[[#This Row],[ARIMAPP]]*$I$2+TableWHU[[#This Row],[LSTMPP]]*$I$3</f>
        <v>37.122193254983188</v>
      </c>
      <c r="E9">
        <v>29</v>
      </c>
      <c r="F9">
        <f>ABS(TableWHU[[#This Row],[PP]]-TableWHU[[#This Row],[AP]])</f>
        <v>8.1221932549831877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26.639619783527198</v>
      </c>
      <c r="C2">
        <v>32.480314960629919</v>
      </c>
      <c r="D2">
        <f>TableAVL[[#This Row],[ARIMAPP]]*$I$2+TableAVL[[#This Row],[LSTMPP]]*$I$3</f>
        <v>31.735508059438047</v>
      </c>
      <c r="E2">
        <v>28</v>
      </c>
      <c r="F2">
        <f>ABS(TableAVL[[#This Row],[PP]]-TableAVL[[#This Row],[AP]])</f>
        <v>3.7355080594380468</v>
      </c>
      <c r="H2" t="s">
        <v>0</v>
      </c>
      <c r="I2">
        <v>0.40743600911</v>
      </c>
    </row>
    <row r="3" spans="1:9" x14ac:dyDescent="0.2">
      <c r="A3" t="s">
        <v>23</v>
      </c>
      <c r="B3">
        <v>32.645161290322562</v>
      </c>
      <c r="C3">
        <v>32.137096774193552</v>
      </c>
      <c r="D3">
        <f>TableAVL[[#This Row],[ARIMAPP]]*$I$2+TableAVL[[#This Row],[LSTMPP]]*$I$3</f>
        <v>33.96172723462</v>
      </c>
      <c r="E3">
        <v>27</v>
      </c>
      <c r="F3">
        <f>ABS(TableAVL[[#This Row],[PP]]-TableAVL[[#This Row],[AP]])</f>
        <v>6.9617272346199996</v>
      </c>
      <c r="H3" t="s">
        <v>1</v>
      </c>
      <c r="I3">
        <v>0.64289917496000004</v>
      </c>
    </row>
    <row r="4" spans="1:9" x14ac:dyDescent="0.2">
      <c r="A4" t="s">
        <v>24</v>
      </c>
      <c r="B4">
        <v>58.622858794401367</v>
      </c>
      <c r="C4">
        <v>27.37068965517242</v>
      </c>
      <c r="D4">
        <f>TableAVL[[#This Row],[ARIMAPP]]*$I$2+TableAVL[[#This Row],[LSTMPP]]*$I$3</f>
        <v>41.481657427206514</v>
      </c>
      <c r="E4">
        <v>43</v>
      </c>
      <c r="F4">
        <f>ABS(TableAVL[[#This Row],[PP]]-TableAVL[[#This Row],[AP]])</f>
        <v>1.5183425727934861</v>
      </c>
    </row>
    <row r="5" spans="1:9" x14ac:dyDescent="0.2">
      <c r="A5" t="s">
        <v>25</v>
      </c>
      <c r="B5">
        <v>30.285714285714249</v>
      </c>
      <c r="C5">
        <v>29.6875</v>
      </c>
      <c r="D5">
        <f>TableAVL[[#This Row],[ARIMAPP]]*$I$2+TableAVL[[#This Row],[LSTMPP]]*$I$3</f>
        <v>31.425559818242128</v>
      </c>
      <c r="E5">
        <v>38</v>
      </c>
      <c r="F5">
        <f>ABS(TableAVL[[#This Row],[PP]]-TableAVL[[#This Row],[AP]])</f>
        <v>6.5744401817578719</v>
      </c>
      <c r="H5" t="s">
        <v>2</v>
      </c>
      <c r="I5">
        <f>SUM(ABS(TableAVL[[#This Row],[PP]]-TableAVL[[#This Row],[AP]]))</f>
        <v>6.5744401817578719</v>
      </c>
    </row>
    <row r="6" spans="1:9" x14ac:dyDescent="0.2">
      <c r="A6" t="s">
        <v>26</v>
      </c>
      <c r="B6">
        <v>28.296296296296291</v>
      </c>
      <c r="C6">
        <v>28.472222222222221</v>
      </c>
      <c r="D6">
        <f>TableAVL[[#This Row],[ARIMAPP]]*$I$2+TableAVL[[#This Row],[LSTMPP]]*$I$3</f>
        <v>29.833698211501481</v>
      </c>
      <c r="E6">
        <v>26</v>
      </c>
      <c r="F6">
        <f>ABS(TableAVL[[#This Row],[PP]]-TableAVL[[#This Row],[AP]])</f>
        <v>3.8336982115014813</v>
      </c>
    </row>
    <row r="7" spans="1:9" x14ac:dyDescent="0.2">
      <c r="A7" t="s">
        <v>27</v>
      </c>
      <c r="B7">
        <v>45.344827586206897</v>
      </c>
      <c r="C7">
        <v>41.979269664067402</v>
      </c>
      <c r="D7">
        <f>TableAVL[[#This Row],[ARIMAPP]]*$I$2+TableAVL[[#This Row],[LSTMPP]]*$I$3</f>
        <v>45.463553417957463</v>
      </c>
      <c r="E7">
        <v>61</v>
      </c>
      <c r="F7">
        <f>ABS(TableAVL[[#This Row],[PP]]-TableAVL[[#This Row],[AP]])</f>
        <v>15.536446582042537</v>
      </c>
      <c r="H7" t="s">
        <v>3</v>
      </c>
      <c r="I7">
        <f>AVERAGE(TableAVL[DIFF])/10</f>
        <v>1.0724896572378917</v>
      </c>
    </row>
    <row r="8" spans="1:9" x14ac:dyDescent="0.2">
      <c r="A8" t="s">
        <v>28</v>
      </c>
      <c r="B8">
        <v>28.688524590163951</v>
      </c>
      <c r="C8">
        <v>28.229166666666671</v>
      </c>
      <c r="D8">
        <f>TableAVL[[#This Row],[ARIMAPP]]*$I$2+TableAVL[[#This Row],[LSTMPP]]*$I$3</f>
        <v>29.837245926078836</v>
      </c>
      <c r="E8">
        <v>49</v>
      </c>
      <c r="F8">
        <f>ABS(TableAVL[[#This Row],[PP]]-TableAVL[[#This Row],[AP]])</f>
        <v>19.162754073921164</v>
      </c>
    </row>
    <row r="9" spans="1:9" x14ac:dyDescent="0.2">
      <c r="A9" t="s">
        <v>29</v>
      </c>
      <c r="B9">
        <v>31.347941401710582</v>
      </c>
      <c r="C9">
        <v>32.297297297297298</v>
      </c>
      <c r="D9">
        <f>TableAVL[[#This Row],[ARIMAPP]]*$I$2+TableAVL[[#This Row],[LSTMPP]]*$I$3</f>
        <v>33.536185924397373</v>
      </c>
      <c r="E9">
        <v>45</v>
      </c>
      <c r="F9">
        <f>ABS(TableAVL[[#This Row],[PP]]-TableAVL[[#This Row],[AP]])</f>
        <v>11.463814075602627</v>
      </c>
    </row>
    <row r="10" spans="1:9" x14ac:dyDescent="0.2">
      <c r="A10" t="s">
        <v>30</v>
      </c>
      <c r="B10">
        <v>52.870182177575863</v>
      </c>
      <c r="C10">
        <v>48.524128428573349</v>
      </c>
      <c r="D10">
        <f>TableAVL[[#This Row],[ARIMAPP]]*$I$2+TableAVL[[#This Row],[LSTMPP]]*$I$3</f>
        <v>52.737338159733049</v>
      </c>
      <c r="E10">
        <v>25</v>
      </c>
      <c r="F10">
        <f>ABS(TableAVL[[#This Row],[PP]]-TableAVL[[#This Row],[AP]])</f>
        <v>27.737338159733049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148</v>
      </c>
      <c r="B2">
        <v>19.866666666666649</v>
      </c>
      <c r="C2">
        <v>25.166666666666661</v>
      </c>
      <c r="D2">
        <f>TableWOL[[#This Row],[ARIMAPP]]*$I$2+TableWOL[[#This Row],[LSTMPP]]*$I$3</f>
        <v>31.528311605341315</v>
      </c>
      <c r="E2">
        <v>42</v>
      </c>
      <c r="F2">
        <f>ABS(TableWOL[[#This Row],[PP]]-TableWOL[[#This Row],[AP]])</f>
        <v>10.471688394658685</v>
      </c>
      <c r="H2" t="s">
        <v>0</v>
      </c>
      <c r="I2">
        <v>0.53879556148999996</v>
      </c>
    </row>
    <row r="3" spans="1:9" x14ac:dyDescent="0.2">
      <c r="A3" t="s">
        <v>149</v>
      </c>
      <c r="B3">
        <v>29.800000000000029</v>
      </c>
      <c r="C3">
        <v>30.249999999999989</v>
      </c>
      <c r="D3">
        <f>TableWOL[[#This Row],[ARIMAPP]]*$I$2+TableWOL[[#This Row],[LSTMPP]]*$I$3</f>
        <v>41.08656813471201</v>
      </c>
      <c r="E3">
        <v>37</v>
      </c>
      <c r="F3">
        <f>ABS(TableWOL[[#This Row],[PP]]-TableWOL[[#This Row],[AP]])</f>
        <v>4.0865681347120102</v>
      </c>
      <c r="H3" t="s">
        <v>1</v>
      </c>
      <c r="I3">
        <v>0.82745323644000002</v>
      </c>
    </row>
    <row r="4" spans="1:9" x14ac:dyDescent="0.2">
      <c r="A4" t="s">
        <v>150</v>
      </c>
      <c r="B4">
        <v>24.202086166370201</v>
      </c>
      <c r="C4">
        <v>27.853359055790609</v>
      </c>
      <c r="D4">
        <f>TableWOL[[#This Row],[ARIMAPP]]*$I$2+TableWOL[[#This Row],[LSTMPP]]*$I$3</f>
        <v>36.087328701678118</v>
      </c>
      <c r="E4">
        <v>42</v>
      </c>
      <c r="F4">
        <f>ABS(TableWOL[[#This Row],[PP]]-TableWOL[[#This Row],[AP]])</f>
        <v>5.9126712983218823</v>
      </c>
    </row>
    <row r="5" spans="1:9" x14ac:dyDescent="0.2">
      <c r="A5" t="s">
        <v>151</v>
      </c>
      <c r="B5">
        <v>41.713544619278572</v>
      </c>
      <c r="C5">
        <v>34.921875</v>
      </c>
      <c r="D5">
        <f>TableWOL[[#This Row],[ARIMAPP]]*$I$2+TableWOL[[#This Row],[LSTMPP]]*$I$3</f>
        <v>51.371291186185488</v>
      </c>
      <c r="E5">
        <v>28</v>
      </c>
      <c r="F5">
        <f>ABS(TableWOL[[#This Row],[PP]]-TableWOL[[#This Row],[AP]])</f>
        <v>23.371291186185488</v>
      </c>
      <c r="H5" t="s">
        <v>2</v>
      </c>
      <c r="I5">
        <f>SUM(ABS(TableWOL[[#This Row],[PP]]-TableWOL[[#This Row],[AP]]))</f>
        <v>23.371291186185488</v>
      </c>
    </row>
    <row r="6" spans="1:9" x14ac:dyDescent="0.2">
      <c r="A6" t="s">
        <v>152</v>
      </c>
      <c r="B6">
        <v>21.612903225806441</v>
      </c>
      <c r="C6">
        <v>25</v>
      </c>
      <c r="D6">
        <f>TableWOL[[#This Row],[ARIMAPP]]*$I$2+TableWOL[[#This Row],[LSTMPP]]*$I$3</f>
        <v>32.331267239977414</v>
      </c>
      <c r="E6">
        <v>32</v>
      </c>
      <c r="F6">
        <f>ABS(TableWOL[[#This Row],[PP]]-TableWOL[[#This Row],[AP]])</f>
        <v>0.33126723997741436</v>
      </c>
    </row>
    <row r="7" spans="1:9" x14ac:dyDescent="0.2">
      <c r="A7" t="s">
        <v>153</v>
      </c>
      <c r="B7">
        <v>54.139593582216882</v>
      </c>
      <c r="C7">
        <v>26.37931034482758</v>
      </c>
      <c r="D7">
        <f>TableWOL[[#This Row],[ARIMAPP]]*$I$2+TableWOL[[#This Row],[LSTMPP]]*$I$3</f>
        <v>50.997818442853699</v>
      </c>
      <c r="E7">
        <v>51</v>
      </c>
      <c r="F7">
        <f>ABS(TableWOL[[#This Row],[PP]]-TableWOL[[#This Row],[AP]])</f>
        <v>2.1815571463008609E-3</v>
      </c>
      <c r="H7" t="s">
        <v>3</v>
      </c>
      <c r="I7">
        <f>AVERAGE(TableWOL[DIFF])/10</f>
        <v>0.86087712484166001</v>
      </c>
    </row>
    <row r="8" spans="1:9" x14ac:dyDescent="0.2">
      <c r="A8" t="s">
        <v>154</v>
      </c>
      <c r="B8">
        <v>38.307746678075752</v>
      </c>
      <c r="C8">
        <v>26.666666666666671</v>
      </c>
      <c r="D8">
        <f>TableWOL[[#This Row],[ARIMAPP]]*$I$2+TableWOL[[#This Row],[LSTMPP]]*$I$3</f>
        <v>42.705463519230506</v>
      </c>
      <c r="E8">
        <v>61</v>
      </c>
      <c r="F8">
        <f>ABS(TableWOL[[#This Row],[PP]]-TableWOL[[#This Row],[AP]])</f>
        <v>18.294536480769494</v>
      </c>
    </row>
    <row r="9" spans="1:9" x14ac:dyDescent="0.2">
      <c r="A9" t="s">
        <v>155</v>
      </c>
      <c r="B9">
        <v>20.55555555555555</v>
      </c>
      <c r="C9">
        <v>22.5</v>
      </c>
      <c r="D9">
        <f>TableWOL[[#This Row],[ARIMAPP]]*$I$2+TableWOL[[#This Row],[LSTMPP]]*$I$3</f>
        <v>29.692939917194444</v>
      </c>
      <c r="E9">
        <v>38</v>
      </c>
      <c r="F9">
        <f>ABS(TableWOL[[#This Row],[PP]]-TableWOL[[#This Row],[AP]])</f>
        <v>8.3070600828055561</v>
      </c>
    </row>
    <row r="10" spans="1:9" x14ac:dyDescent="0.2">
      <c r="A10" t="s">
        <v>156</v>
      </c>
      <c r="B10">
        <v>17.75593834151346</v>
      </c>
      <c r="C10">
        <v>23.125</v>
      </c>
      <c r="D10">
        <f>TableWOL[[#This Row],[ARIMAPP]]*$I$2+TableWOL[[#This Row],[LSTMPP]]*$I$3</f>
        <v>28.701676861172565</v>
      </c>
      <c r="E10">
        <v>22</v>
      </c>
      <c r="F10">
        <f>ABS(TableWOL[[#This Row],[PP]]-TableWOL[[#This Row],[AP]])</f>
        <v>6.7016768611725652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31</v>
      </c>
      <c r="B2">
        <v>41.610636157222793</v>
      </c>
      <c r="C2">
        <v>27.941176470588228</v>
      </c>
      <c r="D2">
        <f>TableBOU[[#This Row],[ARIMAPP]]*$I$2+TableBOU[[#This Row],[LSTMPP]]*$I$3</f>
        <v>54.751114958751131</v>
      </c>
      <c r="E2">
        <v>54</v>
      </c>
      <c r="F2">
        <f>ABS(TableBOU[[#This Row],[PP]]-TableBOU[[#This Row],[AP]])</f>
        <v>0.75111495875113121</v>
      </c>
      <c r="H2" t="s">
        <v>0</v>
      </c>
      <c r="I2">
        <v>1.3157961524999999</v>
      </c>
    </row>
    <row r="3" spans="1:9" x14ac:dyDescent="0.2">
      <c r="A3" t="s">
        <v>32</v>
      </c>
      <c r="B3">
        <v>20</v>
      </c>
      <c r="C3">
        <v>24.411764705882359</v>
      </c>
      <c r="D3">
        <f>TableBOU[[#This Row],[ARIMAPP]]*$I$2+TableBOU[[#This Row],[LSTMPP]]*$I$3</f>
        <v>26.315923049999999</v>
      </c>
      <c r="E3">
        <v>25</v>
      </c>
      <c r="F3">
        <f>ABS(TableBOU[[#This Row],[PP]]-TableBOU[[#This Row],[AP]])</f>
        <v>1.3159230499999985</v>
      </c>
      <c r="H3" t="s">
        <v>1</v>
      </c>
      <c r="I3">
        <v>0</v>
      </c>
    </row>
    <row r="4" spans="1:9" x14ac:dyDescent="0.2">
      <c r="A4" t="s">
        <v>33</v>
      </c>
      <c r="B4">
        <v>34.787186231729287</v>
      </c>
      <c r="C4">
        <v>38.75076587435057</v>
      </c>
      <c r="D4">
        <f>TableBOU[[#This Row],[ARIMAPP]]*$I$2+TableBOU[[#This Row],[LSTMPP]]*$I$3</f>
        <v>45.772845800010366</v>
      </c>
      <c r="E4">
        <v>44</v>
      </c>
      <c r="F4">
        <f>ABS(TableBOU[[#This Row],[PP]]-TableBOU[[#This Row],[AP]])</f>
        <v>1.7728458000103657</v>
      </c>
    </row>
    <row r="5" spans="1:9" x14ac:dyDescent="0.2">
      <c r="A5" t="s">
        <v>34</v>
      </c>
      <c r="B5">
        <v>19.369027477954791</v>
      </c>
      <c r="C5">
        <v>26.12903225806452</v>
      </c>
      <c r="D5">
        <f>TableBOU[[#This Row],[ARIMAPP]]*$I$2+TableBOU[[#This Row],[LSTMPP]]*$I$3</f>
        <v>25.485691833159692</v>
      </c>
      <c r="E5">
        <v>50</v>
      </c>
      <c r="F5">
        <f>ABS(TableBOU[[#This Row],[PP]]-TableBOU[[#This Row],[AP]])</f>
        <v>24.514308166840308</v>
      </c>
      <c r="H5" t="s">
        <v>2</v>
      </c>
      <c r="I5">
        <f>SUM(ABS(TableBOU[[#This Row],[PP]]-TableBOU[[#This Row],[AP]]))</f>
        <v>24.514308166840308</v>
      </c>
    </row>
    <row r="6" spans="1:9" x14ac:dyDescent="0.2">
      <c r="A6" t="s">
        <v>35</v>
      </c>
      <c r="B6">
        <v>35.122695858968719</v>
      </c>
      <c r="C6">
        <v>71.306930963984541</v>
      </c>
      <c r="D6">
        <f>TableBOU[[#This Row],[ARIMAPP]]*$I$2+TableBOU[[#This Row],[LSTMPP]]*$I$3</f>
        <v>46.214308076658718</v>
      </c>
      <c r="E6">
        <v>36</v>
      </c>
      <c r="F6">
        <f>ABS(TableBOU[[#This Row],[PP]]-TableBOU[[#This Row],[AP]])</f>
        <v>10.214308076658718</v>
      </c>
    </row>
    <row r="7" spans="1:9" x14ac:dyDescent="0.2">
      <c r="A7" t="s">
        <v>36</v>
      </c>
      <c r="B7">
        <v>23.09588236798086</v>
      </c>
      <c r="C7">
        <v>25.714285714285719</v>
      </c>
      <c r="D7">
        <f>TableBOU[[#This Row],[ARIMAPP]]*$I$2+TableBOU[[#This Row],[LSTMPP]]*$I$3</f>
        <v>30.389473158381804</v>
      </c>
      <c r="E7">
        <v>25</v>
      </c>
      <c r="F7">
        <f>ABS(TableBOU[[#This Row],[PP]]-TableBOU[[#This Row],[AP]])</f>
        <v>5.3894731583818043</v>
      </c>
      <c r="H7" t="s">
        <v>3</v>
      </c>
      <c r="I7">
        <f>AVERAGE(TableBOU[DIFF])/10</f>
        <v>0.76684131578729908</v>
      </c>
    </row>
    <row r="8" spans="1:9" x14ac:dyDescent="0.2">
      <c r="A8" t="s">
        <v>37</v>
      </c>
      <c r="B8">
        <v>13.132034983307481</v>
      </c>
      <c r="C8">
        <v>21.15384615384616</v>
      </c>
      <c r="D8">
        <f>TableBOU[[#This Row],[ARIMAPP]]*$I$2+TableBOU[[#This Row],[LSTMPP]]*$I$3</f>
        <v>17.279081105531382</v>
      </c>
      <c r="E8">
        <v>27</v>
      </c>
      <c r="F8">
        <f>ABS(TableBOU[[#This Row],[PP]]-TableBOU[[#This Row],[AP]])</f>
        <v>9.7209188944686176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38</v>
      </c>
      <c r="B2">
        <v>19.8726304228652</v>
      </c>
      <c r="C2">
        <v>30.42056074766354</v>
      </c>
      <c r="D2">
        <f>TableBRE[[#This Row],[ARIMAPP]]*$I$2+TableBRE[[#This Row],[LSTMPP]]*$I$3</f>
        <v>32.621134874623579</v>
      </c>
      <c r="E2">
        <v>37</v>
      </c>
      <c r="F2">
        <f>ABS(TableBRE[[#This Row],[PP]]-TableBRE[[#This Row],[AP]])</f>
        <v>4.3788651253764215</v>
      </c>
      <c r="H2" t="s">
        <v>0</v>
      </c>
      <c r="I2">
        <v>8.6275874946999995E-2</v>
      </c>
    </row>
    <row r="3" spans="1:9" x14ac:dyDescent="0.2">
      <c r="A3" t="s">
        <v>39</v>
      </c>
      <c r="B3">
        <v>24.08231353807226</v>
      </c>
      <c r="C3">
        <v>26.916666666666671</v>
      </c>
      <c r="D3">
        <f>TableBRE[[#This Row],[ARIMAPP]]*$I$2+TableBRE[[#This Row],[LSTMPP]]*$I$3</f>
        <v>29.424451300128503</v>
      </c>
      <c r="E3">
        <v>23</v>
      </c>
      <c r="F3">
        <f>ABS(TableBRE[[#This Row],[PP]]-TableBRE[[#This Row],[AP]])</f>
        <v>6.4244513001285029</v>
      </c>
      <c r="H3" t="s">
        <v>1</v>
      </c>
      <c r="I3">
        <v>1.0159775341999999</v>
      </c>
    </row>
    <row r="4" spans="1:9" x14ac:dyDescent="0.2">
      <c r="A4" t="s">
        <v>40</v>
      </c>
      <c r="B4">
        <v>38.799999999999983</v>
      </c>
      <c r="C4">
        <v>33.958945638494313</v>
      </c>
      <c r="D4">
        <f>TableBRE[[#This Row],[ARIMAPP]]*$I$2+TableBRE[[#This Row],[LSTMPP]]*$I$3</f>
        <v>37.849029801772893</v>
      </c>
      <c r="E4">
        <v>52</v>
      </c>
      <c r="F4">
        <f>ABS(TableBRE[[#This Row],[PP]]-TableBRE[[#This Row],[AP]])</f>
        <v>14.150970198227107</v>
      </c>
    </row>
    <row r="5" spans="1:9" x14ac:dyDescent="0.2">
      <c r="A5" t="s">
        <v>41</v>
      </c>
      <c r="B5">
        <v>33.351277210013457</v>
      </c>
      <c r="C5">
        <v>28.189655172413801</v>
      </c>
      <c r="D5">
        <f>TableBRE[[#This Row],[ARIMAPP]]*$I$2+TableBRE[[#This Row],[LSTMPP]]*$I$3</f>
        <v>31.517466973911098</v>
      </c>
      <c r="E5">
        <v>23</v>
      </c>
      <c r="F5">
        <f>ABS(TableBRE[[#This Row],[PP]]-TableBRE[[#This Row],[AP]])</f>
        <v>8.5174669739110982</v>
      </c>
      <c r="H5" t="s">
        <v>2</v>
      </c>
      <c r="I5">
        <f>SUM(ABS(TableBRE[[#This Row],[PP]]-TableBRE[[#This Row],[AP]]))</f>
        <v>8.5174669739110982</v>
      </c>
    </row>
    <row r="6" spans="1:9" x14ac:dyDescent="0.2">
      <c r="A6" t="s">
        <v>42</v>
      </c>
      <c r="B6">
        <v>43.571925750698817</v>
      </c>
      <c r="C6">
        <v>28.120788965607169</v>
      </c>
      <c r="D6">
        <f>TableBRE[[#This Row],[ARIMAPP]]*$I$2+TableBRE[[#This Row],[LSTMPP]]*$I$3</f>
        <v>32.329295850303396</v>
      </c>
      <c r="E6">
        <v>33</v>
      </c>
      <c r="F6">
        <f>ABS(TableBRE[[#This Row],[PP]]-TableBRE[[#This Row],[AP]])</f>
        <v>0.67070414969660419</v>
      </c>
    </row>
    <row r="7" spans="1:9" x14ac:dyDescent="0.2">
      <c r="A7" t="s">
        <v>43</v>
      </c>
      <c r="B7">
        <v>22.941176470588228</v>
      </c>
      <c r="C7">
        <v>25.75</v>
      </c>
      <c r="D7">
        <f>TableBRE[[#This Row],[ARIMAPP]]*$I$2+TableBRE[[#This Row],[LSTMPP]]*$I$3</f>
        <v>28.140691577963526</v>
      </c>
      <c r="E7">
        <v>27</v>
      </c>
      <c r="F7">
        <f>ABS(TableBRE[[#This Row],[PP]]-TableBRE[[#This Row],[AP]])</f>
        <v>1.1406915779635263</v>
      </c>
      <c r="H7" t="s">
        <v>3</v>
      </c>
      <c r="I7">
        <f>AVERAGE(TableBRE[DIFF])/10</f>
        <v>0.59664290897784888</v>
      </c>
    </row>
    <row r="8" spans="1:9" x14ac:dyDescent="0.2">
      <c r="A8" t="s">
        <v>44</v>
      </c>
      <c r="B8">
        <v>30.909090909090899</v>
      </c>
      <c r="C8">
        <v>29.34626449651271</v>
      </c>
      <c r="D8">
        <f>TableBRE[[#This Row],[ARIMAPP]]*$I$2+TableBRE[[#This Row],[LSTMPP]]*$I$3</f>
        <v>32.481854303146164</v>
      </c>
      <c r="E8">
        <v>26</v>
      </c>
      <c r="F8">
        <f>ABS(TableBRE[[#This Row],[PP]]-TableBRE[[#This Row],[AP]])</f>
        <v>6.4818543031461644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45</v>
      </c>
      <c r="B2">
        <v>34.743589743589723</v>
      </c>
      <c r="C2">
        <v>31.532258064516121</v>
      </c>
      <c r="D2">
        <f>TableBHA[[#This Row],[ARIMAPP]]*$I$2+TableBHA[[#This Row],[LSTMPP]]*$I$3</f>
        <v>31.572202088255853</v>
      </c>
      <c r="E2">
        <v>48</v>
      </c>
      <c r="F2">
        <f>ABS(TableBHA[[#This Row],[PP]]-TableBHA[[#This Row],[AP]])</f>
        <v>16.427797911744147</v>
      </c>
      <c r="H2" t="s">
        <v>0</v>
      </c>
      <c r="I2">
        <v>1.5074136629000001E-7</v>
      </c>
    </row>
    <row r="3" spans="1:9" x14ac:dyDescent="0.2">
      <c r="A3" t="s">
        <v>46</v>
      </c>
      <c r="B3">
        <v>30.49019607843136</v>
      </c>
      <c r="C3">
        <v>30.8641975308642</v>
      </c>
      <c r="D3">
        <f>TableBHA[[#This Row],[ARIMAPP]]*$I$2+TableBHA[[#This Row],[LSTMPP]]*$I$3</f>
        <v>30.903294747368385</v>
      </c>
      <c r="E3">
        <v>25</v>
      </c>
      <c r="F3">
        <f>ABS(TableBHA[[#This Row],[PP]]-TableBHA[[#This Row],[AP]])</f>
        <v>5.9032947473683848</v>
      </c>
      <c r="H3" t="s">
        <v>1</v>
      </c>
      <c r="I3">
        <v>1.0012666009</v>
      </c>
    </row>
    <row r="4" spans="1:9" x14ac:dyDescent="0.2">
      <c r="A4" t="s">
        <v>47</v>
      </c>
      <c r="B4">
        <v>19.920099083028251</v>
      </c>
      <c r="C4">
        <v>25</v>
      </c>
      <c r="D4">
        <f>TableBHA[[#This Row],[ARIMAPP]]*$I$2+TableBHA[[#This Row],[LSTMPP]]*$I$3</f>
        <v>25.031668025282954</v>
      </c>
      <c r="E4">
        <v>41</v>
      </c>
      <c r="F4">
        <f>ABS(TableBHA[[#This Row],[PP]]-TableBHA[[#This Row],[AP]])</f>
        <v>15.968331974717046</v>
      </c>
    </row>
    <row r="5" spans="1:9" x14ac:dyDescent="0.2">
      <c r="A5" t="s">
        <v>48</v>
      </c>
      <c r="B5">
        <v>32.142857142857153</v>
      </c>
      <c r="C5">
        <v>30.909090909090899</v>
      </c>
      <c r="D5">
        <f>TableBHA[[#This Row],[ARIMAPP]]*$I$2+TableBHA[[#This Row],[LSTMPP]]*$I$3</f>
        <v>30.94824523671274</v>
      </c>
      <c r="E5">
        <v>20</v>
      </c>
      <c r="F5">
        <f>ABS(TableBHA[[#This Row],[PP]]-TableBHA[[#This Row],[AP]])</f>
        <v>10.94824523671274</v>
      </c>
      <c r="H5" t="s">
        <v>2</v>
      </c>
      <c r="I5">
        <f>SUM(ABS(TableBHA[[#This Row],[PP]]-TableBHA[[#This Row],[AP]]))</f>
        <v>10.94824523671274</v>
      </c>
    </row>
    <row r="6" spans="1:9" x14ac:dyDescent="0.2">
      <c r="A6" t="s">
        <v>49</v>
      </c>
      <c r="B6">
        <v>44.571428571428562</v>
      </c>
      <c r="C6">
        <v>34.464285714285722</v>
      </c>
      <c r="D6">
        <f>TableBHA[[#This Row],[ARIMAPP]]*$I$2+TableBHA[[#This Row],[LSTMPP]]*$I$3</f>
        <v>34.507944928347328</v>
      </c>
      <c r="E6">
        <v>23</v>
      </c>
      <c r="F6">
        <f>ABS(TableBHA[[#This Row],[PP]]-TableBHA[[#This Row],[AP]])</f>
        <v>11.507944928347328</v>
      </c>
    </row>
    <row r="7" spans="1:9" x14ac:dyDescent="0.2">
      <c r="H7" t="s">
        <v>3</v>
      </c>
      <c r="I7">
        <f>AVERAGE(TableBHA[DIFF])/10</f>
        <v>1.2151122959777927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50</v>
      </c>
      <c r="B2">
        <v>22.82051282051281</v>
      </c>
      <c r="C2">
        <v>26.612903225806441</v>
      </c>
      <c r="D2">
        <f>TableBUR[[#This Row],[ARIMAPP]]*$I$2+TableBUR[[#This Row],[LSTMPP]]*$I$3</f>
        <v>33.07763990903225</v>
      </c>
      <c r="E2">
        <v>21</v>
      </c>
      <c r="F2">
        <f>ABS(TableBUR[[#This Row],[PP]]-TableBUR[[#This Row],[AP]])</f>
        <v>12.07763990903225</v>
      </c>
      <c r="H2" t="s">
        <v>0</v>
      </c>
      <c r="I2">
        <v>0</v>
      </c>
    </row>
    <row r="3" spans="1:9" x14ac:dyDescent="0.2">
      <c r="A3" t="s">
        <v>51</v>
      </c>
      <c r="B3">
        <v>23.780487804878049</v>
      </c>
      <c r="C3">
        <v>25.15384615384615</v>
      </c>
      <c r="D3">
        <f>TableBUR[[#This Row],[ARIMAPP]]*$I$2+TableBUR[[#This Row],[LSTMPP]]*$I$3</f>
        <v>31.264152518215379</v>
      </c>
      <c r="E3">
        <v>26</v>
      </c>
      <c r="F3">
        <f>ABS(TableBUR[[#This Row],[PP]]-TableBUR[[#This Row],[AP]])</f>
        <v>5.2641525182153792</v>
      </c>
      <c r="H3" t="s">
        <v>1</v>
      </c>
      <c r="I3">
        <v>1.2429173784000001</v>
      </c>
    </row>
    <row r="4" spans="1:9" x14ac:dyDescent="0.2">
      <c r="A4" t="s">
        <v>52</v>
      </c>
      <c r="B4">
        <v>17.5</v>
      </c>
      <c r="C4">
        <v>22.222222222222221</v>
      </c>
      <c r="D4">
        <f>TableBUR[[#This Row],[ARIMAPP]]*$I$2+TableBUR[[#This Row],[LSTMPP]]*$I$3</f>
        <v>27.620386186666668</v>
      </c>
      <c r="E4">
        <v>38</v>
      </c>
      <c r="F4">
        <f>ABS(TableBUR[[#This Row],[PP]]-TableBUR[[#This Row],[AP]])</f>
        <v>10.379613813333332</v>
      </c>
    </row>
    <row r="5" spans="1:9" x14ac:dyDescent="0.2">
      <c r="A5" t="s">
        <v>53</v>
      </c>
      <c r="B5">
        <v>23.63636363636363</v>
      </c>
      <c r="C5">
        <v>25</v>
      </c>
      <c r="D5">
        <f>TableBUR[[#This Row],[ARIMAPP]]*$I$2+TableBUR[[#This Row],[LSTMPP]]*$I$3</f>
        <v>31.072934460000003</v>
      </c>
      <c r="E5">
        <v>40</v>
      </c>
      <c r="F5">
        <f>ABS(TableBUR[[#This Row],[PP]]-TableBUR[[#This Row],[AP]])</f>
        <v>8.9270655399999974</v>
      </c>
      <c r="H5" t="s">
        <v>2</v>
      </c>
      <c r="I5">
        <f>SUM(ABS(TableBUR[[#This Row],[PP]]-TableBUR[[#This Row],[AP]]))</f>
        <v>8.9270655399999974</v>
      </c>
    </row>
    <row r="7" spans="1:9" x14ac:dyDescent="0.2">
      <c r="H7" t="s">
        <v>3</v>
      </c>
      <c r="I7">
        <f>AVERAGE(TableBUR[DIFF])/10</f>
        <v>0.91621179451452406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54</v>
      </c>
      <c r="B2">
        <v>45.040719673194843</v>
      </c>
      <c r="C2">
        <v>60.007672954661167</v>
      </c>
      <c r="D2">
        <f>TableCHE[[#This Row],[ARIMAPP]]*$I$2+TableCHE[[#This Row],[LSTMPP]]*$I$3</f>
        <v>41.173360489453401</v>
      </c>
      <c r="E2">
        <v>37</v>
      </c>
      <c r="F2">
        <f>ABS(TableCHE[[#This Row],[PP]]-TableCHE[[#This Row],[AP]])</f>
        <v>4.1733604894534011</v>
      </c>
      <c r="H2" t="s">
        <v>0</v>
      </c>
      <c r="I2">
        <v>0.52511968092000005</v>
      </c>
    </row>
    <row r="3" spans="1:9" x14ac:dyDescent="0.2">
      <c r="A3" t="s">
        <v>55</v>
      </c>
      <c r="B3">
        <v>34.328358208955237</v>
      </c>
      <c r="C3">
        <v>32.466218590785218</v>
      </c>
      <c r="D3">
        <f>TableCHE[[#This Row],[ARIMAPP]]*$I$2+TableCHE[[#This Row],[LSTMPP]]*$I$3</f>
        <v>27.506281554496589</v>
      </c>
      <c r="E3">
        <v>27</v>
      </c>
      <c r="F3">
        <f>ABS(TableCHE[[#This Row],[PP]]-TableCHE[[#This Row],[AP]])</f>
        <v>0.50628155449658863</v>
      </c>
      <c r="H3" t="s">
        <v>1</v>
      </c>
      <c r="I3">
        <v>0.29198919544000002</v>
      </c>
    </row>
    <row r="4" spans="1:9" x14ac:dyDescent="0.2">
      <c r="A4" t="s">
        <v>56</v>
      </c>
      <c r="B4">
        <v>28.846153846153829</v>
      </c>
      <c r="C4">
        <v>27.954743088460109</v>
      </c>
      <c r="D4">
        <f>TableCHE[[#This Row],[ARIMAPP]]*$I$2+TableCHE[[#This Row],[LSTMPP]]*$I$3</f>
        <v>23.310166046592901</v>
      </c>
      <c r="E4">
        <v>26</v>
      </c>
      <c r="F4">
        <f>ABS(TableCHE[[#This Row],[PP]]-TableCHE[[#This Row],[AP]])</f>
        <v>2.6898339534070992</v>
      </c>
    </row>
    <row r="5" spans="1:9" x14ac:dyDescent="0.2">
      <c r="A5" t="s">
        <v>57</v>
      </c>
      <c r="B5">
        <v>47.970224132660611</v>
      </c>
      <c r="C5">
        <v>22.941176470588228</v>
      </c>
      <c r="D5">
        <f>TableCHE[[#This Row],[ARIMAPP]]*$I$2+TableCHE[[#This Row],[LSTMPP]]*$I$3</f>
        <v>31.888684450297745</v>
      </c>
      <c r="E5">
        <v>30</v>
      </c>
      <c r="F5">
        <f>ABS(TableCHE[[#This Row],[PP]]-TableCHE[[#This Row],[AP]])</f>
        <v>1.8886844502977453</v>
      </c>
      <c r="H5" t="s">
        <v>2</v>
      </c>
      <c r="I5">
        <f>SUM(ABS(TableCHE[[#This Row],[PP]]-TableCHE[[#This Row],[AP]]))</f>
        <v>1.8886844502977453</v>
      </c>
    </row>
    <row r="6" spans="1:9" x14ac:dyDescent="0.2">
      <c r="A6" t="s">
        <v>58</v>
      </c>
      <c r="B6">
        <v>23.46153846153846</v>
      </c>
      <c r="C6">
        <v>25.25</v>
      </c>
      <c r="D6">
        <f>TableCHE[[#This Row],[ARIMAPP]]*$I$2+TableCHE[[#This Row],[LSTMPP]]*$I$3</f>
        <v>19.692842775675388</v>
      </c>
      <c r="E6">
        <v>29</v>
      </c>
      <c r="F6">
        <f>ABS(TableCHE[[#This Row],[PP]]-TableCHE[[#This Row],[AP]])</f>
        <v>9.3071572243246123</v>
      </c>
    </row>
    <row r="7" spans="1:9" x14ac:dyDescent="0.2">
      <c r="H7" t="s">
        <v>3</v>
      </c>
      <c r="I7">
        <f>AVERAGE(TableCHE[DIFF])/10</f>
        <v>0.37130635343958895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59</v>
      </c>
      <c r="B2">
        <v>23.067391592793879</v>
      </c>
      <c r="C2">
        <v>27.57731958762886</v>
      </c>
      <c r="D2">
        <f>TableCRY[[#This Row],[ARIMAPP]]*$I$2+TableCRY[[#This Row],[LSTMPP]]*$I$3</f>
        <v>26.270399262754424</v>
      </c>
      <c r="E2">
        <v>20</v>
      </c>
      <c r="F2">
        <f>ABS(TableCRY[[#This Row],[PP]]-TableCRY[[#This Row],[AP]])</f>
        <v>6.2703992627544238</v>
      </c>
      <c r="H2" t="s">
        <v>0</v>
      </c>
      <c r="I2">
        <v>0.83970050181</v>
      </c>
    </row>
    <row r="3" spans="1:9" x14ac:dyDescent="0.2">
      <c r="A3" t="s">
        <v>60</v>
      </c>
      <c r="B3">
        <v>27.636363636363662</v>
      </c>
      <c r="C3">
        <v>28.29545454545454</v>
      </c>
      <c r="D3">
        <f>TableCRY[[#This Row],[ARIMAPP]]*$I$2+TableCRY[[#This Row],[LSTMPP]]*$I$3</f>
        <v>30.286666975511611</v>
      </c>
      <c r="E3">
        <v>28</v>
      </c>
      <c r="F3">
        <f>ABS(TableCRY[[#This Row],[PP]]-TableCRY[[#This Row],[AP]])</f>
        <v>2.2866669755116114</v>
      </c>
      <c r="H3" t="s">
        <v>1</v>
      </c>
      <c r="I3">
        <v>0.25023095318999999</v>
      </c>
    </row>
    <row r="4" spans="1:9" x14ac:dyDescent="0.2">
      <c r="A4" t="s">
        <v>61</v>
      </c>
      <c r="B4">
        <v>36.395348837209333</v>
      </c>
      <c r="C4">
        <v>31.39705882352942</v>
      </c>
      <c r="D4">
        <f>TableCRY[[#This Row],[ARIMAPP]]*$I$2+TableCRY[[#This Row],[LSTMPP]]*$I$3</f>
        <v>38.417708638928943</v>
      </c>
      <c r="E4">
        <v>46</v>
      </c>
      <c r="F4">
        <f>ABS(TableCRY[[#This Row],[PP]]-TableCRY[[#This Row],[AP]])</f>
        <v>7.5822913610710572</v>
      </c>
    </row>
    <row r="5" spans="1:9" x14ac:dyDescent="0.2">
      <c r="A5" t="s">
        <v>62</v>
      </c>
      <c r="B5">
        <v>36.470588235294123</v>
      </c>
      <c r="C5">
        <v>33.625</v>
      </c>
      <c r="D5">
        <f>TableCRY[[#This Row],[ARIMAPP]]*$I$2+TableCRY[[#This Row],[LSTMPP]]*$I$3</f>
        <v>39.038387043496108</v>
      </c>
      <c r="E5">
        <v>36</v>
      </c>
      <c r="F5">
        <f>ABS(TableCRY[[#This Row],[PP]]-TableCRY[[#This Row],[AP]])</f>
        <v>3.0383870434961082</v>
      </c>
      <c r="H5" t="s">
        <v>2</v>
      </c>
      <c r="I5">
        <f>SUM(ABS(TableCRY[[#This Row],[PP]]-TableCRY[[#This Row],[AP]]))</f>
        <v>3.0383870434961082</v>
      </c>
    </row>
    <row r="6" spans="1:9" x14ac:dyDescent="0.2">
      <c r="A6" t="s">
        <v>63</v>
      </c>
      <c r="B6">
        <v>20.769230769230781</v>
      </c>
      <c r="C6">
        <v>24.71153846153846</v>
      </c>
      <c r="D6">
        <f>TableCRY[[#This Row],[ARIMAPP]]*$I$2+TableCRY[[#This Row],[LSTMPP]]*$I$3</f>
        <v>23.62352532315289</v>
      </c>
      <c r="E6">
        <v>36</v>
      </c>
      <c r="F6">
        <f>ABS(TableCRY[[#This Row],[PP]]-TableCRY[[#This Row],[AP]])</f>
        <v>12.37647467684711</v>
      </c>
    </row>
    <row r="7" spans="1:9" x14ac:dyDescent="0.2">
      <c r="A7" t="s">
        <v>64</v>
      </c>
      <c r="B7">
        <v>29.85294117647058</v>
      </c>
      <c r="C7">
        <v>28.42592592592592</v>
      </c>
      <c r="D7">
        <f>TableCRY[[#This Row],[ARIMAPP]]*$I$2+TableCRY[[#This Row],[LSTMPP]]*$I$3</f>
        <v>32.180576226139536</v>
      </c>
      <c r="E7">
        <v>25</v>
      </c>
      <c r="F7">
        <f>ABS(TableCRY[[#This Row],[PP]]-TableCRY[[#This Row],[AP]])</f>
        <v>7.1805762261395358</v>
      </c>
      <c r="H7" t="s">
        <v>3</v>
      </c>
      <c r="I7">
        <f>AVERAGE(TableCRY[DIFF])/10</f>
        <v>0.64557992576366419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65</v>
      </c>
      <c r="B2">
        <v>31.548387096774171</v>
      </c>
      <c r="C2">
        <v>30.64892582196433</v>
      </c>
      <c r="D2">
        <f>TableEVE[[#This Row],[ARIMAPP]]*$I$2+TableEVE[[#This Row],[LSTMPP]]*$I$3</f>
        <v>38.034315460757576</v>
      </c>
      <c r="E2">
        <v>44</v>
      </c>
      <c r="F2">
        <f>ABS(TableEVE[[#This Row],[PP]]-TableEVE[[#This Row],[AP]])</f>
        <v>5.9656845392424245</v>
      </c>
      <c r="H2" t="s">
        <v>0</v>
      </c>
      <c r="I2">
        <v>0</v>
      </c>
    </row>
    <row r="3" spans="1:9" x14ac:dyDescent="0.2">
      <c r="A3" t="s">
        <v>66</v>
      </c>
      <c r="B3">
        <v>30.777323433556891</v>
      </c>
      <c r="C3">
        <v>29.530201342281881</v>
      </c>
      <c r="D3">
        <f>TableEVE[[#This Row],[ARIMAPP]]*$I$2+TableEVE[[#This Row],[LSTMPP]]*$I$3</f>
        <v>36.646014936912756</v>
      </c>
      <c r="E3">
        <v>40</v>
      </c>
      <c r="F3">
        <f>ABS(TableEVE[[#This Row],[PP]]-TableEVE[[#This Row],[AP]])</f>
        <v>3.3539850630872436</v>
      </c>
      <c r="H3" t="s">
        <v>1</v>
      </c>
      <c r="I3">
        <v>1.2409673240000001</v>
      </c>
    </row>
    <row r="4" spans="1:9" x14ac:dyDescent="0.2">
      <c r="A4" t="s">
        <v>67</v>
      </c>
      <c r="B4">
        <v>34.540540540540519</v>
      </c>
      <c r="C4">
        <v>36.733447146023707</v>
      </c>
      <c r="D4">
        <f>TableEVE[[#This Row],[ARIMAPP]]*$I$2+TableEVE[[#This Row],[LSTMPP]]*$I$3</f>
        <v>45.585007606096482</v>
      </c>
      <c r="E4">
        <v>57</v>
      </c>
      <c r="F4">
        <f>ABS(TableEVE[[#This Row],[PP]]-TableEVE[[#This Row],[AP]])</f>
        <v>11.414992393903518</v>
      </c>
    </row>
    <row r="5" spans="1:9" x14ac:dyDescent="0.2">
      <c r="A5" t="s">
        <v>68</v>
      </c>
      <c r="B5">
        <v>34.64981997895282</v>
      </c>
      <c r="C5">
        <v>35.331959570697208</v>
      </c>
      <c r="D5">
        <f>TableEVE[[#This Row],[ARIMAPP]]*$I$2+TableEVE[[#This Row],[LSTMPP]]*$I$3</f>
        <v>43.845807320124308</v>
      </c>
      <c r="E5">
        <v>24</v>
      </c>
      <c r="F5">
        <f>ABS(TableEVE[[#This Row],[PP]]-TableEVE[[#This Row],[AP]])</f>
        <v>19.845807320124308</v>
      </c>
      <c r="H5" t="s">
        <v>2</v>
      </c>
      <c r="I5">
        <f>SUM(ABS(TableEVE[[#This Row],[PP]]-TableEVE[[#This Row],[AP]]))</f>
        <v>19.845807320124308</v>
      </c>
    </row>
    <row r="6" spans="1:9" x14ac:dyDescent="0.2">
      <c r="A6" t="s">
        <v>69</v>
      </c>
      <c r="B6">
        <v>30.10213309751348</v>
      </c>
      <c r="C6">
        <v>29.222222222222211</v>
      </c>
      <c r="D6">
        <f>TableEVE[[#This Row],[ARIMAPP]]*$I$2+TableEVE[[#This Row],[LSTMPP]]*$I$3</f>
        <v>36.263822912444432</v>
      </c>
      <c r="E6">
        <v>45</v>
      </c>
      <c r="F6">
        <f>ABS(TableEVE[[#This Row],[PP]]-TableEVE[[#This Row],[AP]])</f>
        <v>8.7361770875555678</v>
      </c>
    </row>
    <row r="7" spans="1:9" x14ac:dyDescent="0.2">
      <c r="A7" t="s">
        <v>70</v>
      </c>
      <c r="B7">
        <v>18.657771568313539</v>
      </c>
      <c r="C7">
        <v>22.916666666666671</v>
      </c>
      <c r="D7">
        <f>TableEVE[[#This Row],[ARIMAPP]]*$I$2+TableEVE[[#This Row],[LSTMPP]]*$I$3</f>
        <v>28.43883450833334</v>
      </c>
      <c r="E7">
        <v>23</v>
      </c>
      <c r="F7">
        <f>ABS(TableEVE[[#This Row],[PP]]-TableEVE[[#This Row],[AP]])</f>
        <v>5.4388345083333398</v>
      </c>
      <c r="H7" t="s">
        <v>3</v>
      </c>
      <c r="I7">
        <f>AVERAGE(TableEVE[DIFF])/10</f>
        <v>0.83795768148628336</v>
      </c>
    </row>
    <row r="8" spans="1:9" x14ac:dyDescent="0.2">
      <c r="A8" t="s">
        <v>71</v>
      </c>
      <c r="B8">
        <v>20</v>
      </c>
      <c r="C8">
        <v>23.4375</v>
      </c>
      <c r="D8">
        <f>TableEVE[[#This Row],[ARIMAPP]]*$I$2+TableEVE[[#This Row],[LSTMPP]]*$I$3</f>
        <v>29.085171656250001</v>
      </c>
      <c r="E8">
        <v>42</v>
      </c>
      <c r="F8">
        <f>ABS(TableEVE[[#This Row],[PP]]-TableEVE[[#This Row],[AP]])</f>
        <v>12.914828343749999</v>
      </c>
    </row>
    <row r="9" spans="1:9" x14ac:dyDescent="0.2">
      <c r="A9" t="s">
        <v>72</v>
      </c>
      <c r="B9">
        <v>39.907407407407412</v>
      </c>
      <c r="C9">
        <v>38.056051992092542</v>
      </c>
      <c r="D9">
        <f>TableEVE[[#This Row],[ARIMAPP]]*$I$2+TableEVE[[#This Row],[LSTMPP]]*$I$3</f>
        <v>47.226317002631951</v>
      </c>
      <c r="E9">
        <v>38</v>
      </c>
      <c r="F9">
        <f>ABS(TableEVE[[#This Row],[PP]]-TableEVE[[#This Row],[AP]])</f>
        <v>9.2263170026319514</v>
      </c>
    </row>
    <row r="10" spans="1:9" x14ac:dyDescent="0.2">
      <c r="A10" t="s">
        <v>73</v>
      </c>
      <c r="B10">
        <v>30.412468494790598</v>
      </c>
      <c r="C10">
        <v>27.5</v>
      </c>
      <c r="D10">
        <f>TableEVE[[#This Row],[ARIMAPP]]*$I$2+TableEVE[[#This Row],[LSTMPP]]*$I$3</f>
        <v>34.126601409999999</v>
      </c>
      <c r="E10">
        <v>36</v>
      </c>
      <c r="F10">
        <f>ABS(TableEVE[[#This Row],[PP]]-TableEVE[[#This Row],[AP]])</f>
        <v>1.8733985900000008</v>
      </c>
    </row>
    <row r="11" spans="1:9" x14ac:dyDescent="0.2">
      <c r="A11" t="s">
        <v>74</v>
      </c>
      <c r="B11">
        <v>23.14387665722051</v>
      </c>
      <c r="C11">
        <v>26.612903225806441</v>
      </c>
      <c r="D11">
        <f>TableEVE[[#This Row],[ARIMAPP]]*$I$2+TableEVE[[#This Row],[LSTMPP]]*$I$3</f>
        <v>33.025743299999988</v>
      </c>
      <c r="E11">
        <v>28</v>
      </c>
      <c r="F11">
        <f>ABS(TableEVE[[#This Row],[PP]]-TableEVE[[#This Row],[AP]])</f>
        <v>5.0257432999999878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2024-02-09T20:27:06Z</dcterms:created>
  <dcterms:modified xsi:type="dcterms:W3CDTF">2024-02-09T20:32:06Z</dcterms:modified>
</cp:coreProperties>
</file>