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38CC4DA5-A881-C841-8176-0B72B124E0F6}" xr6:coauthVersionLast="47" xr6:coauthVersionMax="47" xr10:uidLastSave="{00000000-0000-0000-0000-000000000000}"/>
  <bookViews>
    <workbookView xWindow="240" yWindow="760" windowWidth="25680" windowHeight="17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1" i="1" l="1"/>
  <c r="AH4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62" i="1"/>
  <c r="AH62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99" i="1"/>
  <c r="AH99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8" i="1"/>
  <c r="AH8" i="1"/>
  <c r="AI27" i="1"/>
  <c r="AH27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51" i="1"/>
  <c r="AH51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126" i="1"/>
  <c r="AH126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77" i="1"/>
  <c r="AH77" i="1"/>
  <c r="AI151" i="1"/>
  <c r="AH151" i="1"/>
  <c r="AI52" i="1"/>
  <c r="AH52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134" i="1"/>
  <c r="AH134" i="1"/>
  <c r="AI40" i="1"/>
  <c r="AH40" i="1"/>
  <c r="AI39" i="1"/>
  <c r="AH39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4" i="1"/>
  <c r="AH24" i="1"/>
  <c r="AO26" i="1"/>
  <c r="AI26" i="1"/>
  <c r="AH26" i="1"/>
  <c r="AO25" i="1"/>
  <c r="AI25" i="1"/>
  <c r="AH25" i="1"/>
  <c r="AO24" i="1"/>
  <c r="AI50" i="1"/>
  <c r="AH50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O18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O11" i="1"/>
  <c r="AO14" i="1" s="1"/>
  <c r="AI11" i="1"/>
  <c r="AH11" i="1"/>
  <c r="AI10" i="1"/>
  <c r="AH10" i="1"/>
  <c r="AO9" i="1"/>
  <c r="AI9" i="1"/>
  <c r="AH9" i="1"/>
  <c r="AO8" i="1"/>
  <c r="AI100" i="1"/>
  <c r="AH100" i="1"/>
  <c r="AO7" i="1"/>
  <c r="AI7" i="1"/>
  <c r="AH7" i="1"/>
  <c r="AO6" i="1"/>
  <c r="AI6" i="1"/>
  <c r="AH6" i="1"/>
  <c r="AI5" i="1"/>
  <c r="AH5" i="1"/>
  <c r="AO4" i="1"/>
  <c r="AI4" i="1"/>
  <c r="AH4" i="1"/>
  <c r="AO2" i="1" s="1"/>
  <c r="AI3" i="1"/>
  <c r="AH3" i="1"/>
  <c r="AI2" i="1"/>
  <c r="AH2" i="1"/>
  <c r="AO16" i="1" l="1"/>
</calcChain>
</file>

<file path=xl/sharedStrings.xml><?xml version="1.0" encoding="utf-8"?>
<sst xmlns="http://schemas.openxmlformats.org/spreadsheetml/2006/main" count="819" uniqueCount="358">
  <si>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</si>
  <si>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</si>
  <si>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</si>
  <si>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</si>
  <si>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</si>
  <si>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</si>
  <si>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</si>
  <si>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</si>
  <si>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</si>
  <si>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</si>
  <si>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</si>
  <si>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</si>
  <si>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</si>
  <si>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</si>
  <si>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</si>
  <si>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</si>
  <si>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</si>
  <si>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</si>
  <si>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</si>
  <si>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</si>
  <si>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</si>
  <si>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</si>
  <si>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</si>
  <si>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</si>
  <si>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</si>
  <si>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</si>
  <si>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</si>
  <si>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</si>
  <si>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</si>
  <si>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</si>
  <si>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</si>
  <si>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</si>
  <si>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</si>
  <si>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</si>
  <si>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</si>
  <si>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</si>
  <si>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</si>
  <si>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</si>
  <si>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</si>
  <si>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</si>
  <si>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</si>
  <si>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</si>
  <si>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</si>
  <si>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</si>
  <si>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</si>
  <si>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</si>
  <si>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</si>
  <si>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</si>
  <si>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</si>
  <si>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</si>
  <si>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Martinelli Silva</t>
  </si>
  <si>
    <t>Martinelli</t>
  </si>
  <si>
    <t>Martin</t>
  </si>
  <si>
    <t>Ødegaard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</si>
  <si>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</si>
  <si>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</si>
  <si>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</si>
  <si>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</si>
  <si>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</si>
  <si>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</si>
  <si>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</si>
  <si>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</si>
  <si>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</si>
  <si>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</si>
  <si>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</si>
  <si>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</si>
  <si>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</si>
  <si>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</si>
  <si>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</si>
  <si>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</si>
  <si>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</si>
  <si>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Lucas</t>
  </si>
  <si>
    <t>Digne</t>
  </si>
  <si>
    <t>Douglas Luiz</t>
  </si>
  <si>
    <t>Soares de Paulo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</si>
  <si>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</si>
  <si>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</si>
  <si>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</si>
  <si>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</si>
  <si>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</si>
  <si>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</si>
  <si>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</si>
  <si>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</si>
  <si>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</si>
  <si>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Pau</t>
  </si>
  <si>
    <t>Torres</t>
  </si>
  <si>
    <t>Moussa</t>
  </si>
  <si>
    <t>Diaby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</si>
  <si>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</si>
  <si>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</si>
  <si>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</si>
  <si>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</si>
  <si>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</si>
  <si>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</si>
  <si>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</si>
  <si>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</si>
  <si>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</si>
  <si>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Dominic</t>
  </si>
  <si>
    <t>Solanke</t>
  </si>
  <si>
    <t>Marcus</t>
  </si>
  <si>
    <t>Tavernier</t>
  </si>
  <si>
    <t>Illia</t>
  </si>
  <si>
    <t>Zabarnyi</t>
  </si>
  <si>
    <t>Mark</t>
  </si>
  <si>
    <t>Flekken</t>
  </si>
  <si>
    <t>Vitaly</t>
  </si>
  <si>
    <t>Janelt</t>
  </si>
  <si>
    <t>Mathias</t>
  </si>
  <si>
    <t>Jensen</t>
  </si>
  <si>
    <t>Bryan</t>
  </si>
  <si>
    <t>Mbeumo</t>
  </si>
  <si>
    <t>Yoane</t>
  </si>
  <si>
    <t>Wissa</t>
  </si>
  <si>
    <t>Neal</t>
  </si>
  <si>
    <t>Maupay</t>
  </si>
  <si>
    <t>Simon</t>
  </si>
  <si>
    <t>Adingra</t>
  </si>
  <si>
    <t>Billy</t>
  </si>
  <si>
    <t>Gilmour</t>
  </si>
  <si>
    <t>Pascal</t>
  </si>
  <si>
    <t>Groß</t>
  </si>
  <si>
    <t>Gross</t>
  </si>
  <si>
    <t>João Pedro</t>
  </si>
  <si>
    <t>Junqueira de Jesus</t>
  </si>
  <si>
    <t>Kaoru</t>
  </si>
  <si>
    <t>Mitoma</t>
  </si>
  <si>
    <t>Jason</t>
  </si>
  <si>
    <t>Steele</t>
  </si>
  <si>
    <t>Danny</t>
  </si>
  <si>
    <t>Welbeck</t>
  </si>
  <si>
    <t>Josh</t>
  </si>
  <si>
    <t>Brownhill</t>
  </si>
  <si>
    <t>Sander</t>
  </si>
  <si>
    <t>Berge</t>
  </si>
  <si>
    <t>Zeki</t>
  </si>
  <si>
    <t>Amdouni</t>
  </si>
  <si>
    <t>James</t>
  </si>
  <si>
    <t>Trafford</t>
  </si>
  <si>
    <t>Levi</t>
  </si>
  <si>
    <t>Colwill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</si>
  <si>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</si>
  <si>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</si>
  <si>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</si>
  <si>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</si>
  <si>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</si>
  <si>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</si>
  <si>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</si>
  <si>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</si>
  <si>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</si>
  <si>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</si>
  <si>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</si>
  <si>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</si>
  <si>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Jordan</t>
  </si>
  <si>
    <t>Ayew</t>
  </si>
  <si>
    <t>J.Ayew</t>
  </si>
  <si>
    <t>Odsonne</t>
  </si>
  <si>
    <t>Edouard</t>
  </si>
  <si>
    <t>Eberechi</t>
  </si>
  <si>
    <t>Eze</t>
  </si>
  <si>
    <t>Jean-Philippe</t>
  </si>
  <si>
    <t>Mateta</t>
  </si>
  <si>
    <t>Jarrad</t>
  </si>
  <si>
    <t>Branthwaite</t>
  </si>
  <si>
    <t>Calvert-Lewin</t>
  </si>
  <si>
    <t>Abdoulaye</t>
  </si>
  <si>
    <t>Doucouré</t>
  </si>
  <si>
    <t>A.Doucoure</t>
  </si>
  <si>
    <t>Garner</t>
  </si>
  <si>
    <t>Dwight</t>
  </si>
  <si>
    <t>McNeil</t>
  </si>
  <si>
    <t>Vitalii</t>
  </si>
  <si>
    <t>Mykolenko</t>
  </si>
  <si>
    <t>Amadou</t>
  </si>
  <si>
    <t>Onana</t>
  </si>
  <si>
    <t>Pickford</t>
  </si>
  <si>
    <t>Tarkowski</t>
  </si>
  <si>
    <t>Jack</t>
  </si>
  <si>
    <t>Harrison</t>
  </si>
  <si>
    <t>Alex</t>
  </si>
  <si>
    <t>Iwobi</t>
  </si>
  <si>
    <t>Andreas</t>
  </si>
  <si>
    <t>Hoelgebaum Pereira</t>
  </si>
  <si>
    <t>Tom</t>
  </si>
  <si>
    <t>Cairney</t>
  </si>
  <si>
    <t>Bobby</t>
  </si>
  <si>
    <t>De Cordova-Reid</t>
  </si>
  <si>
    <t>Bernd</t>
  </si>
  <si>
    <t>Leno</t>
  </si>
  <si>
    <t>João</t>
  </si>
  <si>
    <t>Palhinha Gonçalves</t>
  </si>
  <si>
    <t>J.Palhinha</t>
  </si>
  <si>
    <t>Antonee</t>
  </si>
  <si>
    <t>Robinson</t>
  </si>
  <si>
    <t>Raúl</t>
  </si>
  <si>
    <t>Jiménez</t>
  </si>
  <si>
    <t>Willian</t>
  </si>
  <si>
    <t>Borges da Silva</t>
  </si>
  <si>
    <t>Timothy</t>
  </si>
  <si>
    <t>Castagne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</si>
  <si>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</si>
  <si>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</si>
  <si>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</si>
  <si>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</si>
  <si>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</si>
  <si>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</si>
  <si>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</si>
  <si>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</si>
  <si>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</si>
  <si>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</si>
  <si>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Cody</t>
  </si>
  <si>
    <t>Gakpo</t>
  </si>
  <si>
    <t>Joe</t>
  </si>
  <si>
    <t>Gomez</t>
  </si>
  <si>
    <t>Curtis</t>
  </si>
  <si>
    <t>Jones</t>
  </si>
  <si>
    <t>Luis</t>
  </si>
  <si>
    <t>Díaz</t>
  </si>
  <si>
    <t>Luis Díaz</t>
  </si>
  <si>
    <t>Mohamed</t>
  </si>
  <si>
    <t>Salah</t>
  </si>
  <si>
    <t>Dominik</t>
  </si>
  <si>
    <t>Szoboszlai</t>
  </si>
  <si>
    <t>Virgil</t>
  </si>
  <si>
    <t>van Dijk</t>
  </si>
  <si>
    <t>Elijah</t>
  </si>
  <si>
    <t>Adebayo</t>
  </si>
  <si>
    <t>Alfie</t>
  </si>
  <si>
    <t>Doughty</t>
  </si>
  <si>
    <t>Carlton</t>
  </si>
  <si>
    <t>Morris</t>
  </si>
  <si>
    <t>Chiedozie</t>
  </si>
  <si>
    <t>Ogbene</t>
  </si>
  <si>
    <t>Thomas</t>
  </si>
  <si>
    <t>Kaminski</t>
  </si>
  <si>
    <t>Ross</t>
  </si>
  <si>
    <t>Barkley</t>
  </si>
  <si>
    <t>Manuel</t>
  </si>
  <si>
    <t>Akanji</t>
  </si>
  <si>
    <t>Nathan</t>
  </si>
  <si>
    <t>Aké</t>
  </si>
  <si>
    <t>Julián</t>
  </si>
  <si>
    <t>Álvarez</t>
  </si>
  <si>
    <t>J.Alvarez</t>
  </si>
  <si>
    <t>Bernardo</t>
  </si>
  <si>
    <t>Veiga de Carvalho e Silva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</si>
  <si>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</si>
  <si>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</si>
  <si>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</si>
  <si>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</si>
  <si>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</si>
  <si>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</si>
  <si>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</si>
  <si>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</si>
  <si>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</si>
  <si>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</si>
  <si>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</si>
  <si>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Joško</t>
  </si>
  <si>
    <t>Gvardiol</t>
  </si>
  <si>
    <t>Bruno</t>
  </si>
  <si>
    <t>Borges Fernandes</t>
  </si>
  <si>
    <t>B.Fernandes</t>
  </si>
  <si>
    <t>Alejandro</t>
  </si>
  <si>
    <t>Garnacho</t>
  </si>
  <si>
    <t>Scott</t>
  </si>
  <si>
    <t>McTominay</t>
  </si>
  <si>
    <t>Rashford</t>
  </si>
  <si>
    <t>André</t>
  </si>
  <si>
    <t>Rasmus</t>
  </si>
  <si>
    <t>Højlund</t>
  </si>
  <si>
    <t>Guimarães Rodriguez Moura</t>
  </si>
  <si>
    <t>Bruno G.</t>
  </si>
  <si>
    <t>Anthony</t>
  </si>
  <si>
    <t>Gordon</t>
  </si>
  <si>
    <t>Alexander</t>
  </si>
  <si>
    <t>Isak</t>
  </si>
  <si>
    <t>Joelinton Cássio</t>
  </si>
  <si>
    <t>Apolinário de Lira</t>
  </si>
  <si>
    <t>Joelinton</t>
  </si>
  <si>
    <t>Sean</t>
  </si>
  <si>
    <t>Longstaff</t>
  </si>
  <si>
    <t>Fabian</t>
  </si>
  <si>
    <t>Schär</t>
  </si>
  <si>
    <t>Kieran</t>
  </si>
  <si>
    <t>Trippier</t>
  </si>
  <si>
    <t>Callum</t>
  </si>
  <si>
    <t>Wilson</t>
  </si>
  <si>
    <t>Matt</t>
  </si>
  <si>
    <t>Turner</t>
  </si>
  <si>
    <t>Elanga</t>
  </si>
  <si>
    <t>Morgan</t>
  </si>
  <si>
    <t>Gibbs-White</t>
  </si>
  <si>
    <t>Chris</t>
  </si>
  <si>
    <t>Wood</t>
  </si>
  <si>
    <t>Murillo</t>
  </si>
  <si>
    <t>Santiago Costa dos Santos</t>
  </si>
  <si>
    <t>McAtee</t>
  </si>
  <si>
    <t>Gustavo</t>
  </si>
  <si>
    <t>Hamer</t>
  </si>
  <si>
    <t>Brennan</t>
  </si>
  <si>
    <t>Johnson</t>
  </si>
  <si>
    <t>Dejan</t>
  </si>
  <si>
    <t>Kulusevski</t>
  </si>
  <si>
    <t>Pedro</t>
  </si>
  <si>
    <t>Porro</t>
  </si>
  <si>
    <t>Pedro Porro</t>
  </si>
  <si>
    <t>Richarlison</t>
  </si>
  <si>
    <t>de Andrade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</si>
  <si>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</si>
  <si>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</si>
  <si>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</si>
  <si>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</si>
  <si>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</si>
  <si>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</si>
  <si>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</si>
  <si>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</si>
  <si>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Alphonse</t>
  </si>
  <si>
    <t>Areola</t>
  </si>
  <si>
    <t>Jarrod</t>
  </si>
  <si>
    <t>Bowen</t>
  </si>
  <si>
    <t>Vladimír</t>
  </si>
  <si>
    <t>Coufal</t>
  </si>
  <si>
    <t>Emerson</t>
  </si>
  <si>
    <t>Palmieri dos Santos</t>
  </si>
  <si>
    <t>Tolentino Coelho de Lima</t>
  </si>
  <si>
    <t>L.Paquetá</t>
  </si>
  <si>
    <t>Tomáš</t>
  </si>
  <si>
    <t>Souček</t>
  </si>
  <si>
    <t>Kurt</t>
  </si>
  <si>
    <t>Zouma</t>
  </si>
  <si>
    <t>Edson</t>
  </si>
  <si>
    <t>Álvarez Velázquez</t>
  </si>
  <si>
    <t>Ward-Prowse</t>
  </si>
  <si>
    <t>Mohammed</t>
  </si>
  <si>
    <t>Kudus</t>
  </si>
  <si>
    <t>Craig</t>
  </si>
  <si>
    <t>Dawson</t>
  </si>
  <si>
    <t>Hwang</t>
  </si>
  <si>
    <t>Hee-chan</t>
  </si>
  <si>
    <t>Hee Chan</t>
  </si>
  <si>
    <t>João Victor</t>
  </si>
  <si>
    <t>Gomes da Silva</t>
  </si>
  <si>
    <t>João Gomes</t>
  </si>
  <si>
    <t>Max</t>
  </si>
  <si>
    <t>Kilman</t>
  </si>
  <si>
    <t>Mario</t>
  </si>
  <si>
    <t>Lemina</t>
  </si>
  <si>
    <t>Mario Jr.</t>
  </si>
  <si>
    <t>José</t>
  </si>
  <si>
    <t>Malheiro de Sá</t>
  </si>
  <si>
    <t>José Sá</t>
  </si>
  <si>
    <t>Pablo</t>
  </si>
  <si>
    <t>Sarabia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</si>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</sst>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51" totalsRowShown="0">
  <autoFilter ref="A1:AL151" xr:uid="{00000000-0009-0000-0100-000001000000}">
    <filterColumn colId="37">
      <filters>
        <filter val="1"/>
      </filters>
    </filterColumn>
  </autoFilter>
  <sortState xmlns:xlrd2="http://schemas.microsoft.com/office/spreadsheetml/2017/richdata2" ref="A8:AL151">
    <sortCondition descending="1" ref="AI1:AI151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1"/>
  <sheetViews>
    <sheetView tabSelected="1" workbookViewId="0">
      <selection activeCell="C24" sqref="C24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2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</row>
    <row r="2" spans="1:42" hidden="1" x14ac:dyDescent="0.2">
      <c r="A2" t="s">
        <v>44</v>
      </c>
      <c r="B2" t="s">
        <v>45</v>
      </c>
      <c r="C2" t="s">
        <v>44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</v>
      </c>
      <c r="AE2">
        <v>4</v>
      </c>
      <c r="AF2">
        <v>20.134288316326121</v>
      </c>
      <c r="AG2">
        <v>19.98627213296772</v>
      </c>
      <c r="AH2">
        <f>19.4806821322341*1</f>
        <v>19.480682132234101</v>
      </c>
      <c r="AI2">
        <f>4.042854676906*1</f>
        <v>4.0428546769059999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349.48985046426219</v>
      </c>
      <c r="AP2" t="s">
        <v>1</v>
      </c>
    </row>
    <row r="3" spans="1:42" hidden="1" x14ac:dyDescent="0.2">
      <c r="A3" t="s">
        <v>46</v>
      </c>
      <c r="B3" t="s">
        <v>47</v>
      </c>
      <c r="C3" t="s">
        <v>47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7.1</v>
      </c>
      <c r="AE3">
        <v>5</v>
      </c>
      <c r="AF3">
        <v>15.87962962962964</v>
      </c>
      <c r="AG3">
        <v>16.660412805522679</v>
      </c>
      <c r="AH3">
        <f>16.0175378503723*1</f>
        <v>16.0175378503723</v>
      </c>
      <c r="AI3">
        <f>3.20350757007447*1</f>
        <v>3.20350757007447</v>
      </c>
      <c r="AJ3">
        <v>1</v>
      </c>
      <c r="AK3">
        <v>0</v>
      </c>
      <c r="AL3">
        <v>0</v>
      </c>
    </row>
    <row r="4" spans="1:42" hidden="1" x14ac:dyDescent="0.2">
      <c r="A4" t="s">
        <v>44</v>
      </c>
      <c r="B4" t="s">
        <v>48</v>
      </c>
      <c r="C4" t="s">
        <v>49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</v>
      </c>
      <c r="AE4">
        <v>6</v>
      </c>
      <c r="AF4">
        <v>20.35031847133757</v>
      </c>
      <c r="AG4">
        <v>20.281128464458551</v>
      </c>
      <c r="AH4">
        <f>19.748241292953*1</f>
        <v>19.748241292953001</v>
      </c>
      <c r="AI4">
        <f>3.94964915875167*1</f>
        <v>3.94964915875167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101.49999999999999</v>
      </c>
      <c r="AP4">
        <v>101.9</v>
      </c>
    </row>
    <row r="5" spans="1:42" hidden="1" x14ac:dyDescent="0.2">
      <c r="A5" t="s">
        <v>44</v>
      </c>
      <c r="B5" t="s">
        <v>50</v>
      </c>
      <c r="C5" t="s">
        <v>51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7.7</v>
      </c>
      <c r="AE5">
        <v>10</v>
      </c>
      <c r="AF5">
        <v>24.45454545454545</v>
      </c>
      <c r="AG5">
        <v>23.759832566919819</v>
      </c>
      <c r="AH5">
        <f>23.2858182979289*1</f>
        <v>23.285818297928898</v>
      </c>
      <c r="AI5">
        <f>4.65716365958579*1</f>
        <v>4.6571636595857901</v>
      </c>
      <c r="AJ5">
        <v>1</v>
      </c>
      <c r="AK5">
        <v>0</v>
      </c>
      <c r="AL5">
        <v>0</v>
      </c>
    </row>
    <row r="6" spans="1:42" hidden="1" x14ac:dyDescent="0.2">
      <c r="A6" t="s">
        <v>52</v>
      </c>
      <c r="B6" t="s">
        <v>53</v>
      </c>
      <c r="C6" t="s">
        <v>53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8.5</v>
      </c>
      <c r="AE6">
        <v>12</v>
      </c>
      <c r="AF6">
        <v>22.72277227722773</v>
      </c>
      <c r="AG6">
        <v>23.22678376729495</v>
      </c>
      <c r="AH6">
        <f>22.4736691125526*1</f>
        <v>22.473669112552599</v>
      </c>
      <c r="AI6">
        <f>4.49451829986689*1</f>
        <v>4.4945182998668898</v>
      </c>
      <c r="AJ6">
        <v>1</v>
      </c>
      <c r="AK6">
        <v>0</v>
      </c>
      <c r="AL6">
        <v>0</v>
      </c>
      <c r="AN6" t="s">
        <v>3</v>
      </c>
      <c r="AO6">
        <f>SUMPRODUCT(Table1[Selected],Table1[GKP])</f>
        <v>2</v>
      </c>
      <c r="AP6">
        <v>2</v>
      </c>
    </row>
    <row r="7" spans="1:42" hidden="1" x14ac:dyDescent="0.2">
      <c r="A7" t="s">
        <v>54</v>
      </c>
      <c r="B7" t="s">
        <v>55</v>
      </c>
      <c r="C7" t="s">
        <v>55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9</v>
      </c>
      <c r="AE7">
        <v>17</v>
      </c>
      <c r="AF7">
        <v>27.108435489390182</v>
      </c>
      <c r="AG7">
        <v>21.396805622176959</v>
      </c>
      <c r="AH7">
        <f>22.2154300735899*1</f>
        <v>22.2154300735899</v>
      </c>
      <c r="AI7">
        <f>4.39994764160335*1</f>
        <v>4.3999476416033501</v>
      </c>
      <c r="AJ7">
        <v>1</v>
      </c>
      <c r="AK7">
        <v>0</v>
      </c>
      <c r="AL7">
        <v>0</v>
      </c>
      <c r="AN7" t="s">
        <v>4</v>
      </c>
      <c r="AO7">
        <f>SUMPRODUCT(Table1[Selected],Table1[DEF])</f>
        <v>5</v>
      </c>
      <c r="AP7">
        <v>5</v>
      </c>
    </row>
    <row r="8" spans="1:42" x14ac:dyDescent="0.2">
      <c r="A8" t="s">
        <v>250</v>
      </c>
      <c r="B8" t="s">
        <v>251</v>
      </c>
      <c r="C8" t="s">
        <v>251</v>
      </c>
      <c r="D8" t="s">
        <v>6</v>
      </c>
      <c r="E8">
        <v>0</v>
      </c>
      <c r="F8">
        <v>0</v>
      </c>
      <c r="G8">
        <v>0</v>
      </c>
      <c r="H8">
        <v>1</v>
      </c>
      <c r="I8" t="s">
        <v>23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14.2</v>
      </c>
      <c r="AE8">
        <v>495</v>
      </c>
      <c r="AF8">
        <v>46.875000000000007</v>
      </c>
      <c r="AG8">
        <v>43.648953651610107</v>
      </c>
      <c r="AH8">
        <f>45.9934725517227*1</f>
        <v>45.993472551722697</v>
      </c>
      <c r="AI8">
        <f>7.68233843145049*1</f>
        <v>7.6823384314504901</v>
      </c>
      <c r="AJ8">
        <v>1</v>
      </c>
      <c r="AK8">
        <v>1</v>
      </c>
      <c r="AL8">
        <v>1</v>
      </c>
      <c r="AN8" t="s">
        <v>5</v>
      </c>
      <c r="AO8">
        <f>SUMPRODUCT(Table1[Selected],Table1[MID])</f>
        <v>5</v>
      </c>
      <c r="AP8">
        <v>5</v>
      </c>
    </row>
    <row r="9" spans="1:42" hidden="1" x14ac:dyDescent="0.2">
      <c r="A9" t="s">
        <v>58</v>
      </c>
      <c r="B9" t="s">
        <v>59</v>
      </c>
      <c r="C9" t="s">
        <v>59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6.5</v>
      </c>
      <c r="AE9">
        <v>22</v>
      </c>
      <c r="AF9">
        <v>19.868472255588749</v>
      </c>
      <c r="AG9">
        <v>19.895400042808731</v>
      </c>
      <c r="AH9">
        <f>19.3494321853783*1</f>
        <v>19.349432185378301</v>
      </c>
      <c r="AI9">
        <f>3.99891283407785*1</f>
        <v>3.9989128340778501</v>
      </c>
      <c r="AJ9">
        <v>1</v>
      </c>
      <c r="AK9">
        <v>0</v>
      </c>
      <c r="AL9">
        <v>0</v>
      </c>
      <c r="AN9" t="s">
        <v>6</v>
      </c>
      <c r="AO9">
        <f>SUMPRODUCT(Table1[Selected],Table1[FWD])</f>
        <v>3</v>
      </c>
      <c r="AP9">
        <v>3</v>
      </c>
    </row>
    <row r="10" spans="1:42" hidden="1" x14ac:dyDescent="0.2">
      <c r="A10" t="s">
        <v>60</v>
      </c>
      <c r="B10" t="s">
        <v>61</v>
      </c>
      <c r="C10" t="s">
        <v>61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5.6</v>
      </c>
      <c r="AE10">
        <v>23</v>
      </c>
      <c r="AF10">
        <v>19.396551724137929</v>
      </c>
      <c r="AG10">
        <v>17.89112311287149</v>
      </c>
      <c r="AH10">
        <f>17.7747457540392*1</f>
        <v>17.774745754039198</v>
      </c>
      <c r="AI10">
        <f>3.56466373758068*1</f>
        <v>3.56466373758068</v>
      </c>
      <c r="AJ10">
        <v>1</v>
      </c>
      <c r="AK10">
        <v>0</v>
      </c>
      <c r="AL10">
        <v>0</v>
      </c>
    </row>
    <row r="11" spans="1:42" hidden="1" x14ac:dyDescent="0.2">
      <c r="A11" t="s">
        <v>62</v>
      </c>
      <c r="B11" t="s">
        <v>63</v>
      </c>
      <c r="C11" t="s">
        <v>63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5.2</v>
      </c>
      <c r="AE11">
        <v>25</v>
      </c>
      <c r="AF11">
        <v>17.064220183486231</v>
      </c>
      <c r="AG11">
        <v>15.232558139534881</v>
      </c>
      <c r="AH11">
        <f>15.2681459307617*1</f>
        <v>15.268145930761699</v>
      </c>
      <c r="AI11">
        <f>3.05362918615235*1</f>
        <v>3.0536291861523499</v>
      </c>
      <c r="AJ11">
        <v>1</v>
      </c>
      <c r="AK11">
        <v>0</v>
      </c>
      <c r="AL11">
        <v>0</v>
      </c>
      <c r="AN11" t="s">
        <v>7</v>
      </c>
      <c r="AO11">
        <f>SUMPRODUCT(Table1[Selected], -- (Table1[PREV] = 0))</f>
        <v>1</v>
      </c>
    </row>
    <row r="12" spans="1:42" hidden="1" x14ac:dyDescent="0.2">
      <c r="A12" t="s">
        <v>64</v>
      </c>
      <c r="B12" t="s">
        <v>65</v>
      </c>
      <c r="C12" t="s">
        <v>66</v>
      </c>
      <c r="D12" t="s">
        <v>3</v>
      </c>
      <c r="E12">
        <v>1</v>
      </c>
      <c r="F12">
        <v>0</v>
      </c>
      <c r="G12">
        <v>0</v>
      </c>
      <c r="H12">
        <v>0</v>
      </c>
      <c r="I12" t="s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4.9000000000000004</v>
      </c>
      <c r="AE12">
        <v>26</v>
      </c>
      <c r="AF12">
        <v>20.448717948717938</v>
      </c>
      <c r="AG12">
        <v>18.007993306228389</v>
      </c>
      <c r="AH12">
        <f>18.1174890465571*1</f>
        <v>18.1174890465571</v>
      </c>
      <c r="AI12">
        <f>3.62804548884907*1</f>
        <v>3.6280454888490699</v>
      </c>
      <c r="AJ12">
        <v>1</v>
      </c>
      <c r="AK12">
        <v>0</v>
      </c>
      <c r="AL12">
        <v>0</v>
      </c>
      <c r="AN12" t="s">
        <v>8</v>
      </c>
      <c r="AO12">
        <v>1</v>
      </c>
    </row>
    <row r="13" spans="1:42" hidden="1" x14ac:dyDescent="0.2">
      <c r="A13" t="s">
        <v>67</v>
      </c>
      <c r="B13" t="s">
        <v>68</v>
      </c>
      <c r="C13" t="s">
        <v>68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5.4</v>
      </c>
      <c r="AE13">
        <v>27</v>
      </c>
      <c r="AF13">
        <v>14.74236700721292</v>
      </c>
      <c r="AG13">
        <v>13.94230769230769</v>
      </c>
      <c r="AH13">
        <f>13.7602490480771*1</f>
        <v>13.7602490480771</v>
      </c>
      <c r="AI13">
        <f>2.79917665989308*1</f>
        <v>2.7991766598930798</v>
      </c>
      <c r="AJ13">
        <v>1</v>
      </c>
      <c r="AK13">
        <v>0</v>
      </c>
      <c r="AL13">
        <v>0</v>
      </c>
    </row>
    <row r="14" spans="1:42" hidden="1" x14ac:dyDescent="0.2">
      <c r="A14" t="s">
        <v>69</v>
      </c>
      <c r="B14" t="s">
        <v>70</v>
      </c>
      <c r="C14" t="s">
        <v>70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5.6</v>
      </c>
      <c r="AE14">
        <v>37</v>
      </c>
      <c r="AF14">
        <v>15.77464788732394</v>
      </c>
      <c r="AG14">
        <v>14.28571428571429</v>
      </c>
      <c r="AH14">
        <f>15.6114335083267*1</f>
        <v>15.6114335083267</v>
      </c>
      <c r="AI14">
        <f>3.12228670166535*1</f>
        <v>3.1222867016653502</v>
      </c>
      <c r="AJ14">
        <v>1</v>
      </c>
      <c r="AK14">
        <v>0</v>
      </c>
      <c r="AL14">
        <v>0</v>
      </c>
      <c r="AN14" t="s">
        <v>9</v>
      </c>
      <c r="AO14">
        <f>((AO11-AO12)+ABS((AO11-AO12)))/2*4</f>
        <v>0</v>
      </c>
    </row>
    <row r="15" spans="1:42" hidden="1" x14ac:dyDescent="0.2">
      <c r="A15" t="s">
        <v>71</v>
      </c>
      <c r="B15" t="s">
        <v>72</v>
      </c>
      <c r="C15" t="s">
        <v>72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4.5999999999999996</v>
      </c>
      <c r="AE15">
        <v>45</v>
      </c>
      <c r="AF15">
        <v>14.5003112848699</v>
      </c>
      <c r="AG15">
        <v>17.253694224478089</v>
      </c>
      <c r="AH15">
        <f>17.0003347426891*1</f>
        <v>17.000334742689098</v>
      </c>
      <c r="AI15">
        <f>3.58514395634558*1</f>
        <v>3.58514395634558</v>
      </c>
      <c r="AJ15">
        <v>1</v>
      </c>
      <c r="AK15">
        <v>0</v>
      </c>
      <c r="AL15">
        <v>0</v>
      </c>
    </row>
    <row r="16" spans="1:42" hidden="1" x14ac:dyDescent="0.2">
      <c r="A16" t="s">
        <v>73</v>
      </c>
      <c r="B16" t="s">
        <v>74</v>
      </c>
      <c r="C16" t="s">
        <v>73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5.6</v>
      </c>
      <c r="AE16">
        <v>46</v>
      </c>
      <c r="AF16">
        <v>22.718433872399551</v>
      </c>
      <c r="AG16">
        <v>13.86178861788618</v>
      </c>
      <c r="AH16">
        <f>18.1680404961088*1</f>
        <v>18.168040496108802</v>
      </c>
      <c r="AI16">
        <f>3.63571587424589*1</f>
        <v>3.6357158742458902</v>
      </c>
      <c r="AJ16">
        <v>1</v>
      </c>
      <c r="AK16">
        <v>0</v>
      </c>
      <c r="AL16">
        <v>0</v>
      </c>
      <c r="AN16" t="s">
        <v>10</v>
      </c>
      <c r="AO16">
        <f>AO2-AO14*5</f>
        <v>349.48985046426219</v>
      </c>
    </row>
    <row r="17" spans="1:42" hidden="1" x14ac:dyDescent="0.2">
      <c r="A17" t="s">
        <v>75</v>
      </c>
      <c r="B17" t="s">
        <v>76</v>
      </c>
      <c r="C17" t="s">
        <v>77</v>
      </c>
      <c r="D17" t="s">
        <v>3</v>
      </c>
      <c r="E17">
        <v>1</v>
      </c>
      <c r="F17">
        <v>0</v>
      </c>
      <c r="G17">
        <v>0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5.2</v>
      </c>
      <c r="AE17">
        <v>52</v>
      </c>
      <c r="AF17">
        <v>17.807017543859661</v>
      </c>
      <c r="AG17">
        <v>15.45454545454545</v>
      </c>
      <c r="AH17">
        <f>17.190934684331*1</f>
        <v>17.190934684331001</v>
      </c>
      <c r="AI17">
        <f>3.4381869368662*1</f>
        <v>3.4381869368662001</v>
      </c>
      <c r="AJ17">
        <v>1</v>
      </c>
      <c r="AK17">
        <v>0</v>
      </c>
      <c r="AL17">
        <v>0</v>
      </c>
    </row>
    <row r="18" spans="1:42" hidden="1" x14ac:dyDescent="0.2">
      <c r="A18" t="s">
        <v>78</v>
      </c>
      <c r="B18" t="s">
        <v>79</v>
      </c>
      <c r="C18" t="s">
        <v>79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5.5</v>
      </c>
      <c r="AE18">
        <v>53</v>
      </c>
      <c r="AF18">
        <v>15.400000000000009</v>
      </c>
      <c r="AG18">
        <v>14.87394957983193</v>
      </c>
      <c r="AH18">
        <f>15.8369644535645*1</f>
        <v>15.8369644535645</v>
      </c>
      <c r="AI18">
        <f>3.16739289071291*1</f>
        <v>3.1673928907129101</v>
      </c>
      <c r="AJ18">
        <v>1</v>
      </c>
      <c r="AK18">
        <v>0</v>
      </c>
      <c r="AL18">
        <v>0</v>
      </c>
      <c r="AN18" t="s">
        <v>11</v>
      </c>
      <c r="AO18">
        <f>SUMPRODUCT(Table1[Selected],Table1[ARS])</f>
        <v>1</v>
      </c>
      <c r="AP18">
        <v>3</v>
      </c>
    </row>
    <row r="19" spans="1:42" hidden="1" x14ac:dyDescent="0.2">
      <c r="A19" t="s">
        <v>80</v>
      </c>
      <c r="B19" t="s">
        <v>81</v>
      </c>
      <c r="C19" t="s">
        <v>81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5.6</v>
      </c>
      <c r="AE19">
        <v>60</v>
      </c>
      <c r="AF19">
        <v>12.614766339430741</v>
      </c>
      <c r="AG19">
        <v>18.183434582835041</v>
      </c>
      <c r="AH19">
        <f>16.8298251444366*1</f>
        <v>16.829825144436601</v>
      </c>
      <c r="AI19">
        <f>3.3659650653441*1</f>
        <v>3.3659650653441</v>
      </c>
      <c r="AJ19">
        <v>1</v>
      </c>
      <c r="AK19">
        <v>0</v>
      </c>
      <c r="AL19">
        <v>0</v>
      </c>
      <c r="AN19" t="s">
        <v>12</v>
      </c>
      <c r="AO19">
        <f>SUMPRODUCT(Table1[Selected],Table1[AVL])</f>
        <v>0</v>
      </c>
      <c r="AP19">
        <v>3</v>
      </c>
    </row>
    <row r="20" spans="1:42" hidden="1" x14ac:dyDescent="0.2">
      <c r="A20" t="s">
        <v>82</v>
      </c>
      <c r="B20" t="s">
        <v>83</v>
      </c>
      <c r="C20" t="s">
        <v>83</v>
      </c>
      <c r="D20" t="s">
        <v>6</v>
      </c>
      <c r="E20">
        <v>0</v>
      </c>
      <c r="F20">
        <v>0</v>
      </c>
      <c r="G20">
        <v>0</v>
      </c>
      <c r="H20">
        <v>1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8.8000000000000007</v>
      </c>
      <c r="AE20">
        <v>62</v>
      </c>
      <c r="AF20">
        <v>23.293650793650791</v>
      </c>
      <c r="AG20">
        <v>18</v>
      </c>
      <c r="AH20">
        <f>21.062857266247*1</f>
        <v>21.062857266247001</v>
      </c>
      <c r="AI20">
        <f>4.21257145324941*1</f>
        <v>4.2125714532494101</v>
      </c>
      <c r="AJ20">
        <v>1</v>
      </c>
      <c r="AK20">
        <v>0</v>
      </c>
      <c r="AL20">
        <v>0</v>
      </c>
      <c r="AN20" t="s">
        <v>13</v>
      </c>
      <c r="AO20">
        <f>SUMPRODUCT(Table1[Selected],Table1[BOU])</f>
        <v>2</v>
      </c>
      <c r="AP20">
        <v>3</v>
      </c>
    </row>
    <row r="21" spans="1:42" hidden="1" x14ac:dyDescent="0.2">
      <c r="A21" t="s">
        <v>84</v>
      </c>
      <c r="B21" t="s">
        <v>85</v>
      </c>
      <c r="C21" t="s">
        <v>84</v>
      </c>
      <c r="D21" t="s">
        <v>4</v>
      </c>
      <c r="E21">
        <v>0</v>
      </c>
      <c r="F21">
        <v>1</v>
      </c>
      <c r="G21">
        <v>0</v>
      </c>
      <c r="H21">
        <v>0</v>
      </c>
      <c r="I21" t="s">
        <v>12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4.5999999999999996</v>
      </c>
      <c r="AE21">
        <v>64</v>
      </c>
      <c r="AF21">
        <v>18.0224182540443</v>
      </c>
      <c r="AG21">
        <v>16.42963220317214</v>
      </c>
      <c r="AH21">
        <f>17.9055791562546*1</f>
        <v>17.9055791562546</v>
      </c>
      <c r="AI21">
        <f>3.69939875834179*1</f>
        <v>3.6993987583417902</v>
      </c>
      <c r="AJ21">
        <v>1</v>
      </c>
      <c r="AK21">
        <v>0</v>
      </c>
      <c r="AL21">
        <v>0</v>
      </c>
      <c r="AN21" t="s">
        <v>14</v>
      </c>
      <c r="AO21">
        <f>SUMPRODUCT(Table1[Selected],Table1[BRE])</f>
        <v>0</v>
      </c>
      <c r="AP21">
        <v>3</v>
      </c>
    </row>
    <row r="22" spans="1:42" hidden="1" x14ac:dyDescent="0.2">
      <c r="A22" t="s">
        <v>86</v>
      </c>
      <c r="B22" t="s">
        <v>87</v>
      </c>
      <c r="C22" t="s">
        <v>87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12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6.5</v>
      </c>
      <c r="AE22">
        <v>65</v>
      </c>
      <c r="AF22">
        <v>13.64986454050949</v>
      </c>
      <c r="AG22">
        <v>20.55832712397179</v>
      </c>
      <c r="AH22">
        <f>18.7783778798365*1</f>
        <v>18.778377879836501</v>
      </c>
      <c r="AI22">
        <f>3.99649543402596*1</f>
        <v>3.99649543402596</v>
      </c>
      <c r="AJ22">
        <v>1</v>
      </c>
      <c r="AK22">
        <v>0</v>
      </c>
      <c r="AL22">
        <v>0</v>
      </c>
      <c r="AN22" t="s">
        <v>15</v>
      </c>
      <c r="AO22">
        <f>SUMPRODUCT(Table1[Selected],Table1[BHA])</f>
        <v>1</v>
      </c>
      <c r="AP22">
        <v>3</v>
      </c>
    </row>
    <row r="23" spans="1:42" hidden="1" x14ac:dyDescent="0.2">
      <c r="A23" t="s">
        <v>88</v>
      </c>
      <c r="B23" t="s">
        <v>89</v>
      </c>
      <c r="C23" t="s">
        <v>89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4.5999999999999996</v>
      </c>
      <c r="AE23">
        <v>86</v>
      </c>
      <c r="AF23">
        <v>13.42975688769943</v>
      </c>
      <c r="AG23">
        <v>13.84615384615385</v>
      </c>
      <c r="AH23">
        <f>17.6708224418452*1</f>
        <v>17.6708224418452</v>
      </c>
      <c r="AI23">
        <f>3.64709623631223*1</f>
        <v>3.6470962363122301</v>
      </c>
      <c r="AJ23">
        <v>1</v>
      </c>
      <c r="AK23">
        <v>0</v>
      </c>
      <c r="AL23">
        <v>0</v>
      </c>
      <c r="AN23" t="s">
        <v>16</v>
      </c>
      <c r="AO23">
        <f>SUMPRODUCT(Table1[Selected],Table1[BUR])</f>
        <v>0</v>
      </c>
      <c r="AP23">
        <v>3</v>
      </c>
    </row>
    <row r="24" spans="1:42" x14ac:dyDescent="0.2">
      <c r="A24" t="s">
        <v>97</v>
      </c>
      <c r="B24" t="s">
        <v>98</v>
      </c>
      <c r="C24" t="s">
        <v>98</v>
      </c>
      <c r="D24" t="s">
        <v>6</v>
      </c>
      <c r="E24">
        <v>0</v>
      </c>
      <c r="F24">
        <v>0</v>
      </c>
      <c r="G24">
        <v>0</v>
      </c>
      <c r="H24">
        <v>1</v>
      </c>
      <c r="I24" t="s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7.1</v>
      </c>
      <c r="AE24">
        <v>99</v>
      </c>
      <c r="AF24">
        <v>25.61720198745606</v>
      </c>
      <c r="AG24">
        <v>14.27631578947368</v>
      </c>
      <c r="AH24">
        <f>33.70701581291*1</f>
        <v>33.707015812910001</v>
      </c>
      <c r="AI24">
        <f>6.31277138221742*1</f>
        <v>6.3127713822174201</v>
      </c>
      <c r="AJ24">
        <v>1</v>
      </c>
      <c r="AK24">
        <v>1</v>
      </c>
      <c r="AL24">
        <v>1</v>
      </c>
      <c r="AN24" t="s">
        <v>17</v>
      </c>
      <c r="AO24">
        <f>SUMPRODUCT(Table1[Selected],Table1[CHE])</f>
        <v>3</v>
      </c>
      <c r="AP24">
        <v>3</v>
      </c>
    </row>
    <row r="25" spans="1:42" hidden="1" x14ac:dyDescent="0.2">
      <c r="A25" t="s">
        <v>93</v>
      </c>
      <c r="B25" t="s">
        <v>94</v>
      </c>
      <c r="C25" t="s">
        <v>94</v>
      </c>
      <c r="D25" t="s">
        <v>6</v>
      </c>
      <c r="E25">
        <v>0</v>
      </c>
      <c r="F25">
        <v>0</v>
      </c>
      <c r="G25">
        <v>0</v>
      </c>
      <c r="H25">
        <v>1</v>
      </c>
      <c r="I25" t="s">
        <v>13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4.5</v>
      </c>
      <c r="AE25">
        <v>96</v>
      </c>
      <c r="AF25">
        <v>11.96428571428571</v>
      </c>
      <c r="AG25">
        <v>13.928571428571431</v>
      </c>
      <c r="AH25">
        <f>15.7425611102678*1</f>
        <v>15.7425611102678</v>
      </c>
      <c r="AI25">
        <f>3.14851222205357*1</f>
        <v>3.14851222205357</v>
      </c>
      <c r="AJ25">
        <v>1</v>
      </c>
      <c r="AK25">
        <v>0</v>
      </c>
      <c r="AL25">
        <v>0</v>
      </c>
      <c r="AN25" t="s">
        <v>18</v>
      </c>
      <c r="AO25">
        <f>SUMPRODUCT(Table1[Selected],Table1[CRY])</f>
        <v>0</v>
      </c>
      <c r="AP25">
        <v>3</v>
      </c>
    </row>
    <row r="26" spans="1:42" hidden="1" x14ac:dyDescent="0.2">
      <c r="A26" t="s">
        <v>95</v>
      </c>
      <c r="B26" t="s">
        <v>96</v>
      </c>
      <c r="C26" t="s">
        <v>96</v>
      </c>
      <c r="D26" t="s">
        <v>4</v>
      </c>
      <c r="E26">
        <v>0</v>
      </c>
      <c r="F26">
        <v>1</v>
      </c>
      <c r="G26">
        <v>0</v>
      </c>
      <c r="H26">
        <v>0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97</v>
      </c>
      <c r="AF26">
        <v>11.026805884551059</v>
      </c>
      <c r="AG26">
        <v>12.631578947368419</v>
      </c>
      <c r="AH26">
        <f>14.5090287572566*1</f>
        <v>14.509028757256599</v>
      </c>
      <c r="AI26">
        <f>0.363675964702968*1</f>
        <v>0.36367596470296798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1</v>
      </c>
      <c r="AP26">
        <v>3</v>
      </c>
    </row>
    <row r="27" spans="1:42" x14ac:dyDescent="0.2">
      <c r="A27" t="s">
        <v>248</v>
      </c>
      <c r="B27" t="s">
        <v>249</v>
      </c>
      <c r="C27" t="s">
        <v>249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23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7.9</v>
      </c>
      <c r="AE27">
        <v>493</v>
      </c>
      <c r="AF27">
        <v>36.14810011086562</v>
      </c>
      <c r="AG27">
        <v>25.019952055012229</v>
      </c>
      <c r="AH27">
        <f>33.1375684560817*1</f>
        <v>33.137568456081702</v>
      </c>
      <c r="AI27">
        <f>6.2672659264839*1</f>
        <v>6.2672659264839004</v>
      </c>
      <c r="AJ27">
        <v>1</v>
      </c>
      <c r="AK27">
        <v>0</v>
      </c>
      <c r="AL27">
        <v>1</v>
      </c>
      <c r="AN27" t="s">
        <v>20</v>
      </c>
      <c r="AO27">
        <f>SUMPRODUCT(Table1[Selected],Table1[FUL])</f>
        <v>0</v>
      </c>
      <c r="AP27">
        <v>3</v>
      </c>
    </row>
    <row r="28" spans="1:42" hidden="1" x14ac:dyDescent="0.2">
      <c r="A28" t="s">
        <v>99</v>
      </c>
      <c r="B28" t="s">
        <v>100</v>
      </c>
      <c r="C28" t="s">
        <v>100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5.4</v>
      </c>
      <c r="AE28">
        <v>100</v>
      </c>
      <c r="AF28">
        <v>18.536585365853661</v>
      </c>
      <c r="AG28">
        <v>19.548345852087071</v>
      </c>
      <c r="AH28">
        <f>24.390367704878*1</f>
        <v>24.390367704877999</v>
      </c>
      <c r="AI28">
        <f>4.87807354097561*1</f>
        <v>4.8780735409756097</v>
      </c>
      <c r="AJ28">
        <v>1</v>
      </c>
      <c r="AK28">
        <v>0</v>
      </c>
      <c r="AL28">
        <v>0</v>
      </c>
      <c r="AN28" t="s">
        <v>21</v>
      </c>
      <c r="AO28">
        <f>SUMPRODUCT(Table1[Selected],Table1[LIV])</f>
        <v>2</v>
      </c>
      <c r="AP28">
        <v>3</v>
      </c>
    </row>
    <row r="29" spans="1:42" hidden="1" x14ac:dyDescent="0.2">
      <c r="A29" t="s">
        <v>101</v>
      </c>
      <c r="B29" t="s">
        <v>102</v>
      </c>
      <c r="C29" t="s">
        <v>102</v>
      </c>
      <c r="D29" t="s">
        <v>4</v>
      </c>
      <c r="E29">
        <v>0</v>
      </c>
      <c r="F29">
        <v>1</v>
      </c>
      <c r="G29">
        <v>0</v>
      </c>
      <c r="H29">
        <v>0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4.4000000000000004</v>
      </c>
      <c r="AE29">
        <v>103</v>
      </c>
      <c r="AF29">
        <v>9.8148148148148167</v>
      </c>
      <c r="AG29">
        <v>11.375</v>
      </c>
      <c r="AH29">
        <f>12.9142955708333*1</f>
        <v>12.9142955708333</v>
      </c>
      <c r="AI29">
        <f>2.58285911416666*1</f>
        <v>2.5828591141666601</v>
      </c>
      <c r="AJ29">
        <v>1</v>
      </c>
      <c r="AK29">
        <v>0</v>
      </c>
      <c r="AL29">
        <v>0</v>
      </c>
      <c r="AN29" t="s">
        <v>22</v>
      </c>
      <c r="AO29">
        <f>SUMPRODUCT(Table1[Selected],Table1[LUT])</f>
        <v>0</v>
      </c>
      <c r="AP29">
        <v>3</v>
      </c>
    </row>
    <row r="30" spans="1:42" hidden="1" x14ac:dyDescent="0.2">
      <c r="A30" t="s">
        <v>103</v>
      </c>
      <c r="B30" t="s">
        <v>104</v>
      </c>
      <c r="C30" t="s">
        <v>104</v>
      </c>
      <c r="D30" t="s">
        <v>3</v>
      </c>
      <c r="E30">
        <v>1</v>
      </c>
      <c r="F30">
        <v>0</v>
      </c>
      <c r="G30">
        <v>0</v>
      </c>
      <c r="H30">
        <v>0</v>
      </c>
      <c r="I30" t="s">
        <v>14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</v>
      </c>
      <c r="AE30">
        <v>125</v>
      </c>
      <c r="AF30">
        <v>17.142857142857139</v>
      </c>
      <c r="AG30">
        <v>21.747866137177191</v>
      </c>
      <c r="AH30">
        <f>23.5743584112523*1</f>
        <v>23.574358411252302</v>
      </c>
      <c r="AI30">
        <f>3.30348965556302*1</f>
        <v>3.3034896555630202</v>
      </c>
      <c r="AJ30">
        <v>1</v>
      </c>
      <c r="AK30">
        <v>0</v>
      </c>
      <c r="AL30">
        <v>0</v>
      </c>
      <c r="AN30" t="s">
        <v>23</v>
      </c>
      <c r="AO30">
        <f>SUMPRODUCT(Table1[Selected],Table1[MCI])</f>
        <v>2</v>
      </c>
      <c r="AP30">
        <v>3</v>
      </c>
    </row>
    <row r="31" spans="1:42" hidden="1" x14ac:dyDescent="0.2">
      <c r="A31" t="s">
        <v>105</v>
      </c>
      <c r="B31" t="s">
        <v>106</v>
      </c>
      <c r="C31" t="s">
        <v>106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14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5.3</v>
      </c>
      <c r="AE31">
        <v>129</v>
      </c>
      <c r="AF31">
        <v>15.599999999999991</v>
      </c>
      <c r="AG31">
        <v>16.164179104477611</v>
      </c>
      <c r="AH31">
        <f>17.7683464781075*1</f>
        <v>17.7683464781075</v>
      </c>
      <c r="AI31">
        <f>2.96139107968458*1</f>
        <v>2.9613910796845802</v>
      </c>
      <c r="AJ31">
        <v>1</v>
      </c>
      <c r="AK31">
        <v>0</v>
      </c>
      <c r="AL31">
        <v>0</v>
      </c>
      <c r="AN31" t="s">
        <v>24</v>
      </c>
      <c r="AO31">
        <f>SUMPRODUCT(Table1[Selected],Table1[MUN])</f>
        <v>0</v>
      </c>
      <c r="AP31">
        <v>3</v>
      </c>
    </row>
    <row r="32" spans="1:42" hidden="1" x14ac:dyDescent="0.2">
      <c r="A32" t="s">
        <v>107</v>
      </c>
      <c r="B32" t="s">
        <v>108</v>
      </c>
      <c r="C32" t="s">
        <v>108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14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5.4</v>
      </c>
      <c r="AE32">
        <v>130</v>
      </c>
      <c r="AF32">
        <v>20.00263596467784</v>
      </c>
      <c r="AG32">
        <v>16.640625</v>
      </c>
      <c r="AH32">
        <f>18.6322460741457*1</f>
        <v>18.632246074145701</v>
      </c>
      <c r="AI32">
        <f>3.07635440529735*1</f>
        <v>3.0763544052973502</v>
      </c>
      <c r="AJ32">
        <v>1</v>
      </c>
      <c r="AK32">
        <v>0</v>
      </c>
      <c r="AL32">
        <v>0</v>
      </c>
      <c r="AN32" t="s">
        <v>25</v>
      </c>
      <c r="AO32">
        <f>SUMPRODUCT(Table1[Selected],Table1[NEW])</f>
        <v>0</v>
      </c>
      <c r="AP32">
        <v>3</v>
      </c>
    </row>
    <row r="33" spans="1:42" hidden="1" x14ac:dyDescent="0.2">
      <c r="A33" t="s">
        <v>109</v>
      </c>
      <c r="B33" t="s">
        <v>110</v>
      </c>
      <c r="C33" t="s">
        <v>110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14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6.8</v>
      </c>
      <c r="AE33">
        <v>132</v>
      </c>
      <c r="AF33">
        <v>24.211764705882349</v>
      </c>
      <c r="AG33">
        <v>19.536189112748438</v>
      </c>
      <c r="AH33">
        <f>21.9372204264459*1</f>
        <v>21.937220426445901</v>
      </c>
      <c r="AI33">
        <f>3.65620639510797*1</f>
        <v>3.65620639510797</v>
      </c>
      <c r="AJ33">
        <v>1</v>
      </c>
      <c r="AK33">
        <v>0</v>
      </c>
      <c r="AL33">
        <v>0</v>
      </c>
      <c r="AN33" t="s">
        <v>26</v>
      </c>
      <c r="AO33">
        <f>SUMPRODUCT(Table1[Selected],Table1[NFO])</f>
        <v>0</v>
      </c>
      <c r="AP33">
        <v>3</v>
      </c>
    </row>
    <row r="34" spans="1:42" hidden="1" x14ac:dyDescent="0.2">
      <c r="A34" t="s">
        <v>111</v>
      </c>
      <c r="B34" t="s">
        <v>112</v>
      </c>
      <c r="C34" t="s">
        <v>112</v>
      </c>
      <c r="D34" t="s">
        <v>6</v>
      </c>
      <c r="E34">
        <v>0</v>
      </c>
      <c r="F34">
        <v>0</v>
      </c>
      <c r="G34">
        <v>0</v>
      </c>
      <c r="H34">
        <v>1</v>
      </c>
      <c r="I34" t="s">
        <v>14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5.6</v>
      </c>
      <c r="AE34">
        <v>142</v>
      </c>
      <c r="AF34">
        <v>17.781290543645881</v>
      </c>
      <c r="AG34">
        <v>19.438575289684788</v>
      </c>
      <c r="AH34">
        <f>21.2832521905148*1</f>
        <v>21.283252190514801</v>
      </c>
      <c r="AI34">
        <f>3.5319649790883*1</f>
        <v>3.5319649790883001</v>
      </c>
      <c r="AJ34">
        <v>1</v>
      </c>
      <c r="AK34">
        <v>0</v>
      </c>
      <c r="AL34">
        <v>0</v>
      </c>
      <c r="AN34" t="s">
        <v>27</v>
      </c>
      <c r="AO34">
        <f>SUMPRODUCT(Table1[Selected],Table1[SHU])</f>
        <v>0</v>
      </c>
      <c r="AP34">
        <v>3</v>
      </c>
    </row>
    <row r="35" spans="1:42" hidden="1" x14ac:dyDescent="0.2">
      <c r="A35" t="s">
        <v>113</v>
      </c>
      <c r="B35" t="s">
        <v>114</v>
      </c>
      <c r="C35" t="s">
        <v>114</v>
      </c>
      <c r="D35" t="s">
        <v>6</v>
      </c>
      <c r="E35">
        <v>0</v>
      </c>
      <c r="F35">
        <v>0</v>
      </c>
      <c r="G35">
        <v>0</v>
      </c>
      <c r="H35">
        <v>1</v>
      </c>
      <c r="I35" t="s">
        <v>14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4.9000000000000004</v>
      </c>
      <c r="AE35">
        <v>145</v>
      </c>
      <c r="AF35">
        <v>16.302730103817218</v>
      </c>
      <c r="AG35">
        <v>17.89473684210526</v>
      </c>
      <c r="AH35">
        <f>19.5871829157316*1</f>
        <v>19.587182915731599</v>
      </c>
      <c r="AI35">
        <f>3.29639224726913*1</f>
        <v>3.29639224726913</v>
      </c>
      <c r="AJ35">
        <v>1</v>
      </c>
      <c r="AK35">
        <v>0</v>
      </c>
      <c r="AL35">
        <v>0</v>
      </c>
      <c r="AN35" t="s">
        <v>28</v>
      </c>
      <c r="AO35">
        <f>SUMPRODUCT(Table1[Selected],Table1[TOT])</f>
        <v>1</v>
      </c>
      <c r="AP35">
        <v>3</v>
      </c>
    </row>
    <row r="36" spans="1:42" hidden="1" x14ac:dyDescent="0.2">
      <c r="A36" t="s">
        <v>115</v>
      </c>
      <c r="B36" t="s">
        <v>116</v>
      </c>
      <c r="C36" t="s">
        <v>116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15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</v>
      </c>
      <c r="AE36">
        <v>156</v>
      </c>
      <c r="AF36">
        <v>16.47058823529412</v>
      </c>
      <c r="AG36">
        <v>15.41666666666667</v>
      </c>
      <c r="AH36">
        <f>15.4361959133406*1</f>
        <v>15.436195913340599</v>
      </c>
      <c r="AI36">
        <f>3.08723918266812*1</f>
        <v>3.08723918266812</v>
      </c>
      <c r="AJ36">
        <v>1</v>
      </c>
      <c r="AK36">
        <v>0</v>
      </c>
      <c r="AL36">
        <v>0</v>
      </c>
      <c r="AN36" t="s">
        <v>29</v>
      </c>
      <c r="AO36">
        <f>SUMPRODUCT(Table1[Selected],Table1[WHU])</f>
        <v>1</v>
      </c>
      <c r="AP36">
        <v>3</v>
      </c>
    </row>
    <row r="37" spans="1:42" hidden="1" x14ac:dyDescent="0.2">
      <c r="A37" t="s">
        <v>117</v>
      </c>
      <c r="B37" t="s">
        <v>118</v>
      </c>
      <c r="C37" t="s">
        <v>118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15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4.9000000000000004</v>
      </c>
      <c r="AE37">
        <v>166</v>
      </c>
      <c r="AF37">
        <v>7.3269916490861151</v>
      </c>
      <c r="AG37">
        <v>12.45192307692308</v>
      </c>
      <c r="AH37">
        <f>12.4676957983797*1</f>
        <v>12.467695798379699</v>
      </c>
      <c r="AI37">
        <f>2.49353919446072*1</f>
        <v>2.4935391944607201</v>
      </c>
      <c r="AJ37">
        <v>1</v>
      </c>
      <c r="AK37">
        <v>0</v>
      </c>
      <c r="AL37">
        <v>0</v>
      </c>
      <c r="AN37" t="s">
        <v>30</v>
      </c>
      <c r="AO37">
        <f>SUMPRODUCT(Table1[Selected],Table1[WOL])</f>
        <v>1</v>
      </c>
      <c r="AP37">
        <v>3</v>
      </c>
    </row>
    <row r="38" spans="1:42" hidden="1" x14ac:dyDescent="0.2">
      <c r="A38" t="s">
        <v>119</v>
      </c>
      <c r="B38" t="s">
        <v>120</v>
      </c>
      <c r="C38" t="s">
        <v>121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15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6.4</v>
      </c>
      <c r="AE38">
        <v>167</v>
      </c>
      <c r="AF38">
        <v>21.25250227030271</v>
      </c>
      <c r="AG38">
        <v>16.84101605881736</v>
      </c>
      <c r="AH38">
        <f>16.8623501085456*1</f>
        <v>16.862350108545598</v>
      </c>
      <c r="AI38">
        <f>3.37246993452954*1</f>
        <v>3.3724699345295401</v>
      </c>
      <c r="AJ38">
        <v>1</v>
      </c>
      <c r="AK38">
        <v>0</v>
      </c>
      <c r="AL38">
        <v>0</v>
      </c>
    </row>
    <row r="39" spans="1:42" hidden="1" x14ac:dyDescent="0.2">
      <c r="A39" t="s">
        <v>122</v>
      </c>
      <c r="B39" t="s">
        <v>123</v>
      </c>
      <c r="C39" t="s">
        <v>122</v>
      </c>
      <c r="D39" t="s">
        <v>6</v>
      </c>
      <c r="E39">
        <v>0</v>
      </c>
      <c r="F39">
        <v>0</v>
      </c>
      <c r="G39">
        <v>0</v>
      </c>
      <c r="H39">
        <v>1</v>
      </c>
      <c r="I39" t="s">
        <v>15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5.4</v>
      </c>
      <c r="AE39">
        <v>168</v>
      </c>
      <c r="AF39">
        <v>23.41288861948664</v>
      </c>
      <c r="AG39">
        <v>12.74390243902439</v>
      </c>
      <c r="AH39">
        <f>12.7600474066139*1</f>
        <v>12.7600474066139</v>
      </c>
      <c r="AI39">
        <f>2.55200910715195*1</f>
        <v>2.55200910715195</v>
      </c>
      <c r="AJ39">
        <v>1</v>
      </c>
      <c r="AK39">
        <v>0</v>
      </c>
      <c r="AL39">
        <v>0</v>
      </c>
    </row>
    <row r="40" spans="1:42" hidden="1" x14ac:dyDescent="0.2">
      <c r="A40" t="s">
        <v>124</v>
      </c>
      <c r="B40" t="s">
        <v>125</v>
      </c>
      <c r="C40" t="s">
        <v>125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15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6.4</v>
      </c>
      <c r="AE40">
        <v>176</v>
      </c>
      <c r="AF40">
        <v>8.3245951047101592</v>
      </c>
      <c r="AG40">
        <v>22.606047330980481</v>
      </c>
      <c r="AH40">
        <f>22.6346814257361*1</f>
        <v>22.634681425736101</v>
      </c>
      <c r="AI40">
        <f>4.52637752512093*1</f>
        <v>4.5263775251209299</v>
      </c>
      <c r="AJ40">
        <v>1</v>
      </c>
      <c r="AK40">
        <v>0</v>
      </c>
      <c r="AL40">
        <v>0</v>
      </c>
    </row>
    <row r="41" spans="1:42" x14ac:dyDescent="0.2">
      <c r="A41" t="s">
        <v>355</v>
      </c>
      <c r="B41" t="s">
        <v>356</v>
      </c>
      <c r="C41" t="s">
        <v>357</v>
      </c>
      <c r="D41" t="s">
        <v>6</v>
      </c>
      <c r="E41">
        <v>0</v>
      </c>
      <c r="F41">
        <v>0</v>
      </c>
      <c r="G41">
        <v>0</v>
      </c>
      <c r="H41">
        <v>1</v>
      </c>
      <c r="I41" t="s">
        <v>30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5.7</v>
      </c>
      <c r="AE41">
        <v>795</v>
      </c>
      <c r="AF41">
        <v>35.814993249010683</v>
      </c>
      <c r="AG41">
        <v>15.2559204171334</v>
      </c>
      <c r="AH41">
        <f>31.9205201213893*1</f>
        <v>31.920520121389298</v>
      </c>
      <c r="AI41">
        <f>6.16012353667338*1</f>
        <v>6.16012353667338</v>
      </c>
      <c r="AJ41">
        <v>1</v>
      </c>
      <c r="AK41">
        <v>1</v>
      </c>
      <c r="AL41">
        <v>1</v>
      </c>
    </row>
    <row r="42" spans="1:42" hidden="1" x14ac:dyDescent="0.2">
      <c r="A42" t="s">
        <v>128</v>
      </c>
      <c r="B42" t="s">
        <v>129</v>
      </c>
      <c r="C42" t="s">
        <v>129</v>
      </c>
      <c r="D42" t="s">
        <v>6</v>
      </c>
      <c r="E42">
        <v>0</v>
      </c>
      <c r="F42">
        <v>0</v>
      </c>
      <c r="G42">
        <v>0</v>
      </c>
      <c r="H42">
        <v>1</v>
      </c>
      <c r="I42" t="s">
        <v>15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5.7</v>
      </c>
      <c r="AE42">
        <v>186</v>
      </c>
      <c r="AF42">
        <v>15.035509979659791</v>
      </c>
      <c r="AG42">
        <v>15.17045454545455</v>
      </c>
      <c r="AH42">
        <f>15.1896717233085*1</f>
        <v>15.1896717233085</v>
      </c>
      <c r="AI42">
        <f>3.03793434454146*1</f>
        <v>3.0379343445414602</v>
      </c>
      <c r="AJ42">
        <v>1</v>
      </c>
      <c r="AK42">
        <v>0</v>
      </c>
      <c r="AL42">
        <v>0</v>
      </c>
    </row>
    <row r="43" spans="1:42" hidden="1" x14ac:dyDescent="0.2">
      <c r="A43" t="s">
        <v>130</v>
      </c>
      <c r="B43" t="s">
        <v>131</v>
      </c>
      <c r="C43" t="s">
        <v>131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16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4.7</v>
      </c>
      <c r="AE43">
        <v>204</v>
      </c>
      <c r="AF43">
        <v>11.71848538051794</v>
      </c>
      <c r="AG43">
        <v>13.055555555555561</v>
      </c>
      <c r="AH43">
        <f>16.2269768846666*1</f>
        <v>16.226976884666598</v>
      </c>
      <c r="AI43">
        <f>3.24539537693333*1</f>
        <v>3.2453953769333301</v>
      </c>
      <c r="AJ43">
        <v>1</v>
      </c>
      <c r="AK43">
        <v>0</v>
      </c>
      <c r="AL43">
        <v>0</v>
      </c>
    </row>
    <row r="44" spans="1:42" hidden="1" x14ac:dyDescent="0.2">
      <c r="A44" t="s">
        <v>132</v>
      </c>
      <c r="B44" t="s">
        <v>133</v>
      </c>
      <c r="C44" t="s">
        <v>133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16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4.7</v>
      </c>
      <c r="AE44">
        <v>229</v>
      </c>
      <c r="AF44">
        <v>11.22448979591837</v>
      </c>
      <c r="AG44">
        <v>13.09210526315789</v>
      </c>
      <c r="AH44">
        <f>16.272405151421*1</f>
        <v>16.272405151421001</v>
      </c>
      <c r="AI44">
        <f>3.25448103028421*1</f>
        <v>3.25448103028421</v>
      </c>
      <c r="AJ44">
        <v>1</v>
      </c>
      <c r="AK44">
        <v>0</v>
      </c>
      <c r="AL44">
        <v>0</v>
      </c>
    </row>
    <row r="45" spans="1:42" hidden="1" x14ac:dyDescent="0.2">
      <c r="A45" t="s">
        <v>134</v>
      </c>
      <c r="B45" t="s">
        <v>135</v>
      </c>
      <c r="C45" t="s">
        <v>135</v>
      </c>
      <c r="D45" t="s">
        <v>6</v>
      </c>
      <c r="E45">
        <v>0</v>
      </c>
      <c r="F45">
        <v>0</v>
      </c>
      <c r="G45">
        <v>0</v>
      </c>
      <c r="H45">
        <v>1</v>
      </c>
      <c r="I45" t="s">
        <v>16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5.3</v>
      </c>
      <c r="AE45">
        <v>230</v>
      </c>
      <c r="AF45">
        <v>15.71428571428571</v>
      </c>
      <c r="AG45">
        <v>13.8976757179476</v>
      </c>
      <c r="AH45">
        <f>17.2736626692047*1</f>
        <v>17.2736626692047</v>
      </c>
      <c r="AI45">
        <f>3.44270104444917*1</f>
        <v>3.4427010444491701</v>
      </c>
      <c r="AJ45">
        <v>1</v>
      </c>
      <c r="AK45">
        <v>0</v>
      </c>
      <c r="AL45">
        <v>0</v>
      </c>
    </row>
    <row r="46" spans="1:42" hidden="1" x14ac:dyDescent="0.2">
      <c r="A46" t="s">
        <v>136</v>
      </c>
      <c r="B46" t="s">
        <v>137</v>
      </c>
      <c r="C46" t="s">
        <v>137</v>
      </c>
      <c r="D46" t="s">
        <v>3</v>
      </c>
      <c r="E46">
        <v>1</v>
      </c>
      <c r="F46">
        <v>0</v>
      </c>
      <c r="G46">
        <v>0</v>
      </c>
      <c r="H46">
        <v>0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4.5</v>
      </c>
      <c r="AE46">
        <v>231</v>
      </c>
      <c r="AF46">
        <v>11.45373778251799</v>
      </c>
      <c r="AG46">
        <v>14.215249616805821</v>
      </c>
      <c r="AH46">
        <f>17.6683807870218*1</f>
        <v>17.6683807870218</v>
      </c>
      <c r="AI46">
        <f>3.50602321488659*1</f>
        <v>3.5060232148865902</v>
      </c>
      <c r="AJ46">
        <v>1</v>
      </c>
      <c r="AK46">
        <v>0</v>
      </c>
      <c r="AL46">
        <v>0</v>
      </c>
    </row>
    <row r="47" spans="1:42" hidden="1" x14ac:dyDescent="0.2">
      <c r="A47" t="s">
        <v>138</v>
      </c>
      <c r="B47" t="s">
        <v>139</v>
      </c>
      <c r="C47" t="s">
        <v>139</v>
      </c>
      <c r="D47" t="s">
        <v>4</v>
      </c>
      <c r="E47">
        <v>0</v>
      </c>
      <c r="F47">
        <v>1</v>
      </c>
      <c r="G47">
        <v>0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4.7</v>
      </c>
      <c r="AE47">
        <v>256</v>
      </c>
      <c r="AF47">
        <v>11.22222222222222</v>
      </c>
      <c r="AG47">
        <v>11.61567185740782</v>
      </c>
      <c r="AH47">
        <f>9.28466043268622*1</f>
        <v>9.2846604326862199</v>
      </c>
      <c r="AI47">
        <f>2.30064012210352*1</f>
        <v>2.3006401221035202</v>
      </c>
      <c r="AJ47">
        <v>1</v>
      </c>
      <c r="AK47">
        <v>0</v>
      </c>
      <c r="AL47">
        <v>0</v>
      </c>
    </row>
    <row r="48" spans="1:42" hidden="1" x14ac:dyDescent="0.2">
      <c r="A48" t="s">
        <v>140</v>
      </c>
      <c r="B48" t="s">
        <v>141</v>
      </c>
      <c r="C48" t="s">
        <v>141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6.3</v>
      </c>
      <c r="AE48">
        <v>265</v>
      </c>
      <c r="AF48">
        <v>10.25</v>
      </c>
      <c r="AG48">
        <v>10.58333333333333</v>
      </c>
      <c r="AH48">
        <f>8.47269571450333*1</f>
        <v>8.4726957145033293</v>
      </c>
      <c r="AI48">
        <f>2.11817392862583*1</f>
        <v>2.1181739286258301</v>
      </c>
      <c r="AJ48">
        <v>1</v>
      </c>
      <c r="AK48">
        <v>0</v>
      </c>
      <c r="AL48">
        <v>0</v>
      </c>
    </row>
    <row r="49" spans="1:38" hidden="1" x14ac:dyDescent="0.2">
      <c r="A49" t="s">
        <v>142</v>
      </c>
      <c r="B49" t="s">
        <v>143</v>
      </c>
      <c r="C49" t="s">
        <v>144</v>
      </c>
      <c r="D49" t="s">
        <v>6</v>
      </c>
      <c r="E49">
        <v>0</v>
      </c>
      <c r="F49">
        <v>0</v>
      </c>
      <c r="G49">
        <v>0</v>
      </c>
      <c r="H49">
        <v>1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6.8</v>
      </c>
      <c r="AE49">
        <v>266</v>
      </c>
      <c r="AF49">
        <v>13.4</v>
      </c>
      <c r="AG49">
        <v>13.626382862446169</v>
      </c>
      <c r="AH49">
        <f>11.015360293091*1</f>
        <v>11.015360293091</v>
      </c>
      <c r="AI49">
        <f>2.75486720354448*1</f>
        <v>2.7548672035444799</v>
      </c>
      <c r="AJ49">
        <v>1</v>
      </c>
      <c r="AK49">
        <v>0</v>
      </c>
      <c r="AL49">
        <v>0</v>
      </c>
    </row>
    <row r="50" spans="1:38" x14ac:dyDescent="0.2">
      <c r="A50" t="s">
        <v>90</v>
      </c>
      <c r="B50" t="s">
        <v>91</v>
      </c>
      <c r="C50" t="s">
        <v>92</v>
      </c>
      <c r="D50" t="s">
        <v>3</v>
      </c>
      <c r="E50">
        <v>1</v>
      </c>
      <c r="F50">
        <v>0</v>
      </c>
      <c r="G50">
        <v>0</v>
      </c>
      <c r="H50">
        <v>0</v>
      </c>
      <c r="I50" t="s">
        <v>13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4.5999999999999996</v>
      </c>
      <c r="AE50">
        <v>91</v>
      </c>
      <c r="AF50">
        <v>18.76854882483007</v>
      </c>
      <c r="AG50">
        <v>23.561763154038161</v>
      </c>
      <c r="AH50">
        <f>24.6955843317198*1</f>
        <v>24.6955843317198</v>
      </c>
      <c r="AI50">
        <f>5.09357005133626*1</f>
        <v>5.0935700513362603</v>
      </c>
      <c r="AJ50">
        <v>1</v>
      </c>
      <c r="AK50">
        <v>1</v>
      </c>
      <c r="AL50">
        <v>1</v>
      </c>
    </row>
    <row r="51" spans="1:38" x14ac:dyDescent="0.2">
      <c r="A51" t="s">
        <v>199</v>
      </c>
      <c r="B51" t="s">
        <v>200</v>
      </c>
      <c r="C51" t="s">
        <v>200</v>
      </c>
      <c r="D51" t="s">
        <v>4</v>
      </c>
      <c r="E51">
        <v>0</v>
      </c>
      <c r="F51">
        <v>1</v>
      </c>
      <c r="G51">
        <v>0</v>
      </c>
      <c r="H51">
        <v>0</v>
      </c>
      <c r="I51" t="s">
        <v>21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8.5</v>
      </c>
      <c r="AE51">
        <v>400</v>
      </c>
      <c r="AF51">
        <v>25.87207573072536</v>
      </c>
      <c r="AG51">
        <v>22.474551804897771</v>
      </c>
      <c r="AH51">
        <f>23.5133912801876*1</f>
        <v>23.513391280187601</v>
      </c>
      <c r="AI51">
        <f>4.93148547726045*1</f>
        <v>4.9314854772604502</v>
      </c>
      <c r="AJ51">
        <v>1</v>
      </c>
      <c r="AK51">
        <v>1</v>
      </c>
      <c r="AL51">
        <v>1</v>
      </c>
    </row>
    <row r="52" spans="1:38" x14ac:dyDescent="0.2">
      <c r="A52" t="s">
        <v>145</v>
      </c>
      <c r="B52" t="s">
        <v>146</v>
      </c>
      <c r="C52" t="s">
        <v>146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7</v>
      </c>
      <c r="AE52">
        <v>271</v>
      </c>
      <c r="AF52">
        <v>18.169904772748041</v>
      </c>
      <c r="AG52">
        <v>22.700172045450479</v>
      </c>
      <c r="AH52">
        <f>16.1695795685129*1</f>
        <v>16.169579568512901</v>
      </c>
      <c r="AI52">
        <f>4.73017915541143*1</f>
        <v>4.7301791554114301</v>
      </c>
      <c r="AJ52">
        <v>1</v>
      </c>
      <c r="AK52">
        <v>1</v>
      </c>
      <c r="AL52">
        <v>1</v>
      </c>
    </row>
    <row r="53" spans="1:38" hidden="1" x14ac:dyDescent="0.2">
      <c r="A53" t="s">
        <v>152</v>
      </c>
      <c r="B53" t="s">
        <v>153</v>
      </c>
      <c r="C53" t="s">
        <v>154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5.4</v>
      </c>
      <c r="AE53">
        <v>296</v>
      </c>
      <c r="AF53">
        <v>13.82857142857142</v>
      </c>
      <c r="AG53">
        <v>14.208633093525179</v>
      </c>
      <c r="AH53">
        <f>15.1672981704066*1</f>
        <v>15.1672981704066</v>
      </c>
      <c r="AI53">
        <f>3.03345963408132*1</f>
        <v>3.03345963408132</v>
      </c>
      <c r="AJ53">
        <v>1</v>
      </c>
      <c r="AK53">
        <v>0</v>
      </c>
      <c r="AL53">
        <v>0</v>
      </c>
    </row>
    <row r="54" spans="1:38" hidden="1" x14ac:dyDescent="0.2">
      <c r="A54" t="s">
        <v>155</v>
      </c>
      <c r="B54" t="s">
        <v>156</v>
      </c>
      <c r="C54" t="s">
        <v>156</v>
      </c>
      <c r="D54" t="s">
        <v>6</v>
      </c>
      <c r="E54">
        <v>0</v>
      </c>
      <c r="F54">
        <v>0</v>
      </c>
      <c r="G54">
        <v>0</v>
      </c>
      <c r="H54">
        <v>1</v>
      </c>
      <c r="I54" t="s">
        <v>18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5.4</v>
      </c>
      <c r="AE54">
        <v>300</v>
      </c>
      <c r="AF54">
        <v>14.61538461538461</v>
      </c>
      <c r="AG54">
        <v>13.89344262295082</v>
      </c>
      <c r="AH54">
        <f>15.7491151863161*1</f>
        <v>15.7491151863161</v>
      </c>
      <c r="AI54">
        <f>3.14982303726323*1</f>
        <v>3.1498230372632299</v>
      </c>
      <c r="AJ54">
        <v>1</v>
      </c>
      <c r="AK54">
        <v>0</v>
      </c>
      <c r="AL54">
        <v>0</v>
      </c>
    </row>
    <row r="55" spans="1:38" hidden="1" x14ac:dyDescent="0.2">
      <c r="A55" t="s">
        <v>157</v>
      </c>
      <c r="B55" t="s">
        <v>158</v>
      </c>
      <c r="C55" t="s">
        <v>158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</v>
      </c>
      <c r="AE55">
        <v>301</v>
      </c>
      <c r="AF55">
        <v>18.697916666666671</v>
      </c>
      <c r="AG55">
        <v>16.184210526315791</v>
      </c>
      <c r="AH55">
        <f>19.7504404344291*1</f>
        <v>19.750440434429098</v>
      </c>
      <c r="AI55">
        <f>3.95008808688583*1</f>
        <v>3.9500880868858301</v>
      </c>
      <c r="AJ55">
        <v>1</v>
      </c>
      <c r="AK55">
        <v>0</v>
      </c>
      <c r="AL55">
        <v>0</v>
      </c>
    </row>
    <row r="56" spans="1:38" hidden="1" x14ac:dyDescent="0.2">
      <c r="A56" t="s">
        <v>159</v>
      </c>
      <c r="B56" t="s">
        <v>160</v>
      </c>
      <c r="C56" t="s">
        <v>160</v>
      </c>
      <c r="D56" t="s">
        <v>6</v>
      </c>
      <c r="E56">
        <v>0</v>
      </c>
      <c r="F56">
        <v>0</v>
      </c>
      <c r="G56">
        <v>0</v>
      </c>
      <c r="H56">
        <v>1</v>
      </c>
      <c r="I56" t="s">
        <v>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4.9000000000000004</v>
      </c>
      <c r="AE56">
        <v>307</v>
      </c>
      <c r="AF56">
        <v>11.4</v>
      </c>
      <c r="AG56">
        <v>12.41525423728813</v>
      </c>
      <c r="AH56">
        <f>12.6792666225267*1</f>
        <v>12.679266622526701</v>
      </c>
      <c r="AI56">
        <f>2.53585332450535*1</f>
        <v>2.5358533245053501</v>
      </c>
      <c r="AJ56">
        <v>1</v>
      </c>
      <c r="AK56">
        <v>0</v>
      </c>
      <c r="AL56">
        <v>0</v>
      </c>
    </row>
    <row r="57" spans="1:38" hidden="1" x14ac:dyDescent="0.2">
      <c r="A57" t="s">
        <v>161</v>
      </c>
      <c r="B57" t="s">
        <v>162</v>
      </c>
      <c r="C57" t="s">
        <v>162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4.0999999999999996</v>
      </c>
      <c r="AE57">
        <v>330</v>
      </c>
      <c r="AF57">
        <v>16.8996304172572</v>
      </c>
      <c r="AG57">
        <v>13.15217391304348</v>
      </c>
      <c r="AH57">
        <f>16.3214180656521*1</f>
        <v>16.3214180656521</v>
      </c>
      <c r="AI57">
        <f>3.26428361313043*1</f>
        <v>3.2642836131304298</v>
      </c>
      <c r="AJ57">
        <v>1</v>
      </c>
      <c r="AK57">
        <v>0</v>
      </c>
      <c r="AL57">
        <v>0</v>
      </c>
    </row>
    <row r="58" spans="1:38" hidden="1" x14ac:dyDescent="0.2">
      <c r="A58" t="s">
        <v>97</v>
      </c>
      <c r="B58" t="s">
        <v>163</v>
      </c>
      <c r="C58" t="s">
        <v>163</v>
      </c>
      <c r="D58" t="s">
        <v>6</v>
      </c>
      <c r="E58">
        <v>0</v>
      </c>
      <c r="F58">
        <v>0</v>
      </c>
      <c r="G58">
        <v>0</v>
      </c>
      <c r="H58">
        <v>1</v>
      </c>
      <c r="I58" t="s">
        <v>19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5.8</v>
      </c>
      <c r="AE58">
        <v>331</v>
      </c>
      <c r="AF58">
        <v>17.35666681558304</v>
      </c>
      <c r="AG58">
        <v>17.162953579984119</v>
      </c>
      <c r="AH58">
        <f>21.2986645760891*1</f>
        <v>21.298664576089099</v>
      </c>
      <c r="AI58">
        <f>4.64579430948156*1</f>
        <v>4.6457943094815599</v>
      </c>
      <c r="AJ58">
        <v>1</v>
      </c>
      <c r="AK58">
        <v>0</v>
      </c>
      <c r="AL58">
        <v>0</v>
      </c>
    </row>
    <row r="59" spans="1:38" hidden="1" x14ac:dyDescent="0.2">
      <c r="A59" t="s">
        <v>164</v>
      </c>
      <c r="B59" t="s">
        <v>165</v>
      </c>
      <c r="C59" t="s">
        <v>166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5.5</v>
      </c>
      <c r="AE59">
        <v>334</v>
      </c>
      <c r="AF59">
        <v>16.15151515151517</v>
      </c>
      <c r="AG59">
        <v>14.732824427480921</v>
      </c>
      <c r="AH59">
        <f>18.2829537047328*1</f>
        <v>18.282953704732801</v>
      </c>
      <c r="AI59">
        <f>3.65659074094656*1</f>
        <v>3.6565907409465601</v>
      </c>
      <c r="AJ59">
        <v>1</v>
      </c>
      <c r="AK59">
        <v>0</v>
      </c>
      <c r="AL59">
        <v>0</v>
      </c>
    </row>
    <row r="60" spans="1:38" hidden="1" x14ac:dyDescent="0.2">
      <c r="A60" t="s">
        <v>136</v>
      </c>
      <c r="B60" t="s">
        <v>167</v>
      </c>
      <c r="C60" t="s">
        <v>167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4.9000000000000004</v>
      </c>
      <c r="AE60">
        <v>335</v>
      </c>
      <c r="AF60">
        <v>10.141337407391131</v>
      </c>
      <c r="AG60">
        <v>12.09677419354839</v>
      </c>
      <c r="AH60">
        <f>15.0117015*1</f>
        <v>15.011701499999999</v>
      </c>
      <c r="AI60">
        <f>3.0023403*1</f>
        <v>3.0023403000000002</v>
      </c>
      <c r="AJ60">
        <v>1</v>
      </c>
      <c r="AK60">
        <v>0</v>
      </c>
      <c r="AL60">
        <v>0</v>
      </c>
    </row>
    <row r="61" spans="1:38" hidden="1" x14ac:dyDescent="0.2">
      <c r="A61" t="s">
        <v>168</v>
      </c>
      <c r="B61" t="s">
        <v>169</v>
      </c>
      <c r="C61" t="s">
        <v>169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5.4</v>
      </c>
      <c r="AE61">
        <v>341</v>
      </c>
      <c r="AF61">
        <v>15.782122905027951</v>
      </c>
      <c r="AG61">
        <v>14.82025646043869</v>
      </c>
      <c r="AH61">
        <f>18.3914540007043*1</f>
        <v>18.3914540007043</v>
      </c>
      <c r="AI61">
        <f>3.67829080014086*1</f>
        <v>3.6782908001408599</v>
      </c>
      <c r="AJ61">
        <v>1</v>
      </c>
      <c r="AK61">
        <v>0</v>
      </c>
      <c r="AL61">
        <v>0</v>
      </c>
    </row>
    <row r="62" spans="1:38" x14ac:dyDescent="0.2">
      <c r="A62" t="s">
        <v>317</v>
      </c>
      <c r="B62" t="s">
        <v>318</v>
      </c>
      <c r="C62" t="s">
        <v>318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29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7.9</v>
      </c>
      <c r="AE62">
        <v>739</v>
      </c>
      <c r="AF62">
        <v>22.34265734265734</v>
      </c>
      <c r="AG62">
        <v>21.699382082396681</v>
      </c>
      <c r="AH62">
        <f>22.816493412069*1</f>
        <v>22.816493412069001</v>
      </c>
      <c r="AI62">
        <f>4.56329868241351*1</f>
        <v>4.5632986824135102</v>
      </c>
      <c r="AJ62">
        <v>1</v>
      </c>
      <c r="AK62">
        <v>1</v>
      </c>
      <c r="AL62">
        <v>1</v>
      </c>
    </row>
    <row r="63" spans="1:38" hidden="1" x14ac:dyDescent="0.2">
      <c r="A63" t="s">
        <v>172</v>
      </c>
      <c r="B63" t="s">
        <v>173</v>
      </c>
      <c r="C63" t="s">
        <v>173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4.7</v>
      </c>
      <c r="AE63">
        <v>343</v>
      </c>
      <c r="AF63">
        <v>11.81187614012466</v>
      </c>
      <c r="AG63">
        <v>13.09210526315789</v>
      </c>
      <c r="AH63">
        <f>16.2468748339473*1</f>
        <v>16.246874833947299</v>
      </c>
      <c r="AI63">
        <f>3.24937496678947*1</f>
        <v>3.2493749667894698</v>
      </c>
      <c r="AJ63">
        <v>1</v>
      </c>
      <c r="AK63">
        <v>0</v>
      </c>
      <c r="AL63">
        <v>0</v>
      </c>
    </row>
    <row r="64" spans="1:38" hidden="1" x14ac:dyDescent="0.2">
      <c r="A64" t="s">
        <v>152</v>
      </c>
      <c r="B64" t="s">
        <v>174</v>
      </c>
      <c r="C64" t="s">
        <v>174</v>
      </c>
      <c r="D64" t="s">
        <v>3</v>
      </c>
      <c r="E64">
        <v>1</v>
      </c>
      <c r="F64">
        <v>0</v>
      </c>
      <c r="G64">
        <v>0</v>
      </c>
      <c r="H64">
        <v>0</v>
      </c>
      <c r="I64" t="s">
        <v>19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4.5</v>
      </c>
      <c r="AE64">
        <v>345</v>
      </c>
      <c r="AF64">
        <v>17.846153846153818</v>
      </c>
      <c r="AG64">
        <v>17.74313742248318</v>
      </c>
      <c r="AH64">
        <f>22.0186537665432*1</f>
        <v>22.018653766543199</v>
      </c>
      <c r="AI64">
        <f>4.27606587945228*1</f>
        <v>4.2760658794522799</v>
      </c>
      <c r="AJ64">
        <v>1</v>
      </c>
      <c r="AK64">
        <v>0</v>
      </c>
      <c r="AL64">
        <v>0</v>
      </c>
    </row>
    <row r="65" spans="1:38" hidden="1" x14ac:dyDescent="0.2">
      <c r="A65" t="s">
        <v>136</v>
      </c>
      <c r="B65" t="s">
        <v>175</v>
      </c>
      <c r="C65" t="s">
        <v>175</v>
      </c>
      <c r="D65" t="s">
        <v>4</v>
      </c>
      <c r="E65">
        <v>0</v>
      </c>
      <c r="F65">
        <v>1</v>
      </c>
      <c r="G65">
        <v>0</v>
      </c>
      <c r="H65">
        <v>0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4.5999999999999996</v>
      </c>
      <c r="AE65">
        <v>347</v>
      </c>
      <c r="AF65">
        <v>14.684622219844281</v>
      </c>
      <c r="AG65">
        <v>14.631410256410261</v>
      </c>
      <c r="AH65">
        <f>18.1571020322435*1</f>
        <v>18.1571020322435</v>
      </c>
      <c r="AI65">
        <f>3.63142040644871*1</f>
        <v>3.6314204064487101</v>
      </c>
      <c r="AJ65">
        <v>1</v>
      </c>
      <c r="AK65">
        <v>0</v>
      </c>
      <c r="AL65">
        <v>0</v>
      </c>
    </row>
    <row r="66" spans="1:38" hidden="1" x14ac:dyDescent="0.2">
      <c r="A66" t="s">
        <v>176</v>
      </c>
      <c r="B66" t="s">
        <v>177</v>
      </c>
      <c r="C66" t="s">
        <v>177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5.5</v>
      </c>
      <c r="AE66">
        <v>356</v>
      </c>
      <c r="AF66">
        <v>19.87288135593219</v>
      </c>
      <c r="AG66">
        <v>19.640869624312771</v>
      </c>
      <c r="AH66">
        <f>24.3736774187163*1</f>
        <v>24.373677418716301</v>
      </c>
      <c r="AI66">
        <f>4.87473548374326*1</f>
        <v>4.8747354837432599</v>
      </c>
      <c r="AJ66">
        <v>1</v>
      </c>
      <c r="AK66">
        <v>0</v>
      </c>
      <c r="AL66">
        <v>0</v>
      </c>
    </row>
    <row r="67" spans="1:38" hidden="1" x14ac:dyDescent="0.2">
      <c r="A67" t="s">
        <v>178</v>
      </c>
      <c r="B67" t="s">
        <v>179</v>
      </c>
      <c r="C67" t="s">
        <v>179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20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5.3</v>
      </c>
      <c r="AE67">
        <v>362</v>
      </c>
      <c r="AF67">
        <v>13.690476190476179</v>
      </c>
      <c r="AG67">
        <v>13.928571428571431</v>
      </c>
      <c r="AH67">
        <f>15.3672823450833*1</f>
        <v>15.3672823450833</v>
      </c>
      <c r="AI67">
        <f>3.07345646901666*1</f>
        <v>3.0734564690166599</v>
      </c>
      <c r="AJ67">
        <v>1</v>
      </c>
      <c r="AK67">
        <v>0</v>
      </c>
      <c r="AL67">
        <v>0</v>
      </c>
    </row>
    <row r="68" spans="1:38" hidden="1" x14ac:dyDescent="0.2">
      <c r="A68" t="s">
        <v>180</v>
      </c>
      <c r="B68" t="s">
        <v>181</v>
      </c>
      <c r="C68" t="s">
        <v>180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20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5.3</v>
      </c>
      <c r="AE68">
        <v>363</v>
      </c>
      <c r="AF68">
        <v>17.81818181818182</v>
      </c>
      <c r="AG68">
        <v>16.104651162790699</v>
      </c>
      <c r="AH68">
        <f>17.8515283476132*1</f>
        <v>17.851528347613201</v>
      </c>
      <c r="AI68">
        <f>3.57030566952264*1</f>
        <v>3.5703056695226398</v>
      </c>
      <c r="AJ68">
        <v>1</v>
      </c>
      <c r="AK68">
        <v>0</v>
      </c>
      <c r="AL68">
        <v>0</v>
      </c>
    </row>
    <row r="69" spans="1:38" hidden="1" x14ac:dyDescent="0.2">
      <c r="A69" t="s">
        <v>182</v>
      </c>
      <c r="B69" t="s">
        <v>183</v>
      </c>
      <c r="C69" t="s">
        <v>183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20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4.9000000000000004</v>
      </c>
      <c r="AE69">
        <v>364</v>
      </c>
      <c r="AF69">
        <v>10.69645716267925</v>
      </c>
      <c r="AG69">
        <v>12.361111111111111</v>
      </c>
      <c r="AH69">
        <f>13.5769744507461*1</f>
        <v>13.5769744507461</v>
      </c>
      <c r="AI69">
        <f>2.70852374503961*1</f>
        <v>2.70852374503961</v>
      </c>
      <c r="AJ69">
        <v>1</v>
      </c>
      <c r="AK69">
        <v>0</v>
      </c>
      <c r="AL69">
        <v>0</v>
      </c>
    </row>
    <row r="70" spans="1:38" hidden="1" x14ac:dyDescent="0.2">
      <c r="A70" t="s">
        <v>184</v>
      </c>
      <c r="B70" t="s">
        <v>185</v>
      </c>
      <c r="C70" t="s">
        <v>185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20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5.3</v>
      </c>
      <c r="AE70">
        <v>366</v>
      </c>
      <c r="AF70">
        <v>13.19187703215432</v>
      </c>
      <c r="AG70">
        <v>13.48837209302325</v>
      </c>
      <c r="AH70">
        <f>14.8788495892074*1</f>
        <v>14.8788495892074</v>
      </c>
      <c r="AI70">
        <f>2.97361350217551*1</f>
        <v>2.9736135021755099</v>
      </c>
      <c r="AJ70">
        <v>1</v>
      </c>
      <c r="AK70">
        <v>0</v>
      </c>
      <c r="AL70">
        <v>0</v>
      </c>
    </row>
    <row r="71" spans="1:38" hidden="1" x14ac:dyDescent="0.2">
      <c r="A71" t="s">
        <v>186</v>
      </c>
      <c r="B71" t="s">
        <v>187</v>
      </c>
      <c r="C71" t="s">
        <v>187</v>
      </c>
      <c r="D71" t="s">
        <v>3</v>
      </c>
      <c r="E71">
        <v>1</v>
      </c>
      <c r="F71">
        <v>0</v>
      </c>
      <c r="G71">
        <v>0</v>
      </c>
      <c r="H71">
        <v>0</v>
      </c>
      <c r="I71" t="s">
        <v>20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4.8</v>
      </c>
      <c r="AE71">
        <v>371</v>
      </c>
      <c r="AF71">
        <v>18.463112656142481</v>
      </c>
      <c r="AG71">
        <v>16.463414634146339</v>
      </c>
      <c r="AH71">
        <f>18.2596058388504*1</f>
        <v>18.259605838850401</v>
      </c>
      <c r="AI71">
        <f>3.66301224206343*1</f>
        <v>3.6630122420634299</v>
      </c>
      <c r="AJ71">
        <v>1</v>
      </c>
      <c r="AK71">
        <v>0</v>
      </c>
      <c r="AL71">
        <v>0</v>
      </c>
    </row>
    <row r="72" spans="1:38" hidden="1" x14ac:dyDescent="0.2">
      <c r="A72" t="s">
        <v>188</v>
      </c>
      <c r="B72" t="s">
        <v>189</v>
      </c>
      <c r="C72" t="s">
        <v>190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20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</v>
      </c>
      <c r="AE72">
        <v>376</v>
      </c>
      <c r="AF72">
        <v>11.33931228524151</v>
      </c>
      <c r="AG72">
        <v>13.47560975609756</v>
      </c>
      <c r="AH72">
        <f>14.787614060917*1</f>
        <v>14.787614060917001</v>
      </c>
      <c r="AI72">
        <f>2.94584607919395*1</f>
        <v>2.94584607919395</v>
      </c>
      <c r="AJ72">
        <v>1</v>
      </c>
      <c r="AK72">
        <v>0</v>
      </c>
      <c r="AL72">
        <v>0</v>
      </c>
    </row>
    <row r="73" spans="1:38" hidden="1" x14ac:dyDescent="0.2">
      <c r="A73" t="s">
        <v>191</v>
      </c>
      <c r="B73" t="s">
        <v>192</v>
      </c>
      <c r="C73" t="s">
        <v>192</v>
      </c>
      <c r="D73" t="s">
        <v>4</v>
      </c>
      <c r="E73">
        <v>0</v>
      </c>
      <c r="F73">
        <v>1</v>
      </c>
      <c r="G73">
        <v>0</v>
      </c>
      <c r="H73">
        <v>0</v>
      </c>
      <c r="I73" t="s">
        <v>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4.4000000000000004</v>
      </c>
      <c r="AE73">
        <v>379</v>
      </c>
      <c r="AF73">
        <v>12.195121951219511</v>
      </c>
      <c r="AG73">
        <v>13.203125</v>
      </c>
      <c r="AH73">
        <f>14.5340996317147*1</f>
        <v>14.5340996317147</v>
      </c>
      <c r="AI73">
        <f>2.90681992634294*1</f>
        <v>2.9068199263429402</v>
      </c>
      <c r="AJ73">
        <v>1</v>
      </c>
      <c r="AK73">
        <v>0</v>
      </c>
      <c r="AL73">
        <v>0</v>
      </c>
    </row>
    <row r="74" spans="1:38" hidden="1" x14ac:dyDescent="0.2">
      <c r="A74" t="s">
        <v>193</v>
      </c>
      <c r="B74" t="s">
        <v>194</v>
      </c>
      <c r="C74" t="s">
        <v>193</v>
      </c>
      <c r="D74" t="s">
        <v>6</v>
      </c>
      <c r="E74">
        <v>0</v>
      </c>
      <c r="F74">
        <v>0</v>
      </c>
      <c r="G74">
        <v>0</v>
      </c>
      <c r="H74">
        <v>1</v>
      </c>
      <c r="I74" t="s">
        <v>20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5.0999999999999996</v>
      </c>
      <c r="AE74">
        <v>385</v>
      </c>
      <c r="AF74">
        <v>16.116230335025499</v>
      </c>
      <c r="AG74">
        <v>20.12762119986294</v>
      </c>
      <c r="AH74">
        <f>22.0528679282237*1</f>
        <v>22.052867928223701</v>
      </c>
      <c r="AI74">
        <f>4.41301481277365*1</f>
        <v>4.4130148127736497</v>
      </c>
      <c r="AJ74">
        <v>1</v>
      </c>
      <c r="AK74">
        <v>0</v>
      </c>
      <c r="AL74">
        <v>0</v>
      </c>
    </row>
    <row r="75" spans="1:38" hidden="1" x14ac:dyDescent="0.2">
      <c r="A75" t="s">
        <v>195</v>
      </c>
      <c r="B75" t="s">
        <v>196</v>
      </c>
      <c r="C75" t="s">
        <v>195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5.3</v>
      </c>
      <c r="AE75">
        <v>386</v>
      </c>
      <c r="AF75">
        <v>20.72603171308489</v>
      </c>
      <c r="AG75">
        <v>16.571428571428569</v>
      </c>
      <c r="AH75">
        <f>18.4692127263477*1</f>
        <v>18.469212726347699</v>
      </c>
      <c r="AI75">
        <f>3.71664294751606*1</f>
        <v>3.7166429475160601</v>
      </c>
      <c r="AJ75">
        <v>1</v>
      </c>
      <c r="AK75">
        <v>0</v>
      </c>
      <c r="AL75">
        <v>0</v>
      </c>
    </row>
    <row r="76" spans="1:38" hidden="1" x14ac:dyDescent="0.2">
      <c r="A76" t="s">
        <v>197</v>
      </c>
      <c r="B76" t="s">
        <v>198</v>
      </c>
      <c r="C76" t="s">
        <v>198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4.5</v>
      </c>
      <c r="AE76">
        <v>393</v>
      </c>
      <c r="AF76">
        <v>14.447363349038611</v>
      </c>
      <c r="AG76">
        <v>15.090361445783129</v>
      </c>
      <c r="AH76">
        <f>16.6329305889901*1</f>
        <v>16.632930588990099</v>
      </c>
      <c r="AI76">
        <f>3.30051350427439*1</f>
        <v>3.3005135042743898</v>
      </c>
      <c r="AJ76">
        <v>1</v>
      </c>
      <c r="AK76">
        <v>0</v>
      </c>
      <c r="AL76">
        <v>0</v>
      </c>
    </row>
    <row r="77" spans="1:38" x14ac:dyDescent="0.2">
      <c r="A77" t="s">
        <v>150</v>
      </c>
      <c r="B77" t="s">
        <v>151</v>
      </c>
      <c r="C77" t="s">
        <v>151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17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5.9</v>
      </c>
      <c r="AE77">
        <v>274</v>
      </c>
      <c r="AF77">
        <v>28.395285577015091</v>
      </c>
      <c r="AG77">
        <v>10.5</v>
      </c>
      <c r="AH77">
        <f>17.9768098539544*1</f>
        <v>17.9768098539544</v>
      </c>
      <c r="AI77">
        <f>4.49420246348861*1</f>
        <v>4.4942024634886097</v>
      </c>
      <c r="AJ77">
        <v>1</v>
      </c>
      <c r="AK77">
        <v>1</v>
      </c>
      <c r="AL77">
        <v>1</v>
      </c>
    </row>
    <row r="78" spans="1:38" hidden="1" x14ac:dyDescent="0.2">
      <c r="A78" t="s">
        <v>201</v>
      </c>
      <c r="B78" t="s">
        <v>202</v>
      </c>
      <c r="C78" t="s">
        <v>203</v>
      </c>
      <c r="D78" t="s">
        <v>3</v>
      </c>
      <c r="E78">
        <v>1</v>
      </c>
      <c r="F78">
        <v>0</v>
      </c>
      <c r="G78">
        <v>0</v>
      </c>
      <c r="H78">
        <v>0</v>
      </c>
      <c r="I78" t="s">
        <v>21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5.7</v>
      </c>
      <c r="AE78">
        <v>401</v>
      </c>
      <c r="AF78">
        <v>21.722933004198811</v>
      </c>
      <c r="AG78">
        <v>18.682582118236532</v>
      </c>
      <c r="AH78">
        <f>19.5461456710606*1</f>
        <v>19.5461456710606</v>
      </c>
      <c r="AI78">
        <f>3.89662718183906*1</f>
        <v>3.8966271818390599</v>
      </c>
      <c r="AJ78">
        <v>1</v>
      </c>
      <c r="AK78">
        <v>0</v>
      </c>
      <c r="AL78">
        <v>0</v>
      </c>
    </row>
    <row r="79" spans="1:38" hidden="1" x14ac:dyDescent="0.2">
      <c r="A79" t="s">
        <v>204</v>
      </c>
      <c r="B79" t="s">
        <v>205</v>
      </c>
      <c r="C79" t="s">
        <v>204</v>
      </c>
      <c r="D79" t="s">
        <v>6</v>
      </c>
      <c r="E79">
        <v>0</v>
      </c>
      <c r="F79">
        <v>0</v>
      </c>
      <c r="G79">
        <v>0</v>
      </c>
      <c r="H79">
        <v>1</v>
      </c>
      <c r="I79" t="s">
        <v>21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7.4</v>
      </c>
      <c r="AE79">
        <v>403</v>
      </c>
      <c r="AF79">
        <v>19.18367346938776</v>
      </c>
      <c r="AG79">
        <v>18.658301496090171</v>
      </c>
      <c r="AH79">
        <f>19.5207427275888*1</f>
        <v>19.5207427275888</v>
      </c>
      <c r="AI79">
        <f>3.8942893833852*1</f>
        <v>3.8942893833852001</v>
      </c>
      <c r="AJ79">
        <v>1</v>
      </c>
      <c r="AK79">
        <v>0</v>
      </c>
      <c r="AL79">
        <v>0</v>
      </c>
    </row>
    <row r="80" spans="1:38" hidden="1" x14ac:dyDescent="0.2">
      <c r="A80" t="s">
        <v>206</v>
      </c>
      <c r="B80" t="s">
        <v>207</v>
      </c>
      <c r="C80" t="s">
        <v>208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8.1</v>
      </c>
      <c r="AE80">
        <v>404</v>
      </c>
      <c r="AF80">
        <v>21.527777777777779</v>
      </c>
      <c r="AG80">
        <v>18.396210719500051</v>
      </c>
      <c r="AH80">
        <f>19.2465373492396*1</f>
        <v>19.246537349239599</v>
      </c>
      <c r="AI80">
        <f>3.84930744260072*1</f>
        <v>3.8493074426007201</v>
      </c>
      <c r="AJ80">
        <v>1</v>
      </c>
      <c r="AK80">
        <v>0</v>
      </c>
      <c r="AL80">
        <v>0</v>
      </c>
    </row>
    <row r="81" spans="1:38" hidden="1" x14ac:dyDescent="0.2">
      <c r="A81" t="s">
        <v>209</v>
      </c>
      <c r="B81" t="s">
        <v>210</v>
      </c>
      <c r="C81" t="s">
        <v>210</v>
      </c>
      <c r="D81" t="s">
        <v>6</v>
      </c>
      <c r="E81">
        <v>0</v>
      </c>
      <c r="F81">
        <v>0</v>
      </c>
      <c r="G81">
        <v>0</v>
      </c>
      <c r="H81">
        <v>1</v>
      </c>
      <c r="I81" t="s">
        <v>21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7.2</v>
      </c>
      <c r="AE81">
        <v>407</v>
      </c>
      <c r="AF81">
        <v>16.025641025641029</v>
      </c>
      <c r="AG81">
        <v>15.25</v>
      </c>
      <c r="AH81">
        <f>15.954899574225*1</f>
        <v>15.954899574224999</v>
      </c>
      <c r="AI81">
        <f>3.19097991484499*1</f>
        <v>3.19097991484499</v>
      </c>
      <c r="AJ81">
        <v>1</v>
      </c>
      <c r="AK81">
        <v>0</v>
      </c>
      <c r="AL81">
        <v>0</v>
      </c>
    </row>
    <row r="82" spans="1:38" hidden="1" x14ac:dyDescent="0.2">
      <c r="A82" t="s">
        <v>211</v>
      </c>
      <c r="B82" t="s">
        <v>212</v>
      </c>
      <c r="C82" t="s">
        <v>212</v>
      </c>
      <c r="D82" t="s">
        <v>4</v>
      </c>
      <c r="E82">
        <v>0</v>
      </c>
      <c r="F82">
        <v>1</v>
      </c>
      <c r="G82">
        <v>0</v>
      </c>
      <c r="H82">
        <v>0</v>
      </c>
      <c r="I82" t="s">
        <v>21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4.5</v>
      </c>
      <c r="AE82">
        <v>408</v>
      </c>
      <c r="AF82">
        <v>13.75</v>
      </c>
      <c r="AG82">
        <v>11.66666666666667</v>
      </c>
      <c r="AH82">
        <f>12.2059341005*1</f>
        <v>12.2059341005</v>
      </c>
      <c r="AI82">
        <f>2.4411868201*1</f>
        <v>2.4411868201</v>
      </c>
      <c r="AJ82">
        <v>1</v>
      </c>
      <c r="AK82">
        <v>0</v>
      </c>
      <c r="AL82">
        <v>0</v>
      </c>
    </row>
    <row r="83" spans="1:38" hidden="1" x14ac:dyDescent="0.2">
      <c r="A83" t="s">
        <v>213</v>
      </c>
      <c r="B83" t="s">
        <v>214</v>
      </c>
      <c r="C83" t="s">
        <v>214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21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4.9000000000000004</v>
      </c>
      <c r="AE83">
        <v>410</v>
      </c>
      <c r="AF83">
        <v>11.26666666666666</v>
      </c>
      <c r="AG83">
        <v>13.00847457627119</v>
      </c>
      <c r="AH83">
        <f>13.6097642936567*1</f>
        <v>13.609764293656699</v>
      </c>
      <c r="AI83">
        <f>2.72195285873135*1</f>
        <v>2.72195285873135</v>
      </c>
      <c r="AJ83">
        <v>1</v>
      </c>
      <c r="AK83">
        <v>0</v>
      </c>
      <c r="AL83">
        <v>0</v>
      </c>
    </row>
    <row r="84" spans="1:38" hidden="1" x14ac:dyDescent="0.2">
      <c r="A84" t="s">
        <v>215</v>
      </c>
      <c r="B84" t="s">
        <v>216</v>
      </c>
      <c r="C84" t="s">
        <v>217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7.4</v>
      </c>
      <c r="AE84">
        <v>413</v>
      </c>
      <c r="AF84">
        <v>17.1875</v>
      </c>
      <c r="AG84">
        <v>16.953739936178241</v>
      </c>
      <c r="AH84">
        <f>17.7373913501148*1</f>
        <v>17.737391350114802</v>
      </c>
      <c r="AI84">
        <f>3.54747827002069*1</f>
        <v>3.5474782700206902</v>
      </c>
      <c r="AJ84">
        <v>1</v>
      </c>
      <c r="AK84">
        <v>0</v>
      </c>
      <c r="AL84">
        <v>0</v>
      </c>
    </row>
    <row r="85" spans="1:38" hidden="1" x14ac:dyDescent="0.2">
      <c r="A85" t="s">
        <v>218</v>
      </c>
      <c r="B85" t="s">
        <v>219</v>
      </c>
      <c r="C85" t="s">
        <v>219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13</v>
      </c>
      <c r="AE85">
        <v>418</v>
      </c>
      <c r="AF85">
        <v>34.687499999999993</v>
      </c>
      <c r="AG85">
        <v>34.362011474928643</v>
      </c>
      <c r="AH85">
        <f>0*0</f>
        <v>0</v>
      </c>
      <c r="AI85">
        <f>7.19006481639363*0</f>
        <v>0</v>
      </c>
      <c r="AJ85">
        <v>0</v>
      </c>
      <c r="AK85">
        <v>0</v>
      </c>
      <c r="AL85">
        <v>0</v>
      </c>
    </row>
    <row r="86" spans="1:38" hidden="1" x14ac:dyDescent="0.2">
      <c r="A86" t="s">
        <v>220</v>
      </c>
      <c r="B86" t="s">
        <v>221</v>
      </c>
      <c r="C86" t="s">
        <v>221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7.1</v>
      </c>
      <c r="AE86">
        <v>419</v>
      </c>
      <c r="AF86">
        <v>17.777238707300221</v>
      </c>
      <c r="AG86">
        <v>20.58942800810976</v>
      </c>
      <c r="AH86">
        <f>21.5411315514837*1</f>
        <v>21.541131551483701</v>
      </c>
      <c r="AI86">
        <f>4.31590525491652*1</f>
        <v>4.3159052549165198</v>
      </c>
      <c r="AJ86">
        <v>1</v>
      </c>
      <c r="AK86">
        <v>0</v>
      </c>
      <c r="AL86">
        <v>0</v>
      </c>
    </row>
    <row r="87" spans="1:38" x14ac:dyDescent="0.2">
      <c r="A87" t="s">
        <v>222</v>
      </c>
      <c r="B87" t="s">
        <v>223</v>
      </c>
      <c r="C87" t="s">
        <v>222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6.3</v>
      </c>
      <c r="AE87">
        <v>423</v>
      </c>
      <c r="AF87">
        <v>23.73456790123458</v>
      </c>
      <c r="AG87">
        <v>20.652667108249261</v>
      </c>
      <c r="AH87">
        <f>21.6072937476732*1</f>
        <v>21.6072937476732</v>
      </c>
      <c r="AI87">
        <f>4.26990033009579*1</f>
        <v>4.2699003300957896</v>
      </c>
      <c r="AJ87">
        <v>1</v>
      </c>
      <c r="AK87">
        <v>1</v>
      </c>
      <c r="AL87">
        <v>1</v>
      </c>
    </row>
    <row r="88" spans="1:38" hidden="1" x14ac:dyDescent="0.2">
      <c r="A88" t="s">
        <v>224</v>
      </c>
      <c r="B88" t="s">
        <v>225</v>
      </c>
      <c r="C88" t="s">
        <v>225</v>
      </c>
      <c r="D88" t="s">
        <v>6</v>
      </c>
      <c r="E88">
        <v>0</v>
      </c>
      <c r="F88">
        <v>0</v>
      </c>
      <c r="G88">
        <v>0</v>
      </c>
      <c r="H88">
        <v>1</v>
      </c>
      <c r="I88" t="s">
        <v>22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4.9000000000000004</v>
      </c>
      <c r="AE88">
        <v>439</v>
      </c>
      <c r="AF88">
        <v>17.61904761904761</v>
      </c>
      <c r="AG88">
        <v>13.75</v>
      </c>
      <c r="AH88">
        <f>20.909284693*1</f>
        <v>20.909284693</v>
      </c>
      <c r="AI88">
        <f>4.1818569386*1</f>
        <v>4.1818569386000002</v>
      </c>
      <c r="AJ88">
        <v>1</v>
      </c>
      <c r="AK88">
        <v>0</v>
      </c>
      <c r="AL88">
        <v>0</v>
      </c>
    </row>
    <row r="89" spans="1:38" hidden="1" x14ac:dyDescent="0.2">
      <c r="A89" t="s">
        <v>226</v>
      </c>
      <c r="B89" t="s">
        <v>227</v>
      </c>
      <c r="C89" t="s">
        <v>227</v>
      </c>
      <c r="D89" t="s">
        <v>4</v>
      </c>
      <c r="E89">
        <v>0</v>
      </c>
      <c r="F89">
        <v>1</v>
      </c>
      <c r="G89">
        <v>0</v>
      </c>
      <c r="H89">
        <v>0</v>
      </c>
      <c r="I89" t="s">
        <v>22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4.5</v>
      </c>
      <c r="AE89">
        <v>446</v>
      </c>
      <c r="AF89">
        <v>21.852032314691829</v>
      </c>
      <c r="AG89">
        <v>14.42794625394221</v>
      </c>
      <c r="AH89">
        <f>21.9402207824713*1</f>
        <v>21.9402207824713</v>
      </c>
      <c r="AI89">
        <f>4.04000928325466*1</f>
        <v>4.0400092832546601</v>
      </c>
      <c r="AJ89">
        <v>1</v>
      </c>
      <c r="AK89">
        <v>0</v>
      </c>
      <c r="AL89">
        <v>0</v>
      </c>
    </row>
    <row r="90" spans="1:38" hidden="1" x14ac:dyDescent="0.2">
      <c r="A90" t="s">
        <v>228</v>
      </c>
      <c r="B90" t="s">
        <v>229</v>
      </c>
      <c r="C90" t="s">
        <v>229</v>
      </c>
      <c r="D90" t="s">
        <v>6</v>
      </c>
      <c r="E90">
        <v>0</v>
      </c>
      <c r="F90">
        <v>0</v>
      </c>
      <c r="G90">
        <v>0</v>
      </c>
      <c r="H90">
        <v>1</v>
      </c>
      <c r="I90" t="s">
        <v>22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</v>
      </c>
      <c r="AE90">
        <v>451</v>
      </c>
      <c r="AF90">
        <v>25.23500904959338</v>
      </c>
      <c r="AG90">
        <v>14.6875</v>
      </c>
      <c r="AH90">
        <f>22.33491774025*1</f>
        <v>22.334917740249999</v>
      </c>
      <c r="AI90">
        <f>4.46698354805*1</f>
        <v>4.46698354805</v>
      </c>
      <c r="AJ90">
        <v>1</v>
      </c>
      <c r="AK90">
        <v>0</v>
      </c>
      <c r="AL90">
        <v>0</v>
      </c>
    </row>
    <row r="91" spans="1:38" hidden="1" x14ac:dyDescent="0.2">
      <c r="A91" t="s">
        <v>230</v>
      </c>
      <c r="B91" t="s">
        <v>231</v>
      </c>
      <c r="C91" t="s">
        <v>231</v>
      </c>
      <c r="D91" t="s">
        <v>6</v>
      </c>
      <c r="E91">
        <v>0</v>
      </c>
      <c r="F91">
        <v>0</v>
      </c>
      <c r="G91">
        <v>0</v>
      </c>
      <c r="H91">
        <v>1</v>
      </c>
      <c r="I91" t="s">
        <v>22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4.9000000000000004</v>
      </c>
      <c r="AE91">
        <v>453</v>
      </c>
      <c r="AF91">
        <v>12.25</v>
      </c>
      <c r="AG91">
        <v>12.33333333333333</v>
      </c>
      <c r="AH91">
        <f>18.7549947549333*1</f>
        <v>18.7549947549333</v>
      </c>
      <c r="AI91">
        <f>3.75099895098666*1</f>
        <v>3.7509989509866601</v>
      </c>
      <c r="AJ91">
        <v>1</v>
      </c>
      <c r="AK91">
        <v>0</v>
      </c>
      <c r="AL91">
        <v>0</v>
      </c>
    </row>
    <row r="92" spans="1:38" hidden="1" x14ac:dyDescent="0.2">
      <c r="A92" t="s">
        <v>232</v>
      </c>
      <c r="B92" t="s">
        <v>233</v>
      </c>
      <c r="C92" t="s">
        <v>233</v>
      </c>
      <c r="D92" t="s">
        <v>3</v>
      </c>
      <c r="E92">
        <v>1</v>
      </c>
      <c r="F92">
        <v>0</v>
      </c>
      <c r="G92">
        <v>0</v>
      </c>
      <c r="H92">
        <v>0</v>
      </c>
      <c r="I92" t="s">
        <v>22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4.5</v>
      </c>
      <c r="AE92">
        <v>472</v>
      </c>
      <c r="AF92">
        <v>11.04256935542068</v>
      </c>
      <c r="AG92">
        <v>13.125</v>
      </c>
      <c r="AH92">
        <f>19.9588626615*1</f>
        <v>19.9588626615</v>
      </c>
      <c r="AI92">
        <f>3.9917725323*1</f>
        <v>3.9917725323000002</v>
      </c>
      <c r="AJ92">
        <v>1</v>
      </c>
      <c r="AK92">
        <v>0</v>
      </c>
      <c r="AL92">
        <v>0</v>
      </c>
    </row>
    <row r="93" spans="1:38" hidden="1" x14ac:dyDescent="0.2">
      <c r="A93" t="s">
        <v>234</v>
      </c>
      <c r="B93" t="s">
        <v>235</v>
      </c>
      <c r="C93" t="s">
        <v>235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4.9000000000000004</v>
      </c>
      <c r="AE93">
        <v>473</v>
      </c>
      <c r="AF93">
        <v>19.141492927346551</v>
      </c>
      <c r="AG93">
        <v>14.266666666666669</v>
      </c>
      <c r="AH93">
        <f>21.6949669057066*1</f>
        <v>21.6949669057066</v>
      </c>
      <c r="AI93">
        <f>4.33899338114133*1</f>
        <v>4.3389933811413304</v>
      </c>
      <c r="AJ93">
        <v>1</v>
      </c>
      <c r="AK93">
        <v>0</v>
      </c>
      <c r="AL93">
        <v>0</v>
      </c>
    </row>
    <row r="94" spans="1:38" hidden="1" x14ac:dyDescent="0.2">
      <c r="A94" t="s">
        <v>236</v>
      </c>
      <c r="B94" t="s">
        <v>237</v>
      </c>
      <c r="C94" t="s">
        <v>237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23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4.9000000000000004</v>
      </c>
      <c r="AE94">
        <v>482</v>
      </c>
      <c r="AF94">
        <v>18.12034901056558</v>
      </c>
      <c r="AG94">
        <v>17.625</v>
      </c>
      <c r="AH94">
        <f>17.982359713408*1</f>
        <v>17.982359713408002</v>
      </c>
      <c r="AI94">
        <f>3.24907898243491*1</f>
        <v>3.2490789824349098</v>
      </c>
      <c r="AJ94">
        <v>1</v>
      </c>
      <c r="AK94">
        <v>0</v>
      </c>
      <c r="AL94">
        <v>0</v>
      </c>
    </row>
    <row r="95" spans="1:38" hidden="1" x14ac:dyDescent="0.2">
      <c r="A95" t="s">
        <v>238</v>
      </c>
      <c r="B95" t="s">
        <v>239</v>
      </c>
      <c r="C95" t="s">
        <v>239</v>
      </c>
      <c r="D95" t="s">
        <v>4</v>
      </c>
      <c r="E95">
        <v>0</v>
      </c>
      <c r="F95">
        <v>1</v>
      </c>
      <c r="G95">
        <v>0</v>
      </c>
      <c r="H95">
        <v>0</v>
      </c>
      <c r="I95" t="s">
        <v>23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</v>
      </c>
      <c r="AE95">
        <v>483</v>
      </c>
      <c r="AF95">
        <v>19.443609022556419</v>
      </c>
      <c r="AG95">
        <v>17.88571428571429</v>
      </c>
      <c r="AH95">
        <f>19.0186791497186*1</f>
        <v>19.018679149718601</v>
      </c>
      <c r="AI95">
        <f>3.16977985828643*1</f>
        <v>3.1697798582864301</v>
      </c>
      <c r="AJ95">
        <v>1</v>
      </c>
      <c r="AK95">
        <v>0</v>
      </c>
      <c r="AL95">
        <v>0</v>
      </c>
    </row>
    <row r="96" spans="1:38" hidden="1" x14ac:dyDescent="0.2">
      <c r="A96" t="s">
        <v>240</v>
      </c>
      <c r="B96" t="s">
        <v>241</v>
      </c>
      <c r="C96" t="s">
        <v>242</v>
      </c>
      <c r="D96" t="s">
        <v>6</v>
      </c>
      <c r="E96">
        <v>0</v>
      </c>
      <c r="F96">
        <v>0</v>
      </c>
      <c r="G96">
        <v>0</v>
      </c>
      <c r="H96">
        <v>1</v>
      </c>
      <c r="I96" t="s">
        <v>23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6.9</v>
      </c>
      <c r="AE96">
        <v>484</v>
      </c>
      <c r="AF96">
        <v>23.17647058823529</v>
      </c>
      <c r="AG96">
        <v>21.983913660653961</v>
      </c>
      <c r="AH96">
        <f>22.8491904977756*1</f>
        <v>22.849190497775599</v>
      </c>
      <c r="AI96">
        <f>3.81418032132673*1</f>
        <v>3.81418032132673</v>
      </c>
      <c r="AJ96">
        <v>1</v>
      </c>
      <c r="AK96">
        <v>0</v>
      </c>
      <c r="AL96">
        <v>0</v>
      </c>
    </row>
    <row r="97" spans="1:38" hidden="1" x14ac:dyDescent="0.2">
      <c r="A97" t="s">
        <v>243</v>
      </c>
      <c r="B97" t="s">
        <v>244</v>
      </c>
      <c r="C97" t="s">
        <v>243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6.5</v>
      </c>
      <c r="AE97">
        <v>485</v>
      </c>
      <c r="AF97">
        <v>23.510204081632651</v>
      </c>
      <c r="AG97">
        <v>22.142327365629349</v>
      </c>
      <c r="AH97">
        <f>23.1355510423845*1</f>
        <v>23.135551042384499</v>
      </c>
      <c r="AI97">
        <f>3.85593339849352*1</f>
        <v>3.8559333984935198</v>
      </c>
      <c r="AJ97">
        <v>1</v>
      </c>
      <c r="AK97">
        <v>0</v>
      </c>
      <c r="AL97">
        <v>0</v>
      </c>
    </row>
    <row r="98" spans="1:38" hidden="1" x14ac:dyDescent="0.2">
      <c r="A98" t="s">
        <v>245</v>
      </c>
      <c r="B98" t="s">
        <v>246</v>
      </c>
      <c r="C98" t="s">
        <v>247</v>
      </c>
      <c r="D98" t="s">
        <v>3</v>
      </c>
      <c r="E98">
        <v>1</v>
      </c>
      <c r="F98">
        <v>0</v>
      </c>
      <c r="G98">
        <v>0</v>
      </c>
      <c r="H98">
        <v>0</v>
      </c>
      <c r="I98" t="s">
        <v>23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5.5</v>
      </c>
      <c r="AE98">
        <v>492</v>
      </c>
      <c r="AF98">
        <v>23.277486910994739</v>
      </c>
      <c r="AG98">
        <v>20.714405435355509</v>
      </c>
      <c r="AH98">
        <f>22.5804837056696*1</f>
        <v>22.5804837056696</v>
      </c>
      <c r="AI98">
        <f>3.76531927017605*1</f>
        <v>3.7653192701760498</v>
      </c>
      <c r="AJ98">
        <v>1</v>
      </c>
      <c r="AK98">
        <v>0</v>
      </c>
      <c r="AL98">
        <v>0</v>
      </c>
    </row>
    <row r="99" spans="1:38" x14ac:dyDescent="0.2">
      <c r="A99" t="s">
        <v>300</v>
      </c>
      <c r="B99" t="s">
        <v>301</v>
      </c>
      <c r="C99" t="s">
        <v>301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7</v>
      </c>
      <c r="AE99">
        <v>704</v>
      </c>
      <c r="AF99">
        <v>13.716902694505309</v>
      </c>
      <c r="AG99">
        <v>13.2156862745098</v>
      </c>
      <c r="AH99">
        <f>15.7412817403673*1</f>
        <v>15.741281740367301</v>
      </c>
      <c r="AI99">
        <f>3.93532043499583*1</f>
        <v>3.93532043499583</v>
      </c>
      <c r="AJ99">
        <v>1</v>
      </c>
      <c r="AK99">
        <v>1</v>
      </c>
      <c r="AL99">
        <v>1</v>
      </c>
    </row>
    <row r="100" spans="1:38" x14ac:dyDescent="0.2">
      <c r="A100" t="s">
        <v>56</v>
      </c>
      <c r="B100" t="s">
        <v>57</v>
      </c>
      <c r="C100" t="s">
        <v>57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11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5.6</v>
      </c>
      <c r="AE100">
        <v>18</v>
      </c>
      <c r="AF100">
        <v>21.207408046486421</v>
      </c>
      <c r="AG100">
        <v>18.304982723619869</v>
      </c>
      <c r="AH100">
        <f>18.5194912713442*1</f>
        <v>18.519491271344201</v>
      </c>
      <c r="AI100">
        <f>3.87638465902715*1</f>
        <v>3.87638465902715</v>
      </c>
      <c r="AJ100">
        <v>1</v>
      </c>
      <c r="AK100">
        <v>1</v>
      </c>
      <c r="AL100">
        <v>1</v>
      </c>
    </row>
    <row r="101" spans="1:38" hidden="1" x14ac:dyDescent="0.2">
      <c r="A101" t="s">
        <v>252</v>
      </c>
      <c r="B101" t="s">
        <v>253</v>
      </c>
      <c r="C101" t="s">
        <v>252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5.6</v>
      </c>
      <c r="AE101">
        <v>502</v>
      </c>
      <c r="AF101">
        <v>18.321795256107389</v>
      </c>
      <c r="AG101">
        <v>17.542372881355931</v>
      </c>
      <c r="AH101">
        <f>18.1071286476888*1</f>
        <v>18.1071286476888</v>
      </c>
      <c r="AI101">
        <f>2.94863033070937*1</f>
        <v>2.9486303307093702</v>
      </c>
      <c r="AJ101">
        <v>1</v>
      </c>
      <c r="AK101">
        <v>0</v>
      </c>
      <c r="AL101">
        <v>0</v>
      </c>
    </row>
    <row r="102" spans="1:38" hidden="1" x14ac:dyDescent="0.2">
      <c r="A102" t="s">
        <v>254</v>
      </c>
      <c r="B102" t="s">
        <v>255</v>
      </c>
      <c r="C102" t="s">
        <v>255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5.5</v>
      </c>
      <c r="AE102">
        <v>506</v>
      </c>
      <c r="AF102">
        <v>22.624999999999989</v>
      </c>
      <c r="AG102">
        <v>21.483383751197849</v>
      </c>
      <c r="AH102">
        <f>22.3115941135719*1</f>
        <v>22.3115941135719</v>
      </c>
      <c r="AI102">
        <f>3.71855652553129*1</f>
        <v>3.71855652553129</v>
      </c>
      <c r="AJ102">
        <v>1</v>
      </c>
      <c r="AK102">
        <v>0</v>
      </c>
      <c r="AL102">
        <v>0</v>
      </c>
    </row>
    <row r="103" spans="1:38" hidden="1" x14ac:dyDescent="0.2">
      <c r="A103" t="s">
        <v>256</v>
      </c>
      <c r="B103" t="s">
        <v>257</v>
      </c>
      <c r="C103" t="s">
        <v>257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4.8</v>
      </c>
      <c r="AE103">
        <v>508</v>
      </c>
      <c r="AF103">
        <v>13.950157252957499</v>
      </c>
      <c r="AG103">
        <v>15.92307692307692</v>
      </c>
      <c r="AH103">
        <f>14.4789884765319*1</f>
        <v>14.478988476531899</v>
      </c>
      <c r="AI103">
        <f>2.18138767274453*1</f>
        <v>2.1813876727445298</v>
      </c>
      <c r="AJ103">
        <v>1</v>
      </c>
      <c r="AK103">
        <v>0</v>
      </c>
      <c r="AL103">
        <v>0</v>
      </c>
    </row>
    <row r="104" spans="1:38" hidden="1" x14ac:dyDescent="0.2">
      <c r="A104" t="s">
        <v>258</v>
      </c>
      <c r="B104" t="s">
        <v>259</v>
      </c>
      <c r="C104" t="s">
        <v>260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8.1999999999999993</v>
      </c>
      <c r="AE104">
        <v>516</v>
      </c>
      <c r="AF104">
        <v>20.55555555555555</v>
      </c>
      <c r="AG104">
        <v>21.668805029076601</v>
      </c>
      <c r="AH104">
        <f>19.779242964743*1</f>
        <v>19.779242964742998</v>
      </c>
      <c r="AI104">
        <f>3.95610847662104*1</f>
        <v>3.9561084766210399</v>
      </c>
      <c r="AJ104">
        <v>1</v>
      </c>
      <c r="AK104">
        <v>0</v>
      </c>
      <c r="AL104">
        <v>0</v>
      </c>
    </row>
    <row r="105" spans="1:38" hidden="1" x14ac:dyDescent="0.2">
      <c r="A105" t="s">
        <v>261</v>
      </c>
      <c r="B105" t="s">
        <v>262</v>
      </c>
      <c r="C105" t="s">
        <v>262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4.8</v>
      </c>
      <c r="AE105">
        <v>524</v>
      </c>
      <c r="AF105">
        <v>29.136756300066189</v>
      </c>
      <c r="AG105">
        <v>11.78571428571429</v>
      </c>
      <c r="AH105">
        <f>12.4753744425653*1</f>
        <v>12.4753744425653</v>
      </c>
      <c r="AI105">
        <f>2.4185777033504*1</f>
        <v>2.4185777033504001</v>
      </c>
      <c r="AJ105">
        <v>1</v>
      </c>
      <c r="AK105">
        <v>0</v>
      </c>
      <c r="AL105">
        <v>0</v>
      </c>
    </row>
    <row r="106" spans="1:38" hidden="1" x14ac:dyDescent="0.2">
      <c r="A106" t="s">
        <v>263</v>
      </c>
      <c r="B106" t="s">
        <v>264</v>
      </c>
      <c r="C106" t="s">
        <v>264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4.5999999999999996</v>
      </c>
      <c r="AE106">
        <v>533</v>
      </c>
      <c r="AF106">
        <v>13.01418439716312</v>
      </c>
      <c r="AG106">
        <v>13.236607142857141</v>
      </c>
      <c r="AH106">
        <f>12.1261165219162*1</f>
        <v>12.126116521916201</v>
      </c>
      <c r="AI106">
        <f>2.42522330438325*1</f>
        <v>2.4252233043832501</v>
      </c>
      <c r="AJ106">
        <v>1</v>
      </c>
      <c r="AK106">
        <v>0</v>
      </c>
      <c r="AL106">
        <v>0</v>
      </c>
    </row>
    <row r="107" spans="1:38" hidden="1" x14ac:dyDescent="0.2">
      <c r="A107" t="s">
        <v>99</v>
      </c>
      <c r="B107" t="s">
        <v>265</v>
      </c>
      <c r="C107" t="s">
        <v>265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8.4</v>
      </c>
      <c r="AE107">
        <v>536</v>
      </c>
      <c r="AF107">
        <v>22.829341082840141</v>
      </c>
      <c r="AG107">
        <v>23.011987347795198</v>
      </c>
      <c r="AH107">
        <f>21.1009017600682*1</f>
        <v>21.100901760068201</v>
      </c>
      <c r="AI107">
        <f>4.25090925166922*1</f>
        <v>4.2509092516692197</v>
      </c>
      <c r="AJ107">
        <v>1</v>
      </c>
      <c r="AK107">
        <v>0</v>
      </c>
      <c r="AL107">
        <v>0</v>
      </c>
    </row>
    <row r="108" spans="1:38" hidden="1" x14ac:dyDescent="0.2">
      <c r="A108" t="s">
        <v>266</v>
      </c>
      <c r="B108" t="s">
        <v>173</v>
      </c>
      <c r="C108" t="s">
        <v>173</v>
      </c>
      <c r="D108" t="s">
        <v>3</v>
      </c>
      <c r="E108">
        <v>1</v>
      </c>
      <c r="F108">
        <v>0</v>
      </c>
      <c r="G108">
        <v>0</v>
      </c>
      <c r="H108">
        <v>0</v>
      </c>
      <c r="I108" t="s">
        <v>24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4.8</v>
      </c>
      <c r="AE108">
        <v>542</v>
      </c>
      <c r="AF108">
        <v>18.04347826086957</v>
      </c>
      <c r="AG108">
        <v>18.054410389881479</v>
      </c>
      <c r="AH108">
        <f>16.5676983673932*1</f>
        <v>16.567698367393199</v>
      </c>
      <c r="AI108">
        <f>3.43142061172343*1</f>
        <v>3.4314206117234298</v>
      </c>
      <c r="AJ108">
        <v>1</v>
      </c>
      <c r="AK108">
        <v>0</v>
      </c>
      <c r="AL108">
        <v>0</v>
      </c>
    </row>
    <row r="109" spans="1:38" hidden="1" x14ac:dyDescent="0.2">
      <c r="A109" t="s">
        <v>267</v>
      </c>
      <c r="B109" t="s">
        <v>268</v>
      </c>
      <c r="C109" t="s">
        <v>268</v>
      </c>
      <c r="D109" t="s">
        <v>6</v>
      </c>
      <c r="E109">
        <v>0</v>
      </c>
      <c r="F109">
        <v>0</v>
      </c>
      <c r="G109">
        <v>0</v>
      </c>
      <c r="H109">
        <v>1</v>
      </c>
      <c r="I109" t="s">
        <v>24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6.9</v>
      </c>
      <c r="AE109">
        <v>543</v>
      </c>
      <c r="AF109">
        <v>31.27484593034286</v>
      </c>
      <c r="AG109">
        <v>11.53846153846154</v>
      </c>
      <c r="AH109">
        <f>12.4766063407857*1</f>
        <v>12.4766063407857</v>
      </c>
      <c r="AI109">
        <f>2.60029752542417*1</f>
        <v>2.6002975254241698</v>
      </c>
      <c r="AJ109">
        <v>1</v>
      </c>
      <c r="AK109">
        <v>0</v>
      </c>
      <c r="AL109">
        <v>0</v>
      </c>
    </row>
    <row r="110" spans="1:38" hidden="1" x14ac:dyDescent="0.2">
      <c r="A110" t="s">
        <v>258</v>
      </c>
      <c r="B110" t="s">
        <v>269</v>
      </c>
      <c r="C110" t="s">
        <v>270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5.8</v>
      </c>
      <c r="AE110">
        <v>558</v>
      </c>
      <c r="AF110">
        <v>16.439393939393941</v>
      </c>
      <c r="AG110">
        <v>17.300141692150859</v>
      </c>
      <c r="AH110">
        <f>13.7628280615332*1</f>
        <v>13.762828061533201</v>
      </c>
      <c r="AI110">
        <f>2.75256561210148*1</f>
        <v>2.7525656121014799</v>
      </c>
      <c r="AJ110">
        <v>1</v>
      </c>
      <c r="AK110">
        <v>0</v>
      </c>
      <c r="AL110">
        <v>0</v>
      </c>
    </row>
    <row r="111" spans="1:38" hidden="1" x14ac:dyDescent="0.2">
      <c r="A111" t="s">
        <v>271</v>
      </c>
      <c r="B111" t="s">
        <v>272</v>
      </c>
      <c r="C111" t="s">
        <v>272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6.2</v>
      </c>
      <c r="AE111">
        <v>564</v>
      </c>
      <c r="AF111">
        <v>20.933677579463161</v>
      </c>
      <c r="AG111">
        <v>13.22368421052632</v>
      </c>
      <c r="AH111">
        <f>3.96061621219337*0.25</f>
        <v>0.99015405304834248</v>
      </c>
      <c r="AI111">
        <f>3.16849296975469*0.25</f>
        <v>0.79212324243867249</v>
      </c>
      <c r="AJ111">
        <v>0.25</v>
      </c>
      <c r="AK111">
        <v>1</v>
      </c>
      <c r="AL111">
        <v>0</v>
      </c>
    </row>
    <row r="112" spans="1:38" hidden="1" x14ac:dyDescent="0.2">
      <c r="A112" t="s">
        <v>273</v>
      </c>
      <c r="B112" t="s">
        <v>274</v>
      </c>
      <c r="C112" t="s">
        <v>274</v>
      </c>
      <c r="D112" t="s">
        <v>6</v>
      </c>
      <c r="E112">
        <v>0</v>
      </c>
      <c r="F112">
        <v>0</v>
      </c>
      <c r="G112">
        <v>0</v>
      </c>
      <c r="H112">
        <v>1</v>
      </c>
      <c r="I112" t="s">
        <v>25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7.6</v>
      </c>
      <c r="AE112">
        <v>567</v>
      </c>
      <c r="AF112">
        <v>23.24324324324326</v>
      </c>
      <c r="AG112">
        <v>20.779568842196731</v>
      </c>
      <c r="AH112">
        <f>18.7555076224851*1</f>
        <v>18.755507622485101</v>
      </c>
      <c r="AI112">
        <f>3.75151229887006*1</f>
        <v>3.7515122988700602</v>
      </c>
      <c r="AJ112">
        <v>1</v>
      </c>
      <c r="AK112">
        <v>0</v>
      </c>
      <c r="AL112">
        <v>0</v>
      </c>
    </row>
    <row r="113" spans="1:38" hidden="1" x14ac:dyDescent="0.2">
      <c r="A113" t="s">
        <v>275</v>
      </c>
      <c r="B113" t="s">
        <v>276</v>
      </c>
      <c r="C113" t="s">
        <v>277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25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5.8</v>
      </c>
      <c r="AE113">
        <v>568</v>
      </c>
      <c r="AF113">
        <v>15.24565566934573</v>
      </c>
      <c r="AG113">
        <v>13.43220338983051</v>
      </c>
      <c r="AH113">
        <f>12.2643292379497*1</f>
        <v>12.264329237949701</v>
      </c>
      <c r="AI113">
        <f>2.45286584758994*1</f>
        <v>2.4528658475899401</v>
      </c>
      <c r="AJ113">
        <v>1</v>
      </c>
      <c r="AK113">
        <v>0</v>
      </c>
      <c r="AL113">
        <v>0</v>
      </c>
    </row>
    <row r="114" spans="1:38" hidden="1" x14ac:dyDescent="0.2">
      <c r="A114" t="s">
        <v>278</v>
      </c>
      <c r="B114" t="s">
        <v>279</v>
      </c>
      <c r="C114" t="s">
        <v>279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4.8</v>
      </c>
      <c r="AE114">
        <v>573</v>
      </c>
      <c r="AF114">
        <v>15.609701775954189</v>
      </c>
      <c r="AG114">
        <v>12.990196078431371</v>
      </c>
      <c r="AH114">
        <f>12.4114169508906*1</f>
        <v>12.411416950890599</v>
      </c>
      <c r="AI114">
        <f>2.28382363995813*1</f>
        <v>2.28382363995813</v>
      </c>
      <c r="AJ114">
        <v>1</v>
      </c>
      <c r="AK114">
        <v>0</v>
      </c>
      <c r="AL114">
        <v>0</v>
      </c>
    </row>
    <row r="115" spans="1:38" hidden="1" x14ac:dyDescent="0.2">
      <c r="A115" t="s">
        <v>280</v>
      </c>
      <c r="B115" t="s">
        <v>281</v>
      </c>
      <c r="C115" t="s">
        <v>281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25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5.3</v>
      </c>
      <c r="AE115">
        <v>579</v>
      </c>
      <c r="AF115">
        <v>17.548553048248252</v>
      </c>
      <c r="AG115">
        <v>15.19911504424779</v>
      </c>
      <c r="AH115">
        <f>14.0668074981654*1</f>
        <v>14.066807498165399</v>
      </c>
      <c r="AI115">
        <f>2.15110893997895*1</f>
        <v>2.15110893997895</v>
      </c>
      <c r="AJ115">
        <v>1</v>
      </c>
      <c r="AK115">
        <v>0</v>
      </c>
      <c r="AL115">
        <v>0</v>
      </c>
    </row>
    <row r="116" spans="1:38" hidden="1" x14ac:dyDescent="0.2">
      <c r="A116" t="s">
        <v>282</v>
      </c>
      <c r="B116" t="s">
        <v>283</v>
      </c>
      <c r="C116" t="s">
        <v>283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6.8</v>
      </c>
      <c r="AE116">
        <v>582</v>
      </c>
      <c r="AF116">
        <v>25.46832069190874</v>
      </c>
      <c r="AG116">
        <v>19</v>
      </c>
      <c r="AH116">
        <f>19.8307236636933*1</f>
        <v>19.830723663693298</v>
      </c>
      <c r="AI116">
        <f>4.5093302952994*1</f>
        <v>4.5093302952994003</v>
      </c>
      <c r="AJ116">
        <v>1</v>
      </c>
      <c r="AK116">
        <v>0</v>
      </c>
      <c r="AL116">
        <v>0</v>
      </c>
    </row>
    <row r="117" spans="1:38" hidden="1" x14ac:dyDescent="0.2">
      <c r="A117" t="s">
        <v>284</v>
      </c>
      <c r="B117" t="s">
        <v>285</v>
      </c>
      <c r="C117" t="s">
        <v>285</v>
      </c>
      <c r="D117" t="s">
        <v>6</v>
      </c>
      <c r="E117">
        <v>0</v>
      </c>
      <c r="F117">
        <v>0</v>
      </c>
      <c r="G117">
        <v>0</v>
      </c>
      <c r="H117">
        <v>1</v>
      </c>
      <c r="I117" t="s">
        <v>25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7.8</v>
      </c>
      <c r="AE117">
        <v>585</v>
      </c>
      <c r="AF117">
        <v>22.565789473684209</v>
      </c>
      <c r="AG117">
        <v>22.164610024069951</v>
      </c>
      <c r="AH117">
        <f>18.5892923656952*1</f>
        <v>18.589292365695201</v>
      </c>
      <c r="AI117">
        <f>3.71218107202173*1</f>
        <v>3.7121810720217301</v>
      </c>
      <c r="AJ117">
        <v>1</v>
      </c>
      <c r="AK117">
        <v>0</v>
      </c>
      <c r="AL117">
        <v>0</v>
      </c>
    </row>
    <row r="118" spans="1:38" hidden="1" x14ac:dyDescent="0.2">
      <c r="A118" t="s">
        <v>286</v>
      </c>
      <c r="B118" t="s">
        <v>287</v>
      </c>
      <c r="C118" t="s">
        <v>287</v>
      </c>
      <c r="D118" t="s">
        <v>3</v>
      </c>
      <c r="E118">
        <v>1</v>
      </c>
      <c r="F118">
        <v>0</v>
      </c>
      <c r="G118">
        <v>0</v>
      </c>
      <c r="H118">
        <v>0</v>
      </c>
      <c r="I118" t="s">
        <v>26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3.9</v>
      </c>
      <c r="AE118">
        <v>598</v>
      </c>
      <c r="AF118">
        <v>12.352941176470591</v>
      </c>
      <c r="AG118">
        <v>13.95833333333333</v>
      </c>
      <c r="AH118">
        <f>20.0467373339484*1</f>
        <v>20.0467373339484</v>
      </c>
      <c r="AI118">
        <f>4.00934746678968*1</f>
        <v>4.0093474667896798</v>
      </c>
      <c r="AJ118">
        <v>1</v>
      </c>
      <c r="AK118">
        <v>0</v>
      </c>
      <c r="AL118">
        <v>0</v>
      </c>
    </row>
    <row r="119" spans="1:38" hidden="1" x14ac:dyDescent="0.2">
      <c r="A119" t="s">
        <v>271</v>
      </c>
      <c r="B119" t="s">
        <v>288</v>
      </c>
      <c r="C119" t="s">
        <v>288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5.0999999999999996</v>
      </c>
      <c r="AE119">
        <v>600</v>
      </c>
      <c r="AF119">
        <v>13.771929824561409</v>
      </c>
      <c r="AG119">
        <v>13.01136363636363</v>
      </c>
      <c r="AH119">
        <f>18.7219238472224*1</f>
        <v>18.721923847222399</v>
      </c>
      <c r="AI119">
        <f>3.74438476944449*1</f>
        <v>3.7443847694444901</v>
      </c>
      <c r="AJ119">
        <v>1</v>
      </c>
      <c r="AK119">
        <v>0</v>
      </c>
      <c r="AL119">
        <v>0</v>
      </c>
    </row>
    <row r="120" spans="1:38" hidden="1" x14ac:dyDescent="0.2">
      <c r="A120" t="s">
        <v>289</v>
      </c>
      <c r="B120" t="s">
        <v>290</v>
      </c>
      <c r="C120" t="s">
        <v>290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5.7</v>
      </c>
      <c r="AE120">
        <v>614</v>
      </c>
      <c r="AF120">
        <v>17.057163313954469</v>
      </c>
      <c r="AG120">
        <v>13.91975308641975</v>
      </c>
      <c r="AH120">
        <f>20.0652464552526*1</f>
        <v>20.065246455252598</v>
      </c>
      <c r="AI120">
        <f>4.01304929105053*1</f>
        <v>4.01304929105053</v>
      </c>
      <c r="AJ120">
        <v>1</v>
      </c>
      <c r="AK120">
        <v>0</v>
      </c>
      <c r="AL120">
        <v>0</v>
      </c>
    </row>
    <row r="121" spans="1:38" hidden="1" x14ac:dyDescent="0.2">
      <c r="A121" t="s">
        <v>291</v>
      </c>
      <c r="B121" t="s">
        <v>292</v>
      </c>
      <c r="C121" t="s">
        <v>292</v>
      </c>
      <c r="D121" t="s">
        <v>6</v>
      </c>
      <c r="E121">
        <v>0</v>
      </c>
      <c r="F121">
        <v>0</v>
      </c>
      <c r="G121">
        <v>0</v>
      </c>
      <c r="H121">
        <v>1</v>
      </c>
      <c r="I121" t="s">
        <v>26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4.9000000000000004</v>
      </c>
      <c r="AE121">
        <v>634</v>
      </c>
      <c r="AF121">
        <v>16.793067035552799</v>
      </c>
      <c r="AG121">
        <v>16.267857142857139</v>
      </c>
      <c r="AH121">
        <f>23.4010194916225*1</f>
        <v>23.401019491622499</v>
      </c>
      <c r="AI121">
        <f>4.67486694034224*1</f>
        <v>4.6748669403422403</v>
      </c>
      <c r="AJ121">
        <v>1</v>
      </c>
      <c r="AK121">
        <v>0</v>
      </c>
      <c r="AL121">
        <v>0</v>
      </c>
    </row>
    <row r="122" spans="1:38" hidden="1" x14ac:dyDescent="0.2">
      <c r="A122" t="s">
        <v>293</v>
      </c>
      <c r="B122" t="s">
        <v>294</v>
      </c>
      <c r="C122" t="s">
        <v>293</v>
      </c>
      <c r="D122" t="s">
        <v>4</v>
      </c>
      <c r="E122">
        <v>0</v>
      </c>
      <c r="F122">
        <v>1</v>
      </c>
      <c r="G122">
        <v>0</v>
      </c>
      <c r="H122">
        <v>0</v>
      </c>
      <c r="I122" t="s">
        <v>26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4.5</v>
      </c>
      <c r="AE122">
        <v>641</v>
      </c>
      <c r="AF122">
        <v>10</v>
      </c>
      <c r="AG122">
        <v>11.834894192814239</v>
      </c>
      <c r="AH122">
        <f>16.9896976459768*1</f>
        <v>16.989697645976801</v>
      </c>
      <c r="AI122">
        <f>3.41441830659317*1</f>
        <v>3.4144183065931699</v>
      </c>
      <c r="AJ122">
        <v>1</v>
      </c>
      <c r="AK122">
        <v>0</v>
      </c>
      <c r="AL122">
        <v>0</v>
      </c>
    </row>
    <row r="123" spans="1:38" hidden="1" x14ac:dyDescent="0.2">
      <c r="A123" t="s">
        <v>136</v>
      </c>
      <c r="B123" t="s">
        <v>295</v>
      </c>
      <c r="C123" t="s">
        <v>295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4.4000000000000004</v>
      </c>
      <c r="AE123">
        <v>656</v>
      </c>
      <c r="AF123">
        <v>12.857142857142851</v>
      </c>
      <c r="AG123">
        <v>12.8125</v>
      </c>
      <c r="AH123">
        <f>13.5670332410723*1</f>
        <v>13.5670332410723</v>
      </c>
      <c r="AI123">
        <f>2.71340664821446*1</f>
        <v>2.7134066482144599</v>
      </c>
      <c r="AJ123">
        <v>1</v>
      </c>
      <c r="AK123">
        <v>0</v>
      </c>
      <c r="AL123">
        <v>0</v>
      </c>
    </row>
    <row r="124" spans="1:38" hidden="1" x14ac:dyDescent="0.2">
      <c r="A124" t="s">
        <v>296</v>
      </c>
      <c r="B124" t="s">
        <v>297</v>
      </c>
      <c r="C124" t="s">
        <v>297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5</v>
      </c>
      <c r="AE124">
        <v>685</v>
      </c>
      <c r="AF124">
        <v>13.8095238095238</v>
      </c>
      <c r="AG124">
        <v>14.53125</v>
      </c>
      <c r="AH124">
        <f>14.5719987368746*1</f>
        <v>14.571998736874599</v>
      </c>
      <c r="AI124">
        <f>2.91439974737493*1</f>
        <v>2.9143997473749299</v>
      </c>
      <c r="AJ124">
        <v>1</v>
      </c>
      <c r="AK124">
        <v>0</v>
      </c>
      <c r="AL124">
        <v>0</v>
      </c>
    </row>
    <row r="125" spans="1:38" hidden="1" x14ac:dyDescent="0.2">
      <c r="A125" t="s">
        <v>298</v>
      </c>
      <c r="B125" t="s">
        <v>299</v>
      </c>
      <c r="C125" t="s">
        <v>299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5.8</v>
      </c>
      <c r="AE125">
        <v>693</v>
      </c>
      <c r="AF125">
        <v>12.56140350877194</v>
      </c>
      <c r="AG125">
        <v>11.54545454545454</v>
      </c>
      <c r="AH125">
        <f>13.7518588937146*1</f>
        <v>13.7518588937146</v>
      </c>
      <c r="AI125">
        <f>3.43796472342865*1</f>
        <v>3.4379647234286499</v>
      </c>
      <c r="AJ125">
        <v>1</v>
      </c>
      <c r="AK125">
        <v>0</v>
      </c>
      <c r="AL125">
        <v>0</v>
      </c>
    </row>
    <row r="126" spans="1:38" x14ac:dyDescent="0.2">
      <c r="A126" t="s">
        <v>170</v>
      </c>
      <c r="B126" t="s">
        <v>171</v>
      </c>
      <c r="C126" t="s">
        <v>171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19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4.5999999999999996</v>
      </c>
      <c r="AE126">
        <v>342</v>
      </c>
      <c r="AF126">
        <v>14.32211105002796</v>
      </c>
      <c r="AG126">
        <v>13.64583333333333</v>
      </c>
      <c r="AH126">
        <f>16.9340332754166*1</f>
        <v>16.934033275416599</v>
      </c>
      <c r="AI126">
        <f>3.38680665508333*1</f>
        <v>3.3868066550833298</v>
      </c>
      <c r="AJ126">
        <v>1</v>
      </c>
      <c r="AK126">
        <v>1</v>
      </c>
      <c r="AL126">
        <v>1</v>
      </c>
    </row>
    <row r="127" spans="1:38" hidden="1" x14ac:dyDescent="0.2">
      <c r="A127" t="s">
        <v>302</v>
      </c>
      <c r="B127" t="s">
        <v>303</v>
      </c>
      <c r="C127" t="s">
        <v>304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28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5.9</v>
      </c>
      <c r="AE127">
        <v>709</v>
      </c>
      <c r="AF127">
        <v>15.56756756756757</v>
      </c>
      <c r="AG127">
        <v>14.05407153681419</v>
      </c>
      <c r="AH127">
        <f>16.7398873643079*1</f>
        <v>16.739887364307901</v>
      </c>
      <c r="AI127">
        <f>4.22753195583511*1</f>
        <v>4.2275319558351097</v>
      </c>
      <c r="AJ127">
        <v>1</v>
      </c>
      <c r="AK127">
        <v>0</v>
      </c>
      <c r="AL127">
        <v>0</v>
      </c>
    </row>
    <row r="128" spans="1:38" hidden="1" x14ac:dyDescent="0.2">
      <c r="A128" t="s">
        <v>305</v>
      </c>
      <c r="B128" t="s">
        <v>306</v>
      </c>
      <c r="C128" t="s">
        <v>305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7.2</v>
      </c>
      <c r="AE128">
        <v>711</v>
      </c>
      <c r="AF128">
        <v>15.83815028901736</v>
      </c>
      <c r="AG128">
        <v>15.80494466342348</v>
      </c>
      <c r="AH128">
        <f>18.8253626531584*1</f>
        <v>18.8253626531584</v>
      </c>
      <c r="AI128">
        <f>4.70634066328962*1</f>
        <v>4.7063406632896196</v>
      </c>
      <c r="AJ128">
        <v>1</v>
      </c>
      <c r="AK128">
        <v>0</v>
      </c>
      <c r="AL128">
        <v>0</v>
      </c>
    </row>
    <row r="129" spans="1:38" hidden="1" x14ac:dyDescent="0.2">
      <c r="A129" t="s">
        <v>307</v>
      </c>
      <c r="B129" t="s">
        <v>308</v>
      </c>
      <c r="C129" t="s">
        <v>308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28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4.9000000000000004</v>
      </c>
      <c r="AE129">
        <v>713</v>
      </c>
      <c r="AF129">
        <v>12.0625</v>
      </c>
      <c r="AG129">
        <v>11.52</v>
      </c>
      <c r="AH129">
        <f>13.7215398341161*1</f>
        <v>13.721539834116101</v>
      </c>
      <c r="AI129">
        <f>3.43038495852904*1</f>
        <v>3.4303849585290398</v>
      </c>
      <c r="AJ129">
        <v>1</v>
      </c>
      <c r="AK129">
        <v>0</v>
      </c>
      <c r="AL129">
        <v>0</v>
      </c>
    </row>
    <row r="130" spans="1:38" hidden="1" x14ac:dyDescent="0.2">
      <c r="A130" t="s">
        <v>309</v>
      </c>
      <c r="B130" t="s">
        <v>310</v>
      </c>
      <c r="C130" t="s">
        <v>310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28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4.4000000000000004</v>
      </c>
      <c r="AE130">
        <v>715</v>
      </c>
      <c r="AF130">
        <v>9.0666666666666664</v>
      </c>
      <c r="AG130">
        <v>9.6521739130434785</v>
      </c>
      <c r="AH130">
        <f>11.496761182107*1</f>
        <v>11.496761182107001</v>
      </c>
      <c r="AI130">
        <f>2.87419029552677*1</f>
        <v>2.8741902955267702</v>
      </c>
      <c r="AJ130">
        <v>1</v>
      </c>
      <c r="AK130">
        <v>0</v>
      </c>
      <c r="AL130">
        <v>0</v>
      </c>
    </row>
    <row r="131" spans="1:38" hidden="1" x14ac:dyDescent="0.2">
      <c r="A131" t="s">
        <v>311</v>
      </c>
      <c r="B131" t="s">
        <v>312</v>
      </c>
      <c r="C131" t="s">
        <v>311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28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9.6</v>
      </c>
      <c r="AE131">
        <v>718</v>
      </c>
      <c r="AF131">
        <v>20.8</v>
      </c>
      <c r="AG131">
        <v>19.525556526739479</v>
      </c>
      <c r="AH131">
        <f>23.2570053533268*1</f>
        <v>23.2570053533268</v>
      </c>
      <c r="AI131">
        <f>5.81435043745546*1</f>
        <v>5.8143504374554604</v>
      </c>
      <c r="AJ131">
        <v>1</v>
      </c>
      <c r="AK131">
        <v>0</v>
      </c>
      <c r="AL131">
        <v>0</v>
      </c>
    </row>
    <row r="132" spans="1:38" hidden="1" x14ac:dyDescent="0.2">
      <c r="A132" t="s">
        <v>313</v>
      </c>
      <c r="B132" t="s">
        <v>314</v>
      </c>
      <c r="C132" t="s">
        <v>314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28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4.8</v>
      </c>
      <c r="AE132">
        <v>721</v>
      </c>
      <c r="AF132">
        <v>12.4</v>
      </c>
      <c r="AG132">
        <v>11.6</v>
      </c>
      <c r="AH132">
        <f>13.8168283055203*1</f>
        <v>13.8168283055203</v>
      </c>
      <c r="AI132">
        <f>3.45420707638009*1</f>
        <v>3.4542070763800901</v>
      </c>
      <c r="AJ132">
        <v>1</v>
      </c>
      <c r="AK132">
        <v>0</v>
      </c>
      <c r="AL132">
        <v>0</v>
      </c>
    </row>
    <row r="133" spans="1:38" hidden="1" x14ac:dyDescent="0.2">
      <c r="A133" t="s">
        <v>315</v>
      </c>
      <c r="B133" t="s">
        <v>316</v>
      </c>
      <c r="C133" t="s">
        <v>316</v>
      </c>
      <c r="D133" t="s">
        <v>3</v>
      </c>
      <c r="E133">
        <v>1</v>
      </c>
      <c r="F133">
        <v>0</v>
      </c>
      <c r="G133">
        <v>0</v>
      </c>
      <c r="H133">
        <v>0</v>
      </c>
      <c r="I133" t="s">
        <v>29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4.2</v>
      </c>
      <c r="AE133">
        <v>737</v>
      </c>
      <c r="AF133">
        <v>16.86440677966101</v>
      </c>
      <c r="AG133">
        <v>15.92391304347826</v>
      </c>
      <c r="AH133">
        <f>16.8043177267741*1</f>
        <v>16.804317726774102</v>
      </c>
      <c r="AI133">
        <f>3.36086354535482*1</f>
        <v>3.3608635453548201</v>
      </c>
      <c r="AJ133">
        <v>1</v>
      </c>
      <c r="AK133">
        <v>0</v>
      </c>
      <c r="AL133">
        <v>0</v>
      </c>
    </row>
    <row r="134" spans="1:38" x14ac:dyDescent="0.2">
      <c r="A134" t="s">
        <v>126</v>
      </c>
      <c r="B134" t="s">
        <v>127</v>
      </c>
      <c r="C134" t="s">
        <v>127</v>
      </c>
      <c r="D134" t="s">
        <v>3</v>
      </c>
      <c r="E134">
        <v>1</v>
      </c>
      <c r="F134">
        <v>0</v>
      </c>
      <c r="G134">
        <v>0</v>
      </c>
      <c r="H134">
        <v>0</v>
      </c>
      <c r="I134" t="s">
        <v>15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4.2</v>
      </c>
      <c r="AE134">
        <v>180</v>
      </c>
      <c r="AF134">
        <v>-0.72773079378013661</v>
      </c>
      <c r="AG134">
        <v>15.97222222222222</v>
      </c>
      <c r="AH134">
        <f>15.9924525435647*1</f>
        <v>15.992452543564699</v>
      </c>
      <c r="AI134">
        <f>3.19849043496257*1</f>
        <v>3.19849043496257</v>
      </c>
      <c r="AJ134">
        <v>1</v>
      </c>
      <c r="AK134">
        <v>1</v>
      </c>
      <c r="AL134">
        <v>1</v>
      </c>
    </row>
    <row r="135" spans="1:38" hidden="1" x14ac:dyDescent="0.2">
      <c r="A135" t="s">
        <v>319</v>
      </c>
      <c r="B135" t="s">
        <v>320</v>
      </c>
      <c r="C135" t="s">
        <v>320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29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4.5999999999999996</v>
      </c>
      <c r="AE135">
        <v>741</v>
      </c>
      <c r="AF135">
        <v>14.68634793679087</v>
      </c>
      <c r="AG135">
        <v>13.97042083583422</v>
      </c>
      <c r="AH135">
        <f>14.7286896793912*1</f>
        <v>14.7286896793912</v>
      </c>
      <c r="AI135">
        <f>2.95217106147586*1</f>
        <v>2.9521710614758598</v>
      </c>
      <c r="AJ135">
        <v>1</v>
      </c>
      <c r="AK135">
        <v>0</v>
      </c>
      <c r="AL135">
        <v>0</v>
      </c>
    </row>
    <row r="136" spans="1:38" hidden="1" x14ac:dyDescent="0.2">
      <c r="A136" t="s">
        <v>321</v>
      </c>
      <c r="B136" t="s">
        <v>322</v>
      </c>
      <c r="C136" t="s">
        <v>321</v>
      </c>
      <c r="D136" t="s">
        <v>4</v>
      </c>
      <c r="E136">
        <v>0</v>
      </c>
      <c r="F136">
        <v>1</v>
      </c>
      <c r="G136">
        <v>0</v>
      </c>
      <c r="H136">
        <v>0</v>
      </c>
      <c r="I136" t="s">
        <v>29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4.5</v>
      </c>
      <c r="AE136">
        <v>745</v>
      </c>
      <c r="AF136">
        <v>9.6063546234831385</v>
      </c>
      <c r="AG136">
        <v>12</v>
      </c>
      <c r="AH136">
        <f>12.2619654839302*1</f>
        <v>12.261965483930201</v>
      </c>
      <c r="AI136">
        <f>2.42821400409295*1</f>
        <v>2.4282140040929501</v>
      </c>
      <c r="AJ136">
        <v>1</v>
      </c>
      <c r="AK136">
        <v>0</v>
      </c>
      <c r="AL136">
        <v>0</v>
      </c>
    </row>
    <row r="137" spans="1:38" hidden="1" x14ac:dyDescent="0.2">
      <c r="A137" t="s">
        <v>71</v>
      </c>
      <c r="B137" t="s">
        <v>323</v>
      </c>
      <c r="C137" t="s">
        <v>324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29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6</v>
      </c>
      <c r="AE137">
        <v>752</v>
      </c>
      <c r="AF137">
        <v>17.72727272727273</v>
      </c>
      <c r="AG137">
        <v>16.667277539182159</v>
      </c>
      <c r="AH137">
        <f>17.5985648562253*1</f>
        <v>17.598564856225298</v>
      </c>
      <c r="AI137">
        <f>3.51971308072587*1</f>
        <v>3.5197130807258699</v>
      </c>
      <c r="AJ137">
        <v>1</v>
      </c>
      <c r="AK137">
        <v>0</v>
      </c>
      <c r="AL137">
        <v>0</v>
      </c>
    </row>
    <row r="138" spans="1:38" hidden="1" x14ac:dyDescent="0.2">
      <c r="A138" t="s">
        <v>325</v>
      </c>
      <c r="B138" t="s">
        <v>326</v>
      </c>
      <c r="C138" t="s">
        <v>326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29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4.9000000000000004</v>
      </c>
      <c r="AE138">
        <v>754</v>
      </c>
      <c r="AF138">
        <v>16.853988886856431</v>
      </c>
      <c r="AG138">
        <v>16.550855962296311</v>
      </c>
      <c r="AH138">
        <f>17.3786476124515*1</f>
        <v>17.378647612451498</v>
      </c>
      <c r="AI138">
        <f>3.39008698628112*1</f>
        <v>3.39008698628112</v>
      </c>
      <c r="AJ138">
        <v>1</v>
      </c>
      <c r="AK138">
        <v>0</v>
      </c>
      <c r="AL138">
        <v>0</v>
      </c>
    </row>
    <row r="139" spans="1:38" hidden="1" x14ac:dyDescent="0.2">
      <c r="A139" t="s">
        <v>327</v>
      </c>
      <c r="B139" t="s">
        <v>328</v>
      </c>
      <c r="C139" t="s">
        <v>328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29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4.5</v>
      </c>
      <c r="AE139">
        <v>756</v>
      </c>
      <c r="AF139">
        <v>15.154275218065809</v>
      </c>
      <c r="AG139">
        <v>15.699152542372881</v>
      </c>
      <c r="AH139">
        <f>16.3766203316284*1</f>
        <v>16.376620331628398</v>
      </c>
      <c r="AI139">
        <f>3.26157197654973*1</f>
        <v>3.26157197654973</v>
      </c>
      <c r="AJ139">
        <v>1</v>
      </c>
      <c r="AK139">
        <v>0</v>
      </c>
      <c r="AL139">
        <v>0</v>
      </c>
    </row>
    <row r="140" spans="1:38" hidden="1" x14ac:dyDescent="0.2">
      <c r="A140" t="s">
        <v>329</v>
      </c>
      <c r="B140" t="s">
        <v>330</v>
      </c>
      <c r="C140" t="s">
        <v>241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29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5</v>
      </c>
      <c r="AE140">
        <v>758</v>
      </c>
      <c r="AF140">
        <v>10.26315789473685</v>
      </c>
      <c r="AG140">
        <v>11.607142857142859</v>
      </c>
      <c r="AH140">
        <f>11.9862317968714*1</f>
        <v>11.986231796871399</v>
      </c>
      <c r="AI140">
        <f>2.39724635937428*1</f>
        <v>2.3972463593742801</v>
      </c>
      <c r="AJ140">
        <v>1</v>
      </c>
      <c r="AK140">
        <v>0</v>
      </c>
      <c r="AL140">
        <v>0</v>
      </c>
    </row>
    <row r="141" spans="1:38" hidden="1" x14ac:dyDescent="0.2">
      <c r="A141" t="s">
        <v>136</v>
      </c>
      <c r="B141" t="s">
        <v>331</v>
      </c>
      <c r="C141" t="s">
        <v>331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29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6</v>
      </c>
      <c r="AE141">
        <v>760</v>
      </c>
      <c r="AF141">
        <v>19.170819190349501</v>
      </c>
      <c r="AG141">
        <v>16.858552631578949</v>
      </c>
      <c r="AH141">
        <f>17.9610150087251*1</f>
        <v>17.961015008725099</v>
      </c>
      <c r="AI141">
        <f>3.55400035660272*1</f>
        <v>3.5540003566027201</v>
      </c>
      <c r="AJ141">
        <v>1</v>
      </c>
      <c r="AK141">
        <v>0</v>
      </c>
      <c r="AL141">
        <v>0</v>
      </c>
    </row>
    <row r="142" spans="1:38" hidden="1" x14ac:dyDescent="0.2">
      <c r="A142" t="s">
        <v>332</v>
      </c>
      <c r="B142" t="s">
        <v>333</v>
      </c>
      <c r="C142" t="s">
        <v>333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29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6.8</v>
      </c>
      <c r="AE142">
        <v>762</v>
      </c>
      <c r="AF142">
        <v>23.05555555555555</v>
      </c>
      <c r="AG142">
        <v>24.00307980941048</v>
      </c>
      <c r="AH142">
        <f>25.0240781379275*1</f>
        <v>25.0240781379275</v>
      </c>
      <c r="AI142">
        <f>4.98733287555715*1</f>
        <v>4.9873328755571498</v>
      </c>
      <c r="AJ142">
        <v>1</v>
      </c>
      <c r="AK142">
        <v>0</v>
      </c>
      <c r="AL142">
        <v>0</v>
      </c>
    </row>
    <row r="143" spans="1:38" hidden="1" x14ac:dyDescent="0.2">
      <c r="A143" t="s">
        <v>334</v>
      </c>
      <c r="B143" t="s">
        <v>335</v>
      </c>
      <c r="C143" t="s">
        <v>335</v>
      </c>
      <c r="D143" t="s">
        <v>4</v>
      </c>
      <c r="E143">
        <v>0</v>
      </c>
      <c r="F143">
        <v>1</v>
      </c>
      <c r="G143">
        <v>0</v>
      </c>
      <c r="H143">
        <v>0</v>
      </c>
      <c r="I143" t="s">
        <v>30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4.5</v>
      </c>
      <c r="AE143">
        <v>774</v>
      </c>
      <c r="AF143">
        <v>12.058685998063149</v>
      </c>
      <c r="AG143">
        <v>14.08415841584158</v>
      </c>
      <c r="AH143">
        <f>18.1511489568798*1</f>
        <v>18.151148956879801</v>
      </c>
      <c r="AI143">
        <f>5.35814104010697*1</f>
        <v>5.35814104010697</v>
      </c>
      <c r="AJ143">
        <v>1</v>
      </c>
      <c r="AK143">
        <v>0</v>
      </c>
      <c r="AL143">
        <v>0</v>
      </c>
    </row>
    <row r="144" spans="1:38" hidden="1" x14ac:dyDescent="0.2">
      <c r="A144" t="s">
        <v>336</v>
      </c>
      <c r="B144" t="s">
        <v>337</v>
      </c>
      <c r="C144" t="s">
        <v>338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30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5.5</v>
      </c>
      <c r="AE144">
        <v>779</v>
      </c>
      <c r="AF144">
        <v>32.131937659858643</v>
      </c>
      <c r="AG144">
        <v>14.58333333333333</v>
      </c>
      <c r="AH144">
        <f>29.3795717579552*1</f>
        <v>29.379571757955201</v>
      </c>
      <c r="AI144">
        <f>5.72483615294269*1</f>
        <v>5.7248361529426903</v>
      </c>
      <c r="AJ144">
        <v>1</v>
      </c>
      <c r="AK144">
        <v>0</v>
      </c>
      <c r="AL144">
        <v>0</v>
      </c>
    </row>
    <row r="145" spans="1:38" hidden="1" x14ac:dyDescent="0.2">
      <c r="A145" t="s">
        <v>339</v>
      </c>
      <c r="B145" t="s">
        <v>340</v>
      </c>
      <c r="C145" t="s">
        <v>341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30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4.9000000000000004</v>
      </c>
      <c r="AE145">
        <v>780</v>
      </c>
      <c r="AF145">
        <v>7.9568148597155863</v>
      </c>
      <c r="AG145">
        <v>11.5625</v>
      </c>
      <c r="AH145">
        <f>13.8545245763499*1</f>
        <v>13.854524576349901</v>
      </c>
      <c r="AI145">
        <f>2.20553125495805*1</f>
        <v>2.2055312549580499</v>
      </c>
      <c r="AJ145">
        <v>1</v>
      </c>
      <c r="AK145">
        <v>0</v>
      </c>
      <c r="AL145">
        <v>0</v>
      </c>
    </row>
    <row r="146" spans="1:38" hidden="1" x14ac:dyDescent="0.2">
      <c r="A146" t="s">
        <v>342</v>
      </c>
      <c r="B146" t="s">
        <v>343</v>
      </c>
      <c r="C146" t="s">
        <v>343</v>
      </c>
      <c r="D146" t="s">
        <v>4</v>
      </c>
      <c r="E146">
        <v>0</v>
      </c>
      <c r="F146">
        <v>1</v>
      </c>
      <c r="G146">
        <v>0</v>
      </c>
      <c r="H146">
        <v>0</v>
      </c>
      <c r="I146" t="s">
        <v>30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4.5</v>
      </c>
      <c r="AE146">
        <v>784</v>
      </c>
      <c r="AF146">
        <v>15.22727272727272</v>
      </c>
      <c r="AG146">
        <v>15.11494252873563</v>
      </c>
      <c r="AH146">
        <f>20.7112950730591*1</f>
        <v>20.711295073059102</v>
      </c>
      <c r="AI146">
        <f>4.14225901461183*1</f>
        <v>4.1422590146118301</v>
      </c>
      <c r="AJ146">
        <v>1</v>
      </c>
      <c r="AK146">
        <v>0</v>
      </c>
      <c r="AL146">
        <v>0</v>
      </c>
    </row>
    <row r="147" spans="1:38" hidden="1" x14ac:dyDescent="0.2">
      <c r="A147" t="s">
        <v>344</v>
      </c>
      <c r="B147" t="s">
        <v>345</v>
      </c>
      <c r="C147" t="s">
        <v>346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30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4.9000000000000004</v>
      </c>
      <c r="AE147">
        <v>786</v>
      </c>
      <c r="AF147">
        <v>11.23529411764706</v>
      </c>
      <c r="AG147">
        <v>12.53731343283582</v>
      </c>
      <c r="AH147">
        <f>16.4275671788856*1</f>
        <v>16.427567178885599</v>
      </c>
      <c r="AI147">
        <f>3.28551343577712*1</f>
        <v>3.2855134357771201</v>
      </c>
      <c r="AJ147">
        <v>1</v>
      </c>
      <c r="AK147">
        <v>0</v>
      </c>
      <c r="AL147">
        <v>0</v>
      </c>
    </row>
    <row r="148" spans="1:38" hidden="1" x14ac:dyDescent="0.2">
      <c r="A148" t="s">
        <v>347</v>
      </c>
      <c r="B148" t="s">
        <v>348</v>
      </c>
      <c r="C148" t="s">
        <v>349</v>
      </c>
      <c r="D148" t="s">
        <v>3</v>
      </c>
      <c r="E148">
        <v>1</v>
      </c>
      <c r="F148">
        <v>0</v>
      </c>
      <c r="G148">
        <v>0</v>
      </c>
      <c r="H148">
        <v>0</v>
      </c>
      <c r="I148" t="s">
        <v>30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5</v>
      </c>
      <c r="AE148">
        <v>789</v>
      </c>
      <c r="AF148">
        <v>19.84592294694183</v>
      </c>
      <c r="AG148">
        <v>17.447046586275821</v>
      </c>
      <c r="AH148">
        <f>25.1295103616181*1</f>
        <v>25.129510361618099</v>
      </c>
      <c r="AI148">
        <f>5.46574946068205*1</f>
        <v>5.4657494606820496</v>
      </c>
      <c r="AJ148">
        <v>1</v>
      </c>
      <c r="AK148">
        <v>0</v>
      </c>
      <c r="AL148">
        <v>0</v>
      </c>
    </row>
    <row r="149" spans="1:38" hidden="1" x14ac:dyDescent="0.2">
      <c r="A149" t="s">
        <v>350</v>
      </c>
      <c r="B149" t="s">
        <v>351</v>
      </c>
      <c r="C149" t="s">
        <v>351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30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4.7</v>
      </c>
      <c r="AE149">
        <v>790</v>
      </c>
      <c r="AF149">
        <v>24.525319120511352</v>
      </c>
      <c r="AG149">
        <v>12.38095238095238</v>
      </c>
      <c r="AH149">
        <f>23.4587922040859*1</f>
        <v>23.458792204085899</v>
      </c>
      <c r="AI149">
        <f>5.36711649499781*1</f>
        <v>5.3671164949978101</v>
      </c>
      <c r="AJ149">
        <v>1</v>
      </c>
      <c r="AK149">
        <v>0</v>
      </c>
      <c r="AL149">
        <v>0</v>
      </c>
    </row>
    <row r="150" spans="1:38" hidden="1" x14ac:dyDescent="0.2">
      <c r="A150" t="s">
        <v>352</v>
      </c>
      <c r="B150" t="s">
        <v>353</v>
      </c>
      <c r="C150" t="s">
        <v>354</v>
      </c>
      <c r="D150" t="s">
        <v>4</v>
      </c>
      <c r="E150">
        <v>0</v>
      </c>
      <c r="F150">
        <v>1</v>
      </c>
      <c r="G150">
        <v>0</v>
      </c>
      <c r="H150">
        <v>0</v>
      </c>
      <c r="I150" t="s">
        <v>30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4.4000000000000004</v>
      </c>
      <c r="AE150">
        <v>793</v>
      </c>
      <c r="AF150">
        <v>12.07317073170732</v>
      </c>
      <c r="AG150">
        <v>12.265625</v>
      </c>
      <c r="AH150">
        <f>16.6542019065642*1</f>
        <v>16.6542019065642</v>
      </c>
      <c r="AI150">
        <f>3.33084038131285*1</f>
        <v>3.33084038131285</v>
      </c>
      <c r="AJ150">
        <v>1</v>
      </c>
      <c r="AK150">
        <v>0</v>
      </c>
      <c r="AL150">
        <v>0</v>
      </c>
    </row>
    <row r="151" spans="1:38" x14ac:dyDescent="0.2">
      <c r="A151" t="s">
        <v>147</v>
      </c>
      <c r="B151" t="s">
        <v>148</v>
      </c>
      <c r="C151" t="s">
        <v>149</v>
      </c>
      <c r="D151" t="s">
        <v>4</v>
      </c>
      <c r="E151">
        <v>0</v>
      </c>
      <c r="F151">
        <v>1</v>
      </c>
      <c r="G151">
        <v>0</v>
      </c>
      <c r="H151">
        <v>0</v>
      </c>
      <c r="I151" t="s">
        <v>17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5</v>
      </c>
      <c r="AE151">
        <v>272</v>
      </c>
      <c r="AF151">
        <v>13.35064935064934</v>
      </c>
      <c r="AG151">
        <v>12.85723522955662</v>
      </c>
      <c r="AH151">
        <f>10.7648624973488*1</f>
        <v>10.764862497348799</v>
      </c>
      <c r="AI151">
        <f>2.70321506738914*1</f>
        <v>2.7032150673891402</v>
      </c>
      <c r="AJ151">
        <v>1</v>
      </c>
      <c r="AK151">
        <v>1</v>
      </c>
      <c r="AL151">
        <v>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2024-02-09T23:00:42Z</dcterms:created>
  <dcterms:modified xsi:type="dcterms:W3CDTF">2024-02-09T23:03:10Z</dcterms:modified>
</cp:coreProperties>
</file>