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6B610AFF-3FE0-3F4A-BE81-763AA23491B2}" xr6:coauthVersionLast="47" xr6:coauthVersionMax="47" xr10:uidLastSave="{00000000-0000-0000-0000-000000000000}"/>
  <bookViews>
    <workbookView xWindow="240" yWindow="760" windowWidth="3432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7" i="1" l="1"/>
  <c r="AI157" i="1"/>
  <c r="AJ156" i="1"/>
  <c r="AI156" i="1"/>
  <c r="AJ155" i="1"/>
  <c r="AI155" i="1"/>
  <c r="AJ95" i="1"/>
  <c r="AI95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08" i="1"/>
  <c r="AI108" i="1"/>
  <c r="AJ42" i="1"/>
  <c r="AI4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33" i="1"/>
  <c r="AI133" i="1"/>
  <c r="AJ112" i="1"/>
  <c r="AI112" i="1"/>
  <c r="AJ111" i="1"/>
  <c r="AI111" i="1"/>
  <c r="AJ110" i="1"/>
  <c r="AI110" i="1"/>
  <c r="AJ109" i="1"/>
  <c r="AI109" i="1"/>
  <c r="AJ8" i="1"/>
  <c r="AI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154" i="1"/>
  <c r="AI154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132" i="1"/>
  <c r="AI132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36" i="1"/>
  <c r="AI36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88" i="1"/>
  <c r="AI88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113" i="1"/>
  <c r="AI113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68" i="1"/>
  <c r="AI68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50" i="1"/>
  <c r="AI50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21" i="1"/>
  <c r="AI21" i="1"/>
  <c r="AP7" i="1"/>
  <c r="AJ7" i="1"/>
  <c r="AI7" i="1"/>
  <c r="AP6" i="1"/>
  <c r="AJ6" i="1"/>
  <c r="AI6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<sst xmlns="http://schemas.openxmlformats.org/spreadsheetml/2006/main" count="850" uniqueCount="379">
  <si>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</si>
  <si>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</si>
  <si>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</si>
  <si>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</si>
  <si>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</si>
  <si>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</si>
  <si>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</si>
  <si>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</si>
  <si>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</si>
  <si>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</si>
  <si>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</si>
  <si>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</si>
  <si>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</si>
  <si>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</si>
  <si>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</si>
  <si>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</si>
  <si>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</si>
  <si>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</si>
  <si>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</si>
  <si>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</si>
  <si>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</si>
  <si>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</si>
  <si>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</si>
  <si>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</si>
  <si>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</si>
  <si>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</si>
  <si>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</si>
  <si>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</si>
  <si>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</si>
  <si>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</si>
  <si>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</si>
  <si>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</si>
  <si>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</si>
  <si>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</si>
  <si>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</si>
  <si>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</si>
  <si>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</si>
  <si>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</si>
  <si>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</si>
  <si>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</si>
  <si>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</si>
  <si>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</si>
  <si>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</si>
  <si>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</si>
  <si>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</si>
  <si>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</si>
  <si>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</si>
  <si>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</si>
  <si>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</si>
  <si>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</si>
  <si>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</si>
  <si>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</si>
  <si>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</si>
  <si>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</si>
  <si>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</si>
  <si>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</si>
  <si>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</si>
  <si>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</si>
  <si>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</si>
  <si>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</si>
  <si>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</si>
  <si>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</si>
  <si>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</si>
  <si>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</si>
  <si>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</si>
  <si>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</si>
  <si>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</si>
  <si>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</si>
  <si>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</si>
  <si>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</si>
  <si>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</si>
  <si>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</si>
  <si>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</si>
  <si>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</si>
  <si>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</si>
  <si>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</si>
  <si>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</si>
  <si>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</si>
  <si>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</si>
  <si>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</si>
  <si>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</si>
  <si>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</si>
  <si>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</si>
  <si>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</si>
  <si>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</si>
  <si>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</si>
  <si>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</si>
  <si>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</si>
  <si>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</si>
  <si>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</si>
  <si>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</si>
  <si>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</si>
  <si>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</si>
  <si>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</si>
  <si>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</si>
  <si>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</si>
  <si>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</si>
  <si>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</si>
  <si>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</si>
  <si>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</si>
  <si>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</si>
  <si>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</si>
  <si>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</si>
  <si>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</si>
  <si>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</si>
  <si>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</si>
  <si>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</si>
  <si>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</si>
  <si>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</si>
  <si>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</si>
  <si>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</si>
  <si>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</si>
  <si>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</si>
  <si>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</si>
  <si>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</si>
  <si>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</si>
  <si>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</si>
  <si>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</si>
  <si>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</si>
  <si>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</si>
  <si>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</si>
  <si>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</si>
  <si>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</si>
  <si>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</si>
  <si>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</si>
  <si>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</si>
  <si>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</si>
  <si>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</si>
  <si>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</si>
  <si>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</si>
  <si>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</si>
  <si>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</si>
  <si>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</si>
  <si>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</si>
  <si>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</si>
  <si>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</si>
  <si>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</si>
  <si>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</si>
  <si>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</si>
  <si>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</si>
  <si>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</si>
  <si>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</si>
  <si>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</si>
  <si>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</si>
  <si>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</si>
  <si>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</si>
  <si>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</si>
  <si>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</si>
  <si>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</si>
  <si>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</si>
  <si>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</si>
  <si>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</si>
  <si>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</si>
  <si>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</si>
  <si>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</si>
  <si>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</si>
  <si>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</si>
  <si>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</si>
  <si>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</si>
  <si>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</si>
  <si>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</si>
  <si>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</si>
  <si>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</si>
  <si>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</si>
  <si>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</si>
  <si>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</si>
  <si>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</si>
  <si>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</si>
  <si>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</si>
  <si>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</si>
  <si>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</si>
  <si>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</si>
  <si>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</si>
  <si>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</si>
  <si>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</si>
  <si>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</si>
  <si>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</si>
  <si>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</si>
  <si>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</si>
  <si>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</si>
  <si>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</si>
  <si>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</si>
  <si>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</si>
  <si>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</si>
  <si>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</si>
  <si>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</si>
  <si>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</si>
  <si>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</si>
  <si>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</si>
  <si>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</si>
  <si>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</si>
  <si>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</si>
  <si>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</si>
  <si>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</si>
  <si>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Reiss</t>
  </si>
  <si>
    <t>Nelson</t>
  </si>
  <si>
    <t>Emile</t>
  </si>
  <si>
    <t>Smith Rowe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</si>
  <si>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</si>
  <si>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</si>
  <si>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</si>
  <si>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</si>
  <si>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</si>
  <si>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</si>
  <si>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</si>
  <si>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</si>
  <si>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</si>
  <si>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</si>
  <si>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</si>
  <si>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</si>
  <si>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Conor</t>
  </si>
  <si>
    <t>Chaplin</t>
  </si>
  <si>
    <t>Liam</t>
  </si>
  <si>
    <t>Delap</t>
  </si>
  <si>
    <t>Omari</t>
  </si>
  <si>
    <t>Giraud-Hutchinson</t>
  </si>
  <si>
    <t>Hutchinson</t>
  </si>
  <si>
    <t>Sam</t>
  </si>
  <si>
    <t>Morsy</t>
  </si>
  <si>
    <t>Arijanet</t>
  </si>
  <si>
    <t>Muric</t>
  </si>
  <si>
    <t>Szmodics</t>
  </si>
  <si>
    <t>Facundo</t>
  </si>
  <si>
    <t>Buonanotte</t>
  </si>
  <si>
    <t>Ayew</t>
  </si>
  <si>
    <t>J.Ayew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</si>
  <si>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</si>
  <si>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</si>
  <si>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</si>
  <si>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</si>
  <si>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</si>
  <si>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</si>
  <si>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</si>
  <si>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</si>
  <si>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</si>
  <si>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</si>
  <si>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</si>
  <si>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</si>
  <si>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</si>
  <si>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</si>
  <si>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</si>
  <si>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</si>
  <si>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</si>
  <si>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</si>
  <si>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</si>
  <si>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</si>
  <si>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</si>
  <si>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</si>
  <si>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</si>
  <si>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</si>
  <si>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</si>
  <si>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</si>
  <si>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</si>
  <si>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</si>
  <si>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</si>
  <si>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</si>
  <si>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</si>
  <si>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</si>
  <si>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</si>
  <si>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</si>
  <si>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</si>
  <si>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</si>
  <si>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</si>
  <si>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Matheus Luiz</t>
  </si>
  <si>
    <t>Nunes</t>
  </si>
  <si>
    <t>Matheus N.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</si>
  <si>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</si>
  <si>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</si>
  <si>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</si>
  <si>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</si>
  <si>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</si>
  <si>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</si>
  <si>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</si>
  <si>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</si>
  <si>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</si>
  <si>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</si>
  <si>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</si>
  <si>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</si>
  <si>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</si>
  <si>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</si>
  <si>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</si>
  <si>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</si>
  <si>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</si>
  <si>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</si>
  <si>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</si>
  <si>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André</t>
  </si>
  <si>
    <t>Onana</t>
  </si>
  <si>
    <t>Rashford</t>
  </si>
  <si>
    <t>Joshua</t>
  </si>
  <si>
    <t>Zirkzee</t>
  </si>
  <si>
    <t>Matthijs</t>
  </si>
  <si>
    <t>de Ligt</t>
  </si>
  <si>
    <t>De Ligt</t>
  </si>
  <si>
    <t>Noussair</t>
  </si>
  <si>
    <t>Mazraoui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</si>
  <si>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</si>
  <si>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</si>
  <si>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</si>
  <si>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</si>
  <si>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</si>
  <si>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</si>
  <si>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</si>
  <si>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</si>
  <si>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</si>
  <si>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</si>
  <si>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</si>
  <si>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</si>
  <si>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</si>
  <si>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</si>
  <si>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</si>
  <si>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</si>
  <si>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</si>
  <si>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</si>
  <si>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</si>
  <si>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</si>
  <si>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</si>
  <si>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</si>
  <si>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</si>
  <si>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</si>
  <si>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</si>
  <si>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</si>
  <si>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</si>
  <si>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</si>
  <si>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</si>
  <si>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</si>
  <si>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</si>
  <si>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</si>
  <si>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</si>
  <si>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</si>
  <si>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</si>
  <si>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</si>
  <si>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Adam</t>
  </si>
  <si>
    <t>Armstrong</t>
  </si>
  <si>
    <t>Flynn</t>
  </si>
  <si>
    <t>Downes</t>
  </si>
  <si>
    <t>Mateus Gonçalo</t>
  </si>
  <si>
    <t>Espanha Fernandes</t>
  </si>
  <si>
    <t>M.Fernandes</t>
  </si>
  <si>
    <t>Brennan</t>
  </si>
  <si>
    <t>Johnson</t>
  </si>
  <si>
    <t>Dejan</t>
  </si>
  <si>
    <t>Kulusevski</t>
  </si>
  <si>
    <t>Maddison</t>
  </si>
  <si>
    <t>Porro</t>
  </si>
  <si>
    <t>Pedro Porro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</si>
  <si>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</si>
  <si>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</si>
  <si>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</si>
  <si>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</si>
  <si>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</si>
  <si>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</si>
  <si>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</si>
  <si>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</si>
  <si>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</si>
  <si>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</si>
  <si>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</si>
  <si>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</si>
  <si>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</si>
  <si>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</si>
  <si>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Max</t>
  </si>
  <si>
    <t>Kilman</t>
  </si>
  <si>
    <t>Lucas</t>
  </si>
  <si>
    <t>Tolentino Coelho de Lima</t>
  </si>
  <si>
    <t>L.Paquetá</t>
  </si>
  <si>
    <t>Tomáš</t>
  </si>
  <si>
    <t>Souček</t>
  </si>
  <si>
    <t>Rayan</t>
  </si>
  <si>
    <t>Aït-Nouri</t>
  </si>
  <si>
    <t>Matheus</t>
  </si>
  <si>
    <t>Santos Carneiro Da Cunha</t>
  </si>
  <si>
    <t>Cunha</t>
  </si>
  <si>
    <t>João Victor</t>
  </si>
  <si>
    <t>Gomes da Silva</t>
  </si>
  <si>
    <t>J.Gomes</t>
  </si>
  <si>
    <t>Mario</t>
  </si>
  <si>
    <t>Lemina</t>
  </si>
  <si>
    <t>Mario Jr.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</si>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</sst>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57" totalsRowShown="0">
  <autoFilter ref="A1:AM157" xr:uid="{00000000-0009-0000-0100-000001000000}">
    <filterColumn colId="38">
      <filters>
        <filter val="1"/>
      </filters>
    </filterColumn>
  </autoFilter>
  <sortState xmlns:xlrd2="http://schemas.microsoft.com/office/spreadsheetml/2017/richdata2" ref="A8:AM154">
    <sortCondition descending="1" ref="AJ1:AJ157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7"/>
  <sheetViews>
    <sheetView tabSelected="1" zoomScale="140" zoomScaleNormal="140" workbookViewId="0">
      <selection activeCell="C21" sqref="C21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19.26914620308483</v>
      </c>
      <c r="AG2">
        <v>12.58949734125142</v>
      </c>
      <c r="AH2">
        <v>21.98275483346681</v>
      </c>
      <c r="AI2">
        <f>5.53785815789644*0.75</f>
        <v>4.1533936184223297</v>
      </c>
      <c r="AJ2">
        <f>1.21696467750804*0.75</f>
        <v>0.91272350813103009</v>
      </c>
      <c r="AK2">
        <v>0.75</v>
      </c>
      <c r="AL2">
        <v>0</v>
      </c>
      <c r="AM2">
        <v>0</v>
      </c>
      <c r="AO2" t="s">
        <v>0</v>
      </c>
      <c r="AP2">
        <f>SUMPRODUCT(Table1[Selected], Table1[PP])</f>
        <v>394.07153895818141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18.677669021540591</v>
      </c>
      <c r="AG3">
        <v>13.95836333819849</v>
      </c>
      <c r="AH3">
        <v>14.69090909090909</v>
      </c>
      <c r="AI3">
        <f>11.5504249951111*1</f>
        <v>11.550424995111101</v>
      </c>
      <c r="AJ3">
        <f>2.30415893088649*1</f>
        <v>2.3041589308864898</v>
      </c>
      <c r="AK3">
        <v>1</v>
      </c>
      <c r="AL3">
        <v>0</v>
      </c>
      <c r="AM3">
        <v>0</v>
      </c>
    </row>
    <row r="4" spans="1:43" hidden="1" x14ac:dyDescent="0.2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97.500000000000014</v>
      </c>
      <c r="AQ4">
        <v>100.1</v>
      </c>
    </row>
    <row r="5" spans="1:43" hidden="1" x14ac:dyDescent="0.2">
      <c r="A5" t="s">
        <v>45</v>
      </c>
      <c r="B5" t="s">
        <v>52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21.728395061728399</v>
      </c>
      <c r="AG5">
        <v>23.286863179040608</v>
      </c>
      <c r="AH5">
        <v>17.065123693349971</v>
      </c>
      <c r="AI5">
        <f>21.1401486607737*1</f>
        <v>21.140148660773701</v>
      </c>
      <c r="AJ5">
        <f>3.26074170126506*1</f>
        <v>3.2607417012650601</v>
      </c>
      <c r="AK5">
        <v>1</v>
      </c>
      <c r="AL5">
        <v>0</v>
      </c>
      <c r="AM5">
        <v>0</v>
      </c>
    </row>
    <row r="6" spans="1:43" hidden="1" x14ac:dyDescent="0.2">
      <c r="A6" t="s">
        <v>54</v>
      </c>
      <c r="B6" t="s">
        <v>55</v>
      </c>
      <c r="C6" t="s">
        <v>56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20.518867924528301</v>
      </c>
      <c r="AG6">
        <v>20.966323143094311</v>
      </c>
      <c r="AH6">
        <v>13.03682332050486</v>
      </c>
      <c r="AI6">
        <f>11.2117320036768*1</f>
        <v>11.211732003676801</v>
      </c>
      <c r="AJ6">
        <f>2.27520017400567*1</f>
        <v>2.2752001740056702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57</v>
      </c>
      <c r="B7" t="s">
        <v>58</v>
      </c>
      <c r="C7" t="s">
        <v>58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17.32418155790382</v>
      </c>
      <c r="AG7">
        <v>13.689816772601089</v>
      </c>
      <c r="AH7">
        <v>22.185141783201569</v>
      </c>
      <c r="AI7">
        <f>13.6737150889836*1</f>
        <v>13.673715088983601</v>
      </c>
      <c r="AJ7">
        <f>2.76908317390459*1</f>
        <v>2.76908317390459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x14ac:dyDescent="0.2">
      <c r="A8" t="s">
        <v>272</v>
      </c>
      <c r="B8" t="s">
        <v>273</v>
      </c>
      <c r="C8" t="s">
        <v>274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8.5</v>
      </c>
      <c r="AE8">
        <v>449</v>
      </c>
      <c r="AF8">
        <v>23.109756097560979</v>
      </c>
      <c r="AG8">
        <v>26.49617046016272</v>
      </c>
      <c r="AH8">
        <v>43.885056791278032</v>
      </c>
      <c r="AI8">
        <f>42.3165215736601*1</f>
        <v>42.316521573660097</v>
      </c>
      <c r="AJ8">
        <f>8.59114072367424*1</f>
        <v>8.5911407236742399</v>
      </c>
      <c r="AK8">
        <v>1</v>
      </c>
      <c r="AL8">
        <v>0</v>
      </c>
      <c r="AM8">
        <v>1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61</v>
      </c>
      <c r="B9" t="s">
        <v>62</v>
      </c>
      <c r="C9" t="s">
        <v>62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14</v>
      </c>
      <c r="AF9">
        <v>21.052631578947359</v>
      </c>
      <c r="AG9">
        <v>19.349806320351281</v>
      </c>
      <c r="AH9">
        <v>26.051469406078709</v>
      </c>
      <c r="AI9">
        <f>18.4275746310947*1</f>
        <v>18.4275746310947</v>
      </c>
      <c r="AJ9">
        <f>3.65462355929363*1</f>
        <v>3.65462355929363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63</v>
      </c>
      <c r="B10" t="s">
        <v>64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12.163461538461529</v>
      </c>
      <c r="AG10">
        <v>8.9969680920484496</v>
      </c>
      <c r="AH10">
        <v>31.098611111111111</v>
      </c>
      <c r="AI10">
        <f>14.0743871611512*1</f>
        <v>14.074387161151201</v>
      </c>
      <c r="AJ10">
        <f>2.81195464305603*1</f>
        <v>2.8119546430560298</v>
      </c>
      <c r="AK10">
        <v>1</v>
      </c>
      <c r="AL10">
        <v>0</v>
      </c>
      <c r="AM10">
        <v>0</v>
      </c>
    </row>
    <row r="11" spans="1:43" hidden="1" x14ac:dyDescent="0.2">
      <c r="A11" t="s">
        <v>65</v>
      </c>
      <c r="B11" t="s">
        <v>66</v>
      </c>
      <c r="C11" t="s">
        <v>66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19.277777777777761</v>
      </c>
      <c r="AG11">
        <v>19.213590015876449</v>
      </c>
      <c r="AH11">
        <v>14.562803378637639</v>
      </c>
      <c r="AI11">
        <f>7.63772703744225*1</f>
        <v>7.6377270374422501</v>
      </c>
      <c r="AJ11">
        <f>1.610839551212*1</f>
        <v>1.610839551212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3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14.54166666666667</v>
      </c>
      <c r="AG12">
        <v>18.013801286618321</v>
      </c>
      <c r="AH12">
        <v>7.733387707993665</v>
      </c>
      <c r="AI12">
        <f>9.778234005312*1</f>
        <v>9.7782340053119992</v>
      </c>
      <c r="AJ12">
        <f>1.99941149951212*1</f>
        <v>1.9994114995121199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71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10.199999999999999</v>
      </c>
      <c r="AG13">
        <v>13.10674441898214</v>
      </c>
      <c r="AH13">
        <v>10.8</v>
      </c>
      <c r="AI13">
        <f>2.5173394876304*1</f>
        <v>2.5173394876303998</v>
      </c>
      <c r="AJ13">
        <f>0.524124420393057*1</f>
        <v>0.52412442039305696</v>
      </c>
      <c r="AK13">
        <v>1</v>
      </c>
      <c r="AL13">
        <v>0</v>
      </c>
      <c r="AM13">
        <v>0</v>
      </c>
    </row>
    <row r="14" spans="1:43" hidden="1" x14ac:dyDescent="0.2">
      <c r="A14" t="s">
        <v>72</v>
      </c>
      <c r="B14" t="s">
        <v>73</v>
      </c>
      <c r="C14" t="s">
        <v>74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13.85294117647058</v>
      </c>
      <c r="AG14">
        <v>14.42113403701071</v>
      </c>
      <c r="AH14">
        <v>17.202701290972509</v>
      </c>
      <c r="AI14">
        <f>13.4521142114056*1</f>
        <v>13.4521142114056</v>
      </c>
      <c r="AJ14">
        <f>2.59748393114724*1</f>
        <v>2.5974839311472402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8</v>
      </c>
    </row>
    <row r="15" spans="1:43" hidden="1" x14ac:dyDescent="0.2">
      <c r="A15" t="s">
        <v>75</v>
      </c>
      <c r="B15" t="s">
        <v>76</v>
      </c>
      <c r="C15" t="s">
        <v>77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16.785714285714281</v>
      </c>
      <c r="AG15">
        <v>17.95762509918027</v>
      </c>
      <c r="AH15">
        <v>11.67636137401149</v>
      </c>
      <c r="AI15">
        <f>14.5921634458315*1</f>
        <v>14.592163445831501</v>
      </c>
      <c r="AJ15">
        <f>3.1603391266779*1</f>
        <v>3.1603391266779002</v>
      </c>
      <c r="AK15">
        <v>1</v>
      </c>
      <c r="AL15">
        <v>0</v>
      </c>
      <c r="AM15">
        <v>0</v>
      </c>
    </row>
    <row r="16" spans="1:43" hidden="1" x14ac:dyDescent="0.2">
      <c r="A16" t="s">
        <v>78</v>
      </c>
      <c r="B16" t="s">
        <v>79</v>
      </c>
      <c r="C16" t="s">
        <v>79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14.79999999999999</v>
      </c>
      <c r="AG16">
        <v>16.150751639865291</v>
      </c>
      <c r="AH16">
        <v>10.87531853744933</v>
      </c>
      <c r="AI16">
        <f>8.79751372931353*1</f>
        <v>8.7975137293135308</v>
      </c>
      <c r="AJ16">
        <f>1.85072576858057*1</f>
        <v>1.85072576858057</v>
      </c>
      <c r="AK16">
        <v>1</v>
      </c>
      <c r="AL16">
        <v>0</v>
      </c>
      <c r="AM16">
        <v>0</v>
      </c>
      <c r="AO16" t="s">
        <v>10</v>
      </c>
      <c r="AP16">
        <f>AP2-AP14*5</f>
        <v>354.07153895818141</v>
      </c>
    </row>
    <row r="17" spans="1:43" hidden="1" x14ac:dyDescent="0.2">
      <c r="A17" t="s">
        <v>80</v>
      </c>
      <c r="B17" t="s">
        <v>81</v>
      </c>
      <c r="C17" t="s">
        <v>81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5.4</v>
      </c>
      <c r="AE17">
        <v>59</v>
      </c>
      <c r="AF17">
        <v>18.07692307692307</v>
      </c>
      <c r="AG17">
        <v>24.077665066313831</v>
      </c>
      <c r="AH17">
        <v>25.72334598809887</v>
      </c>
      <c r="AI17">
        <f>11.7691799010414*1</f>
        <v>11.769179901041401</v>
      </c>
      <c r="AJ17">
        <f>1.77889253597942*1</f>
        <v>1.7788925359794201</v>
      </c>
      <c r="AK17">
        <v>1</v>
      </c>
      <c r="AL17">
        <v>0</v>
      </c>
      <c r="AM17">
        <v>0</v>
      </c>
    </row>
    <row r="18" spans="1:43" hidden="1" x14ac:dyDescent="0.2">
      <c r="A18" t="s">
        <v>82</v>
      </c>
      <c r="B18" t="s">
        <v>83</v>
      </c>
      <c r="C18" t="s">
        <v>83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</v>
      </c>
      <c r="AE18">
        <v>63</v>
      </c>
      <c r="AF18">
        <v>24.064516129032238</v>
      </c>
      <c r="AG18">
        <v>21.35084865277922</v>
      </c>
      <c r="AH18">
        <v>23.267545643355479</v>
      </c>
      <c r="AI18">
        <f>9.49017910532308*1</f>
        <v>9.4901791053230795</v>
      </c>
      <c r="AJ18">
        <f>1.87383519573688*1</f>
        <v>1.87383519573688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1</v>
      </c>
      <c r="AQ18">
        <v>3</v>
      </c>
    </row>
    <row r="19" spans="1:43" hidden="1" x14ac:dyDescent="0.2">
      <c r="A19" t="s">
        <v>84</v>
      </c>
      <c r="B19" t="s">
        <v>85</v>
      </c>
      <c r="C19" t="s">
        <v>85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75</v>
      </c>
      <c r="AF19">
        <v>10.62652540685848</v>
      </c>
      <c r="AG19">
        <v>8.5026148212966302</v>
      </c>
      <c r="AH19">
        <v>9.9600000000000009</v>
      </c>
      <c r="AI19">
        <f>9.32689996376831*1</f>
        <v>9.3268999637683105</v>
      </c>
      <c r="AJ19">
        <f>1.96200785681561*1</f>
        <v>1.9620078568156101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86</v>
      </c>
      <c r="B20" t="s">
        <v>87</v>
      </c>
      <c r="C20" t="s">
        <v>87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76</v>
      </c>
      <c r="AF20">
        <v>11.47608489778345</v>
      </c>
      <c r="AG20">
        <v>8.7139784874049049</v>
      </c>
      <c r="AH20">
        <v>8.7934713615503064</v>
      </c>
      <c r="AI20">
        <f>6.0686046255762*1</f>
        <v>6.0686046255762003</v>
      </c>
      <c r="AJ20">
        <f>1.25509416052324*1</f>
        <v>1.25509416052324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1</v>
      </c>
      <c r="AQ20">
        <v>3</v>
      </c>
    </row>
    <row r="21" spans="1:43" x14ac:dyDescent="0.2">
      <c r="A21" t="s">
        <v>59</v>
      </c>
      <c r="B21" t="s">
        <v>60</v>
      </c>
      <c r="C21" t="s">
        <v>60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10.6</v>
      </c>
      <c r="AE21">
        <v>13</v>
      </c>
      <c r="AF21">
        <v>35.34461139321359</v>
      </c>
      <c r="AG21">
        <v>25.26867086242056</v>
      </c>
      <c r="AH21">
        <v>56.698826236565367</v>
      </c>
      <c r="AI21">
        <f>36.1606622692142*1</f>
        <v>36.1606622692142</v>
      </c>
      <c r="AJ21">
        <f>7.23196946433283*1</f>
        <v>7.2319694643328303</v>
      </c>
      <c r="AK21">
        <v>1</v>
      </c>
      <c r="AL21">
        <v>1</v>
      </c>
      <c r="AM21">
        <v>1</v>
      </c>
      <c r="AO21" t="s">
        <v>14</v>
      </c>
      <c r="AP21">
        <f>SUMPRODUCT(Table1[Selected],Table1[BRE])</f>
        <v>2</v>
      </c>
      <c r="AQ21">
        <v>3</v>
      </c>
    </row>
    <row r="22" spans="1:43" hidden="1" x14ac:dyDescent="0.2">
      <c r="A22" t="s">
        <v>90</v>
      </c>
      <c r="B22" t="s">
        <v>91</v>
      </c>
      <c r="C22" t="s">
        <v>91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83</v>
      </c>
      <c r="AF22">
        <v>17.39130434782609</v>
      </c>
      <c r="AG22">
        <v>11.535488718585659</v>
      </c>
      <c r="AH22">
        <v>56.202555187867688</v>
      </c>
      <c r="AI22">
        <f>23.5200913050839*1</f>
        <v>23.520091305083898</v>
      </c>
      <c r="AJ22">
        <f>4.05449239635897*1</f>
        <v>4.0544923963589703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1</v>
      </c>
      <c r="AQ22">
        <v>3</v>
      </c>
    </row>
    <row r="23" spans="1:43" hidden="1" x14ac:dyDescent="0.2">
      <c r="A23" t="s">
        <v>92</v>
      </c>
      <c r="B23" t="s">
        <v>93</v>
      </c>
      <c r="C23" t="s">
        <v>94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85</v>
      </c>
      <c r="AF23">
        <v>9.53935302446917</v>
      </c>
      <c r="AG23">
        <v>7.6172719987034387</v>
      </c>
      <c r="AH23">
        <v>26.672727272727268</v>
      </c>
      <c r="AI23">
        <f>15.5386609882912*1</f>
        <v>15.5386609882912</v>
      </c>
      <c r="AJ23">
        <f>2.06899357451156*1</f>
        <v>2.06899357451156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1</v>
      </c>
      <c r="AQ23">
        <v>3</v>
      </c>
    </row>
    <row r="24" spans="1:43" hidden="1" x14ac:dyDescent="0.2">
      <c r="A24" t="s">
        <v>95</v>
      </c>
      <c r="B24" t="s">
        <v>96</v>
      </c>
      <c r="C24" t="s">
        <v>96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5.7</v>
      </c>
      <c r="AE24">
        <v>89</v>
      </c>
      <c r="AF24">
        <v>15.72727272727272</v>
      </c>
      <c r="AG24">
        <v>17.167514649503559</v>
      </c>
      <c r="AH24">
        <v>15.429104913766929</v>
      </c>
      <c r="AI24">
        <f>10.355916977059*1</f>
        <v>10.355916977059</v>
      </c>
      <c r="AJ24">
        <f>2.09579299394765*1</f>
        <v>2.0957929939476498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97</v>
      </c>
      <c r="B25" t="s">
        <v>98</v>
      </c>
      <c r="C25" t="s">
        <v>98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93</v>
      </c>
      <c r="AF25">
        <v>16.81818181818182</v>
      </c>
      <c r="AG25">
        <v>19.197267054316971</v>
      </c>
      <c r="AH25">
        <v>21.330209836311671</v>
      </c>
      <c r="AI25">
        <f>11.743915926813*1</f>
        <v>11.743915926812999</v>
      </c>
      <c r="AJ25">
        <f>2.1272030738587*1</f>
        <v>2.1272030738587002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1</v>
      </c>
      <c r="AQ25">
        <v>3</v>
      </c>
    </row>
    <row r="26" spans="1:43" hidden="1" x14ac:dyDescent="0.2">
      <c r="A26" t="s">
        <v>99</v>
      </c>
      <c r="B26" t="s">
        <v>100</v>
      </c>
      <c r="C26" t="s">
        <v>100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95</v>
      </c>
      <c r="AF26">
        <v>11.18181818181818</v>
      </c>
      <c r="AG26">
        <v>9.3761623665146061</v>
      </c>
      <c r="AH26">
        <v>14.751151779497039</v>
      </c>
      <c r="AI26">
        <f>10.3602767421173*1</f>
        <v>10.3602767421173</v>
      </c>
      <c r="AJ26">
        <f>1.95365809750933*1</f>
        <v>1.9536580975093301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101</v>
      </c>
      <c r="B27" t="s">
        <v>102</v>
      </c>
      <c r="C27" t="s">
        <v>103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6.1</v>
      </c>
      <c r="AE27">
        <v>100</v>
      </c>
      <c r="AF27">
        <v>0</v>
      </c>
      <c r="AG27">
        <v>0</v>
      </c>
      <c r="AH27">
        <v>0</v>
      </c>
      <c r="AI27">
        <f>0*1</f>
        <v>0</v>
      </c>
      <c r="AJ27">
        <f>0*1</f>
        <v>0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104</v>
      </c>
      <c r="B28" t="s">
        <v>105</v>
      </c>
      <c r="C28" t="s">
        <v>105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105</v>
      </c>
      <c r="AF28">
        <v>12.83333333333333</v>
      </c>
      <c r="AG28">
        <v>11.26953720910824</v>
      </c>
      <c r="AH28">
        <v>21.06334747316437</v>
      </c>
      <c r="AI28">
        <f>16.9826974635886*1</f>
        <v>16.9826974635886</v>
      </c>
      <c r="AJ28">
        <f>3.57816647668402*1</f>
        <v>3.5781664766840202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x14ac:dyDescent="0.2">
      <c r="A29" t="s">
        <v>106</v>
      </c>
      <c r="B29" t="s">
        <v>107</v>
      </c>
      <c r="C29" t="s">
        <v>107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106</v>
      </c>
      <c r="AF29">
        <v>24.197318645787259</v>
      </c>
      <c r="AG29">
        <v>7.8700140317959866</v>
      </c>
      <c r="AH29">
        <v>34.537500000000001</v>
      </c>
      <c r="AI29">
        <f>39.9464980080573*1</f>
        <v>39.946498008057297</v>
      </c>
      <c r="AJ29">
        <f>6.92922054569739*1</f>
        <v>6.9292205456973903</v>
      </c>
      <c r="AK29">
        <v>1</v>
      </c>
      <c r="AL29">
        <v>0</v>
      </c>
      <c r="AM29">
        <v>1</v>
      </c>
      <c r="AO29" t="s">
        <v>22</v>
      </c>
      <c r="AP29">
        <f>SUMPRODUCT(Table1[Selected],Table1[LIV])</f>
        <v>2</v>
      </c>
      <c r="AQ29">
        <v>3</v>
      </c>
    </row>
    <row r="30" spans="1:43" hidden="1" x14ac:dyDescent="0.2">
      <c r="A30" t="s">
        <v>108</v>
      </c>
      <c r="B30" t="s">
        <v>109</v>
      </c>
      <c r="C30" t="s">
        <v>109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108</v>
      </c>
      <c r="AF30">
        <v>16.078431372549019</v>
      </c>
      <c r="AG30">
        <v>17.605087865491029</v>
      </c>
      <c r="AH30">
        <v>15.536899191508271</v>
      </c>
      <c r="AI30">
        <f>12.7273452990864*1</f>
        <v>12.7273452990864</v>
      </c>
      <c r="AJ30">
        <f>2.57572736938256*1</f>
        <v>2.5757273693825602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0</v>
      </c>
      <c r="AQ30">
        <v>3</v>
      </c>
    </row>
    <row r="31" spans="1:43" hidden="1" x14ac:dyDescent="0.2">
      <c r="A31" t="s">
        <v>110</v>
      </c>
      <c r="B31" t="s">
        <v>111</v>
      </c>
      <c r="C31" t="s">
        <v>111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4.9000000000000004</v>
      </c>
      <c r="AE31">
        <v>111</v>
      </c>
      <c r="AF31">
        <v>13.377192982456149</v>
      </c>
      <c r="AG31">
        <v>11.554138093206451</v>
      </c>
      <c r="AH31">
        <v>11.73506752568081</v>
      </c>
      <c r="AI31">
        <f>15.1437212327074*1</f>
        <v>15.143721232707399</v>
      </c>
      <c r="AJ31">
        <f>3.08577969955211*1</f>
        <v>3.0857796995521101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112</v>
      </c>
      <c r="B32" t="s">
        <v>113</v>
      </c>
      <c r="C32" t="s">
        <v>113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116</v>
      </c>
      <c r="AF32">
        <v>27.54426127902142</v>
      </c>
      <c r="AG32">
        <v>19.84041880048261</v>
      </c>
      <c r="AH32">
        <v>35.933795260702922</v>
      </c>
      <c r="AI32">
        <f>16.8683876466589*1</f>
        <v>16.868387646658899</v>
      </c>
      <c r="AJ32">
        <f>3.15810322467219*1</f>
        <v>3.1581032246721898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0</v>
      </c>
      <c r="AQ32">
        <v>3</v>
      </c>
    </row>
    <row r="33" spans="1:43" hidden="1" x14ac:dyDescent="0.2">
      <c r="A33" t="s">
        <v>114</v>
      </c>
      <c r="B33" t="s">
        <v>115</v>
      </c>
      <c r="C33" t="s">
        <v>115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118</v>
      </c>
      <c r="AF33">
        <v>14.000000000000011</v>
      </c>
      <c r="AG33">
        <v>15.507799103798209</v>
      </c>
      <c r="AH33">
        <v>9.8058705297897593</v>
      </c>
      <c r="AI33">
        <f>11.4351592222911*1</f>
        <v>11.4351592222911</v>
      </c>
      <c r="AJ33">
        <f>2.24976794735454*1</f>
        <v>2.24976794735454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3</v>
      </c>
      <c r="AQ33">
        <v>3</v>
      </c>
    </row>
    <row r="34" spans="1:43" hidden="1" x14ac:dyDescent="0.2">
      <c r="A34" t="s">
        <v>116</v>
      </c>
      <c r="B34" t="s">
        <v>117</v>
      </c>
      <c r="C34" t="s">
        <v>117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121</v>
      </c>
      <c r="AF34">
        <v>14.65686274509804</v>
      </c>
      <c r="AG34">
        <v>17.189928671679709</v>
      </c>
      <c r="AH34">
        <v>6.992265345765345</v>
      </c>
      <c r="AI34">
        <f>13.9045005308577*1</f>
        <v>13.9045005308577</v>
      </c>
      <c r="AJ34">
        <f>2.56508351011476*1</f>
        <v>2.5650835101147602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118</v>
      </c>
      <c r="B35" t="s">
        <v>119</v>
      </c>
      <c r="C35" t="s">
        <v>119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123</v>
      </c>
      <c r="AF35">
        <v>13.25581395348838</v>
      </c>
      <c r="AG35">
        <v>11.35953022945907</v>
      </c>
      <c r="AH35">
        <v>55.122222222222227</v>
      </c>
      <c r="AI35">
        <f>27.1270127166802*1</f>
        <v>27.127012716680198</v>
      </c>
      <c r="AJ35">
        <f>5.14347936515939*1</f>
        <v>5.14347936515939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0</v>
      </c>
      <c r="AQ35">
        <v>3</v>
      </c>
    </row>
    <row r="36" spans="1:43" x14ac:dyDescent="0.2">
      <c r="A36" t="s">
        <v>190</v>
      </c>
      <c r="B36" t="s">
        <v>191</v>
      </c>
      <c r="C36" t="s">
        <v>191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4.5999999999999996</v>
      </c>
      <c r="AE36">
        <v>279</v>
      </c>
      <c r="AF36">
        <v>13.0451127819549</v>
      </c>
      <c r="AG36">
        <v>12.189780228930321</v>
      </c>
      <c r="AH36">
        <v>34.710863300950258</v>
      </c>
      <c r="AI36">
        <f>31.2046896095277*1</f>
        <v>31.204689609527701</v>
      </c>
      <c r="AJ36">
        <f>6.68491900387817*1</f>
        <v>6.6849190038781696</v>
      </c>
      <c r="AK36">
        <v>1</v>
      </c>
      <c r="AL36">
        <v>1</v>
      </c>
      <c r="AM36">
        <v>1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122</v>
      </c>
      <c r="B37" t="s">
        <v>123</v>
      </c>
      <c r="C37" t="s">
        <v>123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139</v>
      </c>
      <c r="AF37">
        <v>8.9473684210526354</v>
      </c>
      <c r="AG37">
        <v>7.0216545791887519</v>
      </c>
      <c r="AH37">
        <v>21.847058823529409</v>
      </c>
      <c r="AI37">
        <f>15.4373909116445*1</f>
        <v>15.437390911644499</v>
      </c>
      <c r="AJ37">
        <f>2.44297331547595*1</f>
        <v>2.4429733154759501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1</v>
      </c>
      <c r="AQ37">
        <v>3</v>
      </c>
    </row>
    <row r="38" spans="1:43" hidden="1" x14ac:dyDescent="0.2">
      <c r="A38" t="s">
        <v>124</v>
      </c>
      <c r="B38" t="s">
        <v>125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6.6</v>
      </c>
      <c r="AE38">
        <v>159</v>
      </c>
      <c r="AF38">
        <v>0</v>
      </c>
      <c r="AG38">
        <v>0</v>
      </c>
      <c r="AH38">
        <v>0</v>
      </c>
      <c r="AI38">
        <f>0*1</f>
        <v>0</v>
      </c>
      <c r="AJ38">
        <f>0*1</f>
        <v>0</v>
      </c>
      <c r="AK38">
        <v>1</v>
      </c>
      <c r="AL38">
        <v>0</v>
      </c>
      <c r="AM38">
        <v>0</v>
      </c>
    </row>
    <row r="39" spans="1:43" hidden="1" x14ac:dyDescent="0.2">
      <c r="A39" t="s">
        <v>126</v>
      </c>
      <c r="B39" t="s">
        <v>127</v>
      </c>
      <c r="C39" t="s">
        <v>127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168</v>
      </c>
      <c r="AF39">
        <v>13.93994215110658</v>
      </c>
      <c r="AG39">
        <v>13.259074309735629</v>
      </c>
      <c r="AH39">
        <v>6.9878928886255149</v>
      </c>
      <c r="AI39">
        <f>4.69696921979937*1</f>
        <v>4.69696921979937</v>
      </c>
      <c r="AJ39">
        <f>0.800247405602581*1</f>
        <v>0.80024740560258101</v>
      </c>
      <c r="AK39">
        <v>1</v>
      </c>
      <c r="AL39">
        <v>0</v>
      </c>
      <c r="AM39">
        <v>0</v>
      </c>
    </row>
    <row r="40" spans="1:43" hidden="1" x14ac:dyDescent="0.2">
      <c r="A40" t="s">
        <v>128</v>
      </c>
      <c r="B40" t="s">
        <v>129</v>
      </c>
      <c r="C40" t="s">
        <v>129</v>
      </c>
      <c r="D40" t="s">
        <v>3</v>
      </c>
      <c r="E40">
        <v>1</v>
      </c>
      <c r="F40">
        <v>0</v>
      </c>
      <c r="G40">
        <v>0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169</v>
      </c>
      <c r="AF40">
        <v>14.848484848484841</v>
      </c>
      <c r="AG40">
        <v>16.90748033365313</v>
      </c>
      <c r="AH40">
        <v>3.4</v>
      </c>
      <c r="AI40">
        <f>8.74173542386483*1</f>
        <v>8.7417354238648297</v>
      </c>
      <c r="AJ40">
        <f>1.20489603317086*1</f>
        <v>1.20489603317086</v>
      </c>
      <c r="AK40">
        <v>1</v>
      </c>
      <c r="AL40">
        <v>0</v>
      </c>
      <c r="AM40">
        <v>0</v>
      </c>
    </row>
    <row r="41" spans="1:43" hidden="1" x14ac:dyDescent="0.2">
      <c r="A41" t="s">
        <v>130</v>
      </c>
      <c r="B41" t="s">
        <v>131</v>
      </c>
      <c r="C41" t="s">
        <v>131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5.8</v>
      </c>
      <c r="AE41">
        <v>171</v>
      </c>
      <c r="AF41">
        <v>15.41979931434447</v>
      </c>
      <c r="AG41">
        <v>13.730693946140709</v>
      </c>
      <c r="AH41">
        <v>9.4489054188724211</v>
      </c>
      <c r="AI41">
        <f>15.9381495276289*1</f>
        <v>15.9381495276289</v>
      </c>
      <c r="AJ41">
        <f>2.84316561812141*1</f>
        <v>2.84316561812141</v>
      </c>
      <c r="AK41">
        <v>1</v>
      </c>
      <c r="AL41">
        <v>0</v>
      </c>
      <c r="AM41">
        <v>0</v>
      </c>
    </row>
    <row r="42" spans="1:43" x14ac:dyDescent="0.2">
      <c r="A42" t="s">
        <v>323</v>
      </c>
      <c r="B42" t="s">
        <v>324</v>
      </c>
      <c r="C42" t="s">
        <v>324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26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536</v>
      </c>
      <c r="AF42">
        <v>15.483870967741939</v>
      </c>
      <c r="AG42">
        <v>24.865754162970919</v>
      </c>
      <c r="AH42">
        <v>17.186846629246318</v>
      </c>
      <c r="AI42">
        <f>28.7043642295939*1</f>
        <v>28.704364229593899</v>
      </c>
      <c r="AJ42">
        <f>6.59020883550769*1</f>
        <v>6.5902088355076902</v>
      </c>
      <c r="AK42">
        <v>1</v>
      </c>
      <c r="AL42">
        <v>1</v>
      </c>
      <c r="AM42">
        <v>1</v>
      </c>
    </row>
    <row r="43" spans="1:43" hidden="1" x14ac:dyDescent="0.2">
      <c r="A43" t="s">
        <v>134</v>
      </c>
      <c r="B43" t="s">
        <v>135</v>
      </c>
      <c r="C43" t="s">
        <v>136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189</v>
      </c>
      <c r="AF43">
        <v>16.160377957408151</v>
      </c>
      <c r="AG43">
        <v>7.8099961976462779</v>
      </c>
      <c r="AH43">
        <v>15.236282161502</v>
      </c>
      <c r="AI43">
        <f>14.7797826509468*1</f>
        <v>14.7797826509468</v>
      </c>
      <c r="AJ43">
        <f>2.89589537404902*1</f>
        <v>2.8958953740490201</v>
      </c>
      <c r="AK43">
        <v>1</v>
      </c>
      <c r="AL43">
        <v>0</v>
      </c>
      <c r="AM43">
        <v>0</v>
      </c>
    </row>
    <row r="44" spans="1:43" hidden="1" x14ac:dyDescent="0.2">
      <c r="A44" t="s">
        <v>137</v>
      </c>
      <c r="B44" t="s">
        <v>138</v>
      </c>
      <c r="C44" t="s">
        <v>138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193</v>
      </c>
      <c r="AF44">
        <v>13.018867924528299</v>
      </c>
      <c r="AG44">
        <v>12.316719650797429</v>
      </c>
      <c r="AH44">
        <v>16.288888888888891</v>
      </c>
      <c r="AI44">
        <f>7.34434085196557*1</f>
        <v>7.34434085196557</v>
      </c>
      <c r="AJ44">
        <f>1.56357997649188*1</f>
        <v>1.5635799764918801</v>
      </c>
      <c r="AK44">
        <v>1</v>
      </c>
      <c r="AL44">
        <v>0</v>
      </c>
      <c r="AM44">
        <v>0</v>
      </c>
    </row>
    <row r="45" spans="1:43" hidden="1" x14ac:dyDescent="0.2">
      <c r="A45" t="s">
        <v>139</v>
      </c>
      <c r="B45" t="s">
        <v>140</v>
      </c>
      <c r="C45" t="s">
        <v>141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5.0999999999999996</v>
      </c>
      <c r="AE45">
        <v>194</v>
      </c>
      <c r="AF45">
        <v>13</v>
      </c>
      <c r="AG45">
        <v>9.7265954654205089</v>
      </c>
      <c r="AH45">
        <v>26.1</v>
      </c>
      <c r="AI45">
        <f>6.75475004175244*1</f>
        <v>6.7547500417524402</v>
      </c>
      <c r="AJ45">
        <f>1.50094866146916*1</f>
        <v>1.5009486614691601</v>
      </c>
      <c r="AK45">
        <v>1</v>
      </c>
      <c r="AL45">
        <v>0</v>
      </c>
      <c r="AM45">
        <v>0</v>
      </c>
    </row>
    <row r="46" spans="1:43" hidden="1" x14ac:dyDescent="0.2">
      <c r="A46" t="s">
        <v>142</v>
      </c>
      <c r="B46" t="s">
        <v>143</v>
      </c>
      <c r="C46" t="s">
        <v>142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199</v>
      </c>
      <c r="AF46">
        <v>17.02449829830341</v>
      </c>
      <c r="AG46">
        <v>9.3551888300478971</v>
      </c>
      <c r="AH46">
        <v>37.580952380952382</v>
      </c>
      <c r="AI46">
        <f>24.9803939563418*1</f>
        <v>24.9803939563418</v>
      </c>
      <c r="AJ46">
        <f>5.81884376325737*1</f>
        <v>5.8188437632573704</v>
      </c>
      <c r="AK46">
        <v>1</v>
      </c>
      <c r="AL46">
        <v>0</v>
      </c>
      <c r="AM46">
        <v>0</v>
      </c>
    </row>
    <row r="47" spans="1:43" hidden="1" x14ac:dyDescent="0.2">
      <c r="A47" t="s">
        <v>144</v>
      </c>
      <c r="B47" t="s">
        <v>145</v>
      </c>
      <c r="C47" t="s">
        <v>145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6.3</v>
      </c>
      <c r="AE47">
        <v>208</v>
      </c>
      <c r="AF47">
        <v>21.11180065375299</v>
      </c>
      <c r="AG47">
        <v>12.13570265477124</v>
      </c>
      <c r="AH47">
        <v>46.592460317460322</v>
      </c>
      <c r="AI47">
        <f>6.45754806529598*1</f>
        <v>6.4575480652959802</v>
      </c>
      <c r="AJ47">
        <f>0.914966355035879*1</f>
        <v>0.91496635503587898</v>
      </c>
      <c r="AK47">
        <v>1</v>
      </c>
      <c r="AL47">
        <v>0</v>
      </c>
      <c r="AM47">
        <v>0</v>
      </c>
    </row>
    <row r="48" spans="1:43" hidden="1" x14ac:dyDescent="0.2">
      <c r="A48" t="s">
        <v>146</v>
      </c>
      <c r="B48" t="s">
        <v>147</v>
      </c>
      <c r="C48" t="s">
        <v>148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8.1999999999999993</v>
      </c>
      <c r="AE48">
        <v>211</v>
      </c>
      <c r="AF48">
        <v>30.82117278202438</v>
      </c>
      <c r="AG48">
        <v>18.908575517519459</v>
      </c>
      <c r="AH48">
        <v>34.293518749695998</v>
      </c>
      <c r="AI48">
        <f>14.3556518440648*1</f>
        <v>14.3556518440648</v>
      </c>
      <c r="AJ48">
        <f>3.1538429243007*1</f>
        <v>3.1538429243007</v>
      </c>
      <c r="AK48">
        <v>1</v>
      </c>
      <c r="AL48">
        <v>0</v>
      </c>
      <c r="AM48">
        <v>0</v>
      </c>
    </row>
    <row r="49" spans="1:39" hidden="1" x14ac:dyDescent="0.2">
      <c r="A49" t="s">
        <v>149</v>
      </c>
      <c r="B49" t="s">
        <v>150</v>
      </c>
      <c r="C49" t="s">
        <v>150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5.8</v>
      </c>
      <c r="AE49">
        <v>212</v>
      </c>
      <c r="AF49">
        <v>12.29166666666667</v>
      </c>
      <c r="AG49">
        <v>7.4729759977698222</v>
      </c>
      <c r="AH49">
        <v>31.64</v>
      </c>
      <c r="AI49">
        <f>9.42838150987436*1</f>
        <v>9.4283815098743595</v>
      </c>
      <c r="AJ49">
        <f>1.83180444488279*1</f>
        <v>1.8318044448827899</v>
      </c>
      <c r="AK49">
        <v>1</v>
      </c>
      <c r="AL49">
        <v>0</v>
      </c>
      <c r="AM49">
        <v>0</v>
      </c>
    </row>
    <row r="50" spans="1:39" x14ac:dyDescent="0.2">
      <c r="A50" t="s">
        <v>88</v>
      </c>
      <c r="B50" t="s">
        <v>89</v>
      </c>
      <c r="C50" t="s">
        <v>89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82</v>
      </c>
      <c r="AF50">
        <v>12.261904761904759</v>
      </c>
      <c r="AG50">
        <v>9.1346289188039353</v>
      </c>
      <c r="AH50">
        <v>36.204828885711237</v>
      </c>
      <c r="AI50">
        <f>30.0274396338542*1</f>
        <v>30.0274396338542</v>
      </c>
      <c r="AJ50">
        <f>5.7846063070179*1</f>
        <v>5.7846063070179001</v>
      </c>
      <c r="AK50">
        <v>1</v>
      </c>
      <c r="AL50">
        <v>0</v>
      </c>
      <c r="AM50">
        <v>1</v>
      </c>
    </row>
    <row r="51" spans="1:39" hidden="1" x14ac:dyDescent="0.2">
      <c r="A51" t="s">
        <v>153</v>
      </c>
      <c r="B51" t="s">
        <v>154</v>
      </c>
      <c r="C51" t="s">
        <v>154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216</v>
      </c>
      <c r="AF51">
        <v>17.83185840707965</v>
      </c>
      <c r="AG51">
        <v>18.079633725543861</v>
      </c>
      <c r="AH51">
        <v>20.392297563547569</v>
      </c>
      <c r="AI51">
        <f>5.4217024657037*1</f>
        <v>5.4217024657037003</v>
      </c>
      <c r="AJ51">
        <f>0.964694796964089*1</f>
        <v>0.964694796964089</v>
      </c>
      <c r="AK51">
        <v>1</v>
      </c>
      <c r="AL51">
        <v>0</v>
      </c>
      <c r="AM51">
        <v>0</v>
      </c>
    </row>
    <row r="52" spans="1:39" hidden="1" x14ac:dyDescent="0.2">
      <c r="A52" t="s">
        <v>155</v>
      </c>
      <c r="B52" t="s">
        <v>156</v>
      </c>
      <c r="C52" t="s">
        <v>157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6.2</v>
      </c>
      <c r="AE52">
        <v>220</v>
      </c>
      <c r="AF52">
        <v>14.445337869041341</v>
      </c>
      <c r="AG52">
        <v>16.112944657853369</v>
      </c>
      <c r="AH52">
        <v>14.342276824413901</v>
      </c>
      <c r="AI52">
        <f>15.4383088454881*1</f>
        <v>15.4383088454881</v>
      </c>
      <c r="AJ52">
        <f>3.40084625594005*1</f>
        <v>3.4008462559400501</v>
      </c>
      <c r="AK52">
        <v>1</v>
      </c>
      <c r="AL52">
        <v>0</v>
      </c>
      <c r="AM52">
        <v>0</v>
      </c>
    </row>
    <row r="53" spans="1:39" hidden="1" x14ac:dyDescent="0.2">
      <c r="A53" t="s">
        <v>158</v>
      </c>
      <c r="B53" t="s">
        <v>159</v>
      </c>
      <c r="C53" t="s">
        <v>159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6.6</v>
      </c>
      <c r="AE53">
        <v>232</v>
      </c>
      <c r="AF53">
        <v>19.49152542372881</v>
      </c>
      <c r="AG53">
        <v>17.809715848128349</v>
      </c>
      <c r="AH53">
        <v>23.19279467470135</v>
      </c>
      <c r="AI53">
        <f>4.16942185493106*1</f>
        <v>4.16942185493106</v>
      </c>
      <c r="AJ53">
        <f>0.748098140166451*1</f>
        <v>0.74809814016645104</v>
      </c>
      <c r="AK53">
        <v>1</v>
      </c>
      <c r="AL53">
        <v>0</v>
      </c>
      <c r="AM53">
        <v>0</v>
      </c>
    </row>
    <row r="54" spans="1:39" hidden="1" x14ac:dyDescent="0.2">
      <c r="A54" t="s">
        <v>139</v>
      </c>
      <c r="B54" t="s">
        <v>160</v>
      </c>
      <c r="C54" t="s">
        <v>160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233</v>
      </c>
      <c r="AF54">
        <v>14.63302752293577</v>
      </c>
      <c r="AG54">
        <v>14.352421392138879</v>
      </c>
      <c r="AH54">
        <v>11.97591214268326</v>
      </c>
      <c r="AI54">
        <f>10.2235637035467*1</f>
        <v>10.2235637035467</v>
      </c>
      <c r="AJ54">
        <f>2.10456009671883*1</f>
        <v>2.10456009671883</v>
      </c>
      <c r="AK54">
        <v>1</v>
      </c>
      <c r="AL54">
        <v>0</v>
      </c>
      <c r="AM54">
        <v>0</v>
      </c>
    </row>
    <row r="55" spans="1:39" hidden="1" x14ac:dyDescent="0.2">
      <c r="A55" t="s">
        <v>161</v>
      </c>
      <c r="B55" t="s">
        <v>162</v>
      </c>
      <c r="C55" t="s">
        <v>162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4.4000000000000004</v>
      </c>
      <c r="AE55">
        <v>234</v>
      </c>
      <c r="AF55">
        <v>19.27835051546392</v>
      </c>
      <c r="AG55">
        <v>21.741970948861951</v>
      </c>
      <c r="AH55">
        <v>12.33158322195426</v>
      </c>
      <c r="AI55">
        <f>16.5422240288625*1</f>
        <v>16.542224028862499</v>
      </c>
      <c r="AJ55">
        <f>2.9992947498583*1</f>
        <v>2.9992947498582998</v>
      </c>
      <c r="AK55">
        <v>1</v>
      </c>
      <c r="AL55">
        <v>0</v>
      </c>
      <c r="AM55">
        <v>0</v>
      </c>
    </row>
    <row r="56" spans="1:39" hidden="1" x14ac:dyDescent="0.2">
      <c r="A56" t="s">
        <v>163</v>
      </c>
      <c r="B56" t="s">
        <v>164</v>
      </c>
      <c r="C56" t="s">
        <v>164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236</v>
      </c>
      <c r="AF56">
        <v>10.52083333333332</v>
      </c>
      <c r="AG56">
        <v>10.6189597822331</v>
      </c>
      <c r="AH56">
        <v>35.350176974602981</v>
      </c>
      <c r="AI56">
        <f>14.3643925515635*1</f>
        <v>14.364392551563499</v>
      </c>
      <c r="AJ56">
        <f>2.6226367704211*1</f>
        <v>2.6226367704211002</v>
      </c>
      <c r="AK56">
        <v>1</v>
      </c>
      <c r="AL56">
        <v>0</v>
      </c>
      <c r="AM56">
        <v>0</v>
      </c>
    </row>
    <row r="57" spans="1:39" hidden="1" x14ac:dyDescent="0.2">
      <c r="A57" t="s">
        <v>165</v>
      </c>
      <c r="B57" t="s">
        <v>166</v>
      </c>
      <c r="C57" t="s">
        <v>166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7.2</v>
      </c>
      <c r="AE57">
        <v>239</v>
      </c>
      <c r="AF57">
        <v>21.230144146196679</v>
      </c>
      <c r="AG57">
        <v>12.49276915970534</v>
      </c>
      <c r="AH57">
        <v>49.436363636363637</v>
      </c>
      <c r="AI57">
        <f>14.1048682582217*1</f>
        <v>14.1048682582217</v>
      </c>
      <c r="AJ57">
        <f>2.64245147418583*1</f>
        <v>2.64245147418583</v>
      </c>
      <c r="AK57">
        <v>1</v>
      </c>
      <c r="AL57">
        <v>0</v>
      </c>
      <c r="AM57">
        <v>0</v>
      </c>
    </row>
    <row r="58" spans="1:39" hidden="1" x14ac:dyDescent="0.2">
      <c r="A58" t="s">
        <v>167</v>
      </c>
      <c r="B58" t="s">
        <v>168</v>
      </c>
      <c r="C58" t="s">
        <v>168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243</v>
      </c>
      <c r="AF58">
        <v>17.499999999999989</v>
      </c>
      <c r="AG58">
        <v>19.172957955215448</v>
      </c>
      <c r="AH58">
        <v>38.16096849541114</v>
      </c>
      <c r="AI58">
        <f>19.8636496813377*1</f>
        <v>19.863649681337701</v>
      </c>
      <c r="AJ58">
        <f>3.65818065608981*1</f>
        <v>3.6581806560898098</v>
      </c>
      <c r="AK58">
        <v>1</v>
      </c>
      <c r="AL58">
        <v>0</v>
      </c>
      <c r="AM58">
        <v>0</v>
      </c>
    </row>
    <row r="59" spans="1:39" hidden="1" x14ac:dyDescent="0.2">
      <c r="A59" t="s">
        <v>169</v>
      </c>
      <c r="B59" t="s">
        <v>170</v>
      </c>
      <c r="C59" t="s">
        <v>171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5.7</v>
      </c>
      <c r="AE59">
        <v>250</v>
      </c>
      <c r="AF59">
        <v>16.744186046511629</v>
      </c>
      <c r="AG59">
        <v>22.525038803024611</v>
      </c>
      <c r="AH59">
        <v>13.99124741215717</v>
      </c>
      <c r="AI59">
        <f>13.4587218628423*1</f>
        <v>13.4587218628423</v>
      </c>
      <c r="AJ59">
        <f>2.34865137999465*1</f>
        <v>2.3486513799946498</v>
      </c>
      <c r="AK59">
        <v>1</v>
      </c>
      <c r="AL59">
        <v>0</v>
      </c>
      <c r="AM59">
        <v>0</v>
      </c>
    </row>
    <row r="60" spans="1:39" hidden="1" x14ac:dyDescent="0.2">
      <c r="A60" t="s">
        <v>172</v>
      </c>
      <c r="B60" t="s">
        <v>173</v>
      </c>
      <c r="C60" t="s">
        <v>174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5.0999999999999996</v>
      </c>
      <c r="AE60">
        <v>259</v>
      </c>
      <c r="AF60">
        <v>15.57894736842106</v>
      </c>
      <c r="AG60">
        <v>15.675059274987539</v>
      </c>
      <c r="AH60">
        <v>12.52185988904246</v>
      </c>
      <c r="AI60">
        <f>11.5144348640857*1</f>
        <v>11.5144348640857</v>
      </c>
      <c r="AJ60">
        <f>2.30570306278388*1</f>
        <v>2.3057030627838802</v>
      </c>
      <c r="AK60">
        <v>1</v>
      </c>
      <c r="AL60">
        <v>0</v>
      </c>
      <c r="AM60">
        <v>0</v>
      </c>
    </row>
    <row r="61" spans="1:39" hidden="1" x14ac:dyDescent="0.2">
      <c r="A61" t="s">
        <v>175</v>
      </c>
      <c r="B61" t="s">
        <v>176</v>
      </c>
      <c r="C61" t="s">
        <v>176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262</v>
      </c>
      <c r="AF61">
        <v>17.434901135084161</v>
      </c>
      <c r="AG61">
        <v>19.780356326317278</v>
      </c>
      <c r="AH61">
        <v>16.090971144288361</v>
      </c>
      <c r="AI61">
        <f>8.39972462473589*1</f>
        <v>8.3997246247358905</v>
      </c>
      <c r="AJ61">
        <f>1.67054250246587*1</f>
        <v>1.67054250246587</v>
      </c>
      <c r="AK61">
        <v>1</v>
      </c>
      <c r="AL61">
        <v>0</v>
      </c>
      <c r="AM61">
        <v>0</v>
      </c>
    </row>
    <row r="62" spans="1:39" hidden="1" x14ac:dyDescent="0.2">
      <c r="A62" t="s">
        <v>177</v>
      </c>
      <c r="B62" t="s">
        <v>178</v>
      </c>
      <c r="C62" t="s">
        <v>179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264</v>
      </c>
      <c r="AF62">
        <v>11.303083910800281</v>
      </c>
      <c r="AG62">
        <v>9.5935422927471166</v>
      </c>
      <c r="AH62">
        <v>11.1051916897414</v>
      </c>
      <c r="AI62">
        <f>8.12686454823066*1</f>
        <v>8.1268645482306603</v>
      </c>
      <c r="AJ62">
        <f>1.72834243936049*1</f>
        <v>1.72834243936049</v>
      </c>
      <c r="AK62">
        <v>1</v>
      </c>
      <c r="AL62">
        <v>0</v>
      </c>
      <c r="AM62">
        <v>0</v>
      </c>
    </row>
    <row r="63" spans="1:39" hidden="1" x14ac:dyDescent="0.2">
      <c r="A63" t="s">
        <v>180</v>
      </c>
      <c r="B63" t="s">
        <v>181</v>
      </c>
      <c r="C63" t="s">
        <v>181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5.4</v>
      </c>
      <c r="AE63">
        <v>272</v>
      </c>
      <c r="AF63">
        <v>16.411886341614011</v>
      </c>
      <c r="AG63">
        <v>16.36144613539588</v>
      </c>
      <c r="AH63">
        <v>21.536821567771948</v>
      </c>
      <c r="AI63">
        <f>15.31355021629*1</f>
        <v>15.31355021629</v>
      </c>
      <c r="AJ63">
        <f>3.12906778018491*1</f>
        <v>3.1290677801849101</v>
      </c>
      <c r="AK63">
        <v>1</v>
      </c>
      <c r="AL63">
        <v>0</v>
      </c>
      <c r="AM63">
        <v>0</v>
      </c>
    </row>
    <row r="64" spans="1:39" hidden="1" x14ac:dyDescent="0.2">
      <c r="A64" t="s">
        <v>182</v>
      </c>
      <c r="B64" t="s">
        <v>183</v>
      </c>
      <c r="C64" t="s">
        <v>183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4.3</v>
      </c>
      <c r="AE64">
        <v>273</v>
      </c>
      <c r="AF64">
        <v>14.57317073170732</v>
      </c>
      <c r="AG64">
        <v>19.229898380603331</v>
      </c>
      <c r="AH64">
        <v>21.319602459565822</v>
      </c>
      <c r="AI64">
        <f>22.073339517326*1</f>
        <v>22.073339517326001</v>
      </c>
      <c r="AJ64">
        <f>4.29328012763715*1</f>
        <v>4.2932801276371499</v>
      </c>
      <c r="AK64">
        <v>1</v>
      </c>
      <c r="AL64">
        <v>0</v>
      </c>
      <c r="AM64">
        <v>0</v>
      </c>
    </row>
    <row r="65" spans="1:39" hidden="1" x14ac:dyDescent="0.2">
      <c r="A65" t="s">
        <v>184</v>
      </c>
      <c r="B65" t="s">
        <v>185</v>
      </c>
      <c r="C65" t="s">
        <v>185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274</v>
      </c>
      <c r="AF65">
        <v>0</v>
      </c>
      <c r="AG65">
        <v>0</v>
      </c>
      <c r="AH65">
        <v>0</v>
      </c>
      <c r="AI65">
        <f>0*1</f>
        <v>0</v>
      </c>
      <c r="AJ65">
        <f>0*1</f>
        <v>0</v>
      </c>
      <c r="AK65">
        <v>1</v>
      </c>
      <c r="AL65">
        <v>0</v>
      </c>
      <c r="AM65">
        <v>0</v>
      </c>
    </row>
    <row r="66" spans="1:39" hidden="1" x14ac:dyDescent="0.2">
      <c r="A66" t="s">
        <v>186</v>
      </c>
      <c r="B66" t="s">
        <v>187</v>
      </c>
      <c r="C66" t="s">
        <v>187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276</v>
      </c>
      <c r="AF66">
        <v>18.161434977578491</v>
      </c>
      <c r="AG66">
        <v>17.89066589921822</v>
      </c>
      <c r="AH66">
        <v>15.834289873119859</v>
      </c>
      <c r="AI66">
        <f>27.0656117707531*1</f>
        <v>27.065611770753101</v>
      </c>
      <c r="AJ66">
        <f>5.53815901777531*1</f>
        <v>5.5381590177753104</v>
      </c>
      <c r="AK66">
        <v>1</v>
      </c>
      <c r="AL66">
        <v>0</v>
      </c>
      <c r="AM66">
        <v>0</v>
      </c>
    </row>
    <row r="67" spans="1:39" hidden="1" x14ac:dyDescent="0.2">
      <c r="A67" t="s">
        <v>188</v>
      </c>
      <c r="B67" t="s">
        <v>189</v>
      </c>
      <c r="C67" t="s">
        <v>189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277</v>
      </c>
      <c r="AF67">
        <v>14.289001721273969</v>
      </c>
      <c r="AG67">
        <v>12.120478340468949</v>
      </c>
      <c r="AH67">
        <v>22.70311919932692</v>
      </c>
      <c r="AI67">
        <f>17.6246808897346*1</f>
        <v>17.624680889734599</v>
      </c>
      <c r="AJ67">
        <f>2.96996144803395*1</f>
        <v>2.96996144803395</v>
      </c>
      <c r="AK67">
        <v>1</v>
      </c>
      <c r="AL67">
        <v>0</v>
      </c>
      <c r="AM67">
        <v>0</v>
      </c>
    </row>
    <row r="68" spans="1:39" x14ac:dyDescent="0.2">
      <c r="A68" t="s">
        <v>120</v>
      </c>
      <c r="B68" t="s">
        <v>121</v>
      </c>
      <c r="C68" t="s">
        <v>121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14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6.2</v>
      </c>
      <c r="AE68">
        <v>127</v>
      </c>
      <c r="AF68">
        <v>26.526571973806981</v>
      </c>
      <c r="AG68">
        <v>16.655919734801461</v>
      </c>
      <c r="AH68">
        <v>24.727715856846309</v>
      </c>
      <c r="AI68">
        <f>26.0555841280812*1</f>
        <v>26.0555841280812</v>
      </c>
      <c r="AJ68">
        <f>5.4492413752135*1</f>
        <v>5.4492413752135</v>
      </c>
      <c r="AK68">
        <v>1</v>
      </c>
      <c r="AL68">
        <v>1</v>
      </c>
      <c r="AM68">
        <v>1</v>
      </c>
    </row>
    <row r="69" spans="1:39" hidden="1" x14ac:dyDescent="0.2">
      <c r="A69" t="s">
        <v>192</v>
      </c>
      <c r="B69" t="s">
        <v>193</v>
      </c>
      <c r="C69" t="s">
        <v>193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286</v>
      </c>
      <c r="AF69">
        <v>9.6491228070175481</v>
      </c>
      <c r="AG69">
        <v>8.9273901356688743</v>
      </c>
      <c r="AH69">
        <v>17.35473544973545</v>
      </c>
      <c r="AI69">
        <f>8.53754246450129*1</f>
        <v>8.5375424645012892</v>
      </c>
      <c r="AJ69">
        <f>1.68016777528136*1</f>
        <v>1.68016777528136</v>
      </c>
      <c r="AK69">
        <v>1</v>
      </c>
      <c r="AL69">
        <v>0</v>
      </c>
      <c r="AM69">
        <v>0</v>
      </c>
    </row>
    <row r="70" spans="1:39" hidden="1" x14ac:dyDescent="0.2">
      <c r="A70" t="s">
        <v>194</v>
      </c>
      <c r="B70" t="s">
        <v>195</v>
      </c>
      <c r="C70" t="s">
        <v>195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288</v>
      </c>
      <c r="AF70">
        <v>10.58287742507312</v>
      </c>
      <c r="AG70">
        <v>8.8963134587958166</v>
      </c>
      <c r="AH70">
        <v>15.6</v>
      </c>
      <c r="AI70">
        <f>8.4840261679404*1</f>
        <v>8.4840261679403994</v>
      </c>
      <c r="AJ70">
        <f>1.79441108519505*1</f>
        <v>1.7944110851950501</v>
      </c>
      <c r="AK70">
        <v>1</v>
      </c>
      <c r="AL70">
        <v>0</v>
      </c>
      <c r="AM70">
        <v>0</v>
      </c>
    </row>
    <row r="71" spans="1:39" hidden="1" x14ac:dyDescent="0.2">
      <c r="A71" t="s">
        <v>196</v>
      </c>
      <c r="B71" t="s">
        <v>197</v>
      </c>
      <c r="C71" t="s">
        <v>197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289</v>
      </c>
      <c r="AF71">
        <v>16.208791208791201</v>
      </c>
      <c r="AG71">
        <v>12.52466385337812</v>
      </c>
      <c r="AH71">
        <v>9.2036792746309892</v>
      </c>
      <c r="AI71">
        <f>8.02638890724152*1</f>
        <v>8.02638890724152</v>
      </c>
      <c r="AJ71">
        <f>1.60507586025257*1</f>
        <v>1.6050758602525701</v>
      </c>
      <c r="AK71">
        <v>1</v>
      </c>
      <c r="AL71">
        <v>0</v>
      </c>
      <c r="AM71">
        <v>0</v>
      </c>
    </row>
    <row r="72" spans="1:39" hidden="1" x14ac:dyDescent="0.2">
      <c r="A72" t="s">
        <v>198</v>
      </c>
      <c r="B72" t="s">
        <v>199</v>
      </c>
      <c r="C72" t="s">
        <v>199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5.7</v>
      </c>
      <c r="AE72">
        <v>299</v>
      </c>
      <c r="AF72">
        <v>21.871321974244211</v>
      </c>
      <c r="AG72">
        <v>12.902324370731019</v>
      </c>
      <c r="AH72">
        <v>33.963520293071959</v>
      </c>
      <c r="AI72">
        <f>24.9221395155243*1</f>
        <v>24.9221395155243</v>
      </c>
      <c r="AJ72">
        <f>5.58020410181601*1</f>
        <v>5.58020410181601</v>
      </c>
      <c r="AK72">
        <v>1</v>
      </c>
      <c r="AL72">
        <v>0</v>
      </c>
      <c r="AM72">
        <v>0</v>
      </c>
    </row>
    <row r="73" spans="1:39" hidden="1" x14ac:dyDescent="0.2">
      <c r="A73" t="s">
        <v>200</v>
      </c>
      <c r="B73" t="s">
        <v>201</v>
      </c>
      <c r="C73" t="s">
        <v>201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300</v>
      </c>
      <c r="AF73">
        <v>17.91794467989229</v>
      </c>
      <c r="AG73">
        <v>18.851191133510259</v>
      </c>
      <c r="AH73">
        <v>11.10813779215164</v>
      </c>
      <c r="AI73">
        <f>14.0124007141311*1</f>
        <v>14.0124007141311</v>
      </c>
      <c r="AJ73">
        <f>2.88302077265084*1</f>
        <v>2.8830207726508399</v>
      </c>
      <c r="AK73">
        <v>1</v>
      </c>
      <c r="AL73">
        <v>0</v>
      </c>
      <c r="AM73">
        <v>0</v>
      </c>
    </row>
    <row r="74" spans="1:39" hidden="1" x14ac:dyDescent="0.2">
      <c r="A74" t="s">
        <v>202</v>
      </c>
      <c r="B74" t="s">
        <v>203</v>
      </c>
      <c r="C74" t="s">
        <v>202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304</v>
      </c>
      <c r="AF74">
        <v>19.00052176501827</v>
      </c>
      <c r="AG74">
        <v>21.20514950364915</v>
      </c>
      <c r="AH74">
        <v>24.174118618130748</v>
      </c>
      <c r="AI74">
        <f>11.9921657480519*1</f>
        <v>11.992165748051899</v>
      </c>
      <c r="AJ74">
        <f>2.30641260936671*1</f>
        <v>2.3064126093667099</v>
      </c>
      <c r="AK74">
        <v>1</v>
      </c>
      <c r="AL74">
        <v>0</v>
      </c>
      <c r="AM74">
        <v>0</v>
      </c>
    </row>
    <row r="75" spans="1:39" hidden="1" x14ac:dyDescent="0.2">
      <c r="A75" t="s">
        <v>204</v>
      </c>
      <c r="B75" t="s">
        <v>205</v>
      </c>
      <c r="C75" t="s">
        <v>205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4.7</v>
      </c>
      <c r="AE75">
        <v>307</v>
      </c>
      <c r="AF75">
        <v>13.169642857142859</v>
      </c>
      <c r="AG75">
        <v>12.22709909786129</v>
      </c>
      <c r="AH75">
        <v>20.19158018365475</v>
      </c>
      <c r="AI75">
        <f>5.00123133811787*1</f>
        <v>5.0012313381178704</v>
      </c>
      <c r="AJ75">
        <f>0.990758405764754*1</f>
        <v>0.99075840576475405</v>
      </c>
      <c r="AK75">
        <v>1</v>
      </c>
      <c r="AL75">
        <v>0</v>
      </c>
      <c r="AM75">
        <v>0</v>
      </c>
    </row>
    <row r="76" spans="1:39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309</v>
      </c>
      <c r="AF76">
        <v>11.90115449715559</v>
      </c>
      <c r="AG76">
        <v>11.65579376131589</v>
      </c>
      <c r="AH76">
        <v>17.356557795188881</v>
      </c>
      <c r="AI76">
        <f>12.7126241772665*1</f>
        <v>12.7126241772665</v>
      </c>
      <c r="AJ76">
        <f>2.99392996639459*1</f>
        <v>2.9939299663945902</v>
      </c>
      <c r="AK76">
        <v>1</v>
      </c>
      <c r="AL76">
        <v>0</v>
      </c>
      <c r="AM76">
        <v>0</v>
      </c>
    </row>
    <row r="77" spans="1:39" hidden="1" x14ac:dyDescent="0.2">
      <c r="A77" t="s">
        <v>208</v>
      </c>
      <c r="B77" t="s">
        <v>209</v>
      </c>
      <c r="C77" t="s">
        <v>209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5.2</v>
      </c>
      <c r="AE77">
        <v>311</v>
      </c>
      <c r="AF77">
        <v>13.22115384615385</v>
      </c>
      <c r="AG77">
        <v>14.29158370058529</v>
      </c>
      <c r="AH77">
        <v>6.4085496672687441</v>
      </c>
      <c r="AI77">
        <f>12.7646834144607*1</f>
        <v>12.7646834144607</v>
      </c>
      <c r="AJ77">
        <f>2.52132908269134*1</f>
        <v>2.5213290826913402</v>
      </c>
      <c r="AK77">
        <v>1</v>
      </c>
      <c r="AL77">
        <v>0</v>
      </c>
      <c r="AM77">
        <v>0</v>
      </c>
    </row>
    <row r="78" spans="1:39" hidden="1" x14ac:dyDescent="0.2">
      <c r="A78" t="s">
        <v>210</v>
      </c>
      <c r="B78" t="s">
        <v>211</v>
      </c>
      <c r="C78" t="s">
        <v>211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323</v>
      </c>
      <c r="AF78">
        <v>0</v>
      </c>
      <c r="AG78">
        <v>0</v>
      </c>
      <c r="AH78">
        <v>0</v>
      </c>
      <c r="AI78">
        <f>0*1</f>
        <v>0</v>
      </c>
      <c r="AJ78">
        <f>0*1</f>
        <v>0</v>
      </c>
      <c r="AK78">
        <v>1</v>
      </c>
      <c r="AL78">
        <v>0</v>
      </c>
      <c r="AM78">
        <v>0</v>
      </c>
    </row>
    <row r="79" spans="1:39" hidden="1" x14ac:dyDescent="0.2">
      <c r="A79" t="s">
        <v>212</v>
      </c>
      <c r="B79" t="s">
        <v>213</v>
      </c>
      <c r="C79" t="s">
        <v>213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5.6</v>
      </c>
      <c r="AE79">
        <v>326</v>
      </c>
      <c r="AF79">
        <v>0</v>
      </c>
      <c r="AG79">
        <v>0</v>
      </c>
      <c r="AH79">
        <v>0</v>
      </c>
      <c r="AI79">
        <f>0*1</f>
        <v>0</v>
      </c>
      <c r="AJ79">
        <f>0*1</f>
        <v>0</v>
      </c>
      <c r="AK79">
        <v>1</v>
      </c>
      <c r="AL79">
        <v>0</v>
      </c>
      <c r="AM79">
        <v>0</v>
      </c>
    </row>
    <row r="80" spans="1:39" hidden="1" x14ac:dyDescent="0.2">
      <c r="A80" t="s">
        <v>214</v>
      </c>
      <c r="B80" t="s">
        <v>215</v>
      </c>
      <c r="C80" t="s">
        <v>216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332</v>
      </c>
      <c r="AF80">
        <v>0</v>
      </c>
      <c r="AG80">
        <v>0</v>
      </c>
      <c r="AH80">
        <v>0</v>
      </c>
      <c r="AI80">
        <f>0*1</f>
        <v>0</v>
      </c>
      <c r="AJ80">
        <f>0*1</f>
        <v>0</v>
      </c>
      <c r="AK80">
        <v>1</v>
      </c>
      <c r="AL80">
        <v>0</v>
      </c>
      <c r="AM80">
        <v>0</v>
      </c>
    </row>
    <row r="81" spans="1:39" hidden="1" x14ac:dyDescent="0.2">
      <c r="A81" t="s">
        <v>217</v>
      </c>
      <c r="B81" t="s">
        <v>218</v>
      </c>
      <c r="C81" t="s">
        <v>218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336</v>
      </c>
      <c r="AF81">
        <v>0</v>
      </c>
      <c r="AG81">
        <v>0</v>
      </c>
      <c r="AH81">
        <v>0</v>
      </c>
      <c r="AI81">
        <f>0*1</f>
        <v>0</v>
      </c>
      <c r="AJ81">
        <f>0*1</f>
        <v>0</v>
      </c>
      <c r="AK81">
        <v>1</v>
      </c>
      <c r="AL81">
        <v>0</v>
      </c>
      <c r="AM81">
        <v>0</v>
      </c>
    </row>
    <row r="82" spans="1:39" hidden="1" x14ac:dyDescent="0.2">
      <c r="A82" t="s">
        <v>219</v>
      </c>
      <c r="B82" t="s">
        <v>220</v>
      </c>
      <c r="C82" t="s">
        <v>220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344</v>
      </c>
      <c r="AF82">
        <v>18.142218882132848</v>
      </c>
      <c r="AG82">
        <v>30.81413389225564</v>
      </c>
      <c r="AH82">
        <v>13.10288434797916</v>
      </c>
      <c r="AI82">
        <f>10.3583331725481*1</f>
        <v>10.3583331725481</v>
      </c>
      <c r="AJ82">
        <f>1.35172314241212*1</f>
        <v>1.3517231424121201</v>
      </c>
      <c r="AK82">
        <v>1</v>
      </c>
      <c r="AL82">
        <v>0</v>
      </c>
      <c r="AM82">
        <v>0</v>
      </c>
    </row>
    <row r="83" spans="1:39" hidden="1" x14ac:dyDescent="0.2">
      <c r="A83" t="s">
        <v>217</v>
      </c>
      <c r="B83" t="s">
        <v>221</v>
      </c>
      <c r="C83" t="s">
        <v>221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5.8</v>
      </c>
      <c r="AE83">
        <v>346</v>
      </c>
      <c r="AF83">
        <v>0</v>
      </c>
      <c r="AG83">
        <v>0</v>
      </c>
      <c r="AH83">
        <v>0</v>
      </c>
      <c r="AI83">
        <f>0*1</f>
        <v>0</v>
      </c>
      <c r="AJ83">
        <f>0*1</f>
        <v>0</v>
      </c>
      <c r="AK83">
        <v>1</v>
      </c>
      <c r="AL83">
        <v>0</v>
      </c>
      <c r="AM83">
        <v>0</v>
      </c>
    </row>
    <row r="84" spans="1:39" hidden="1" x14ac:dyDescent="0.2">
      <c r="A84" t="s">
        <v>222</v>
      </c>
      <c r="B84" t="s">
        <v>223</v>
      </c>
      <c r="C84" t="s">
        <v>223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351</v>
      </c>
      <c r="AF84">
        <v>13.333333333333339</v>
      </c>
      <c r="AG84">
        <v>11.6506115495707</v>
      </c>
      <c r="AH84">
        <v>25.243774230518511</v>
      </c>
      <c r="AI84">
        <f>15.5404617480636*1</f>
        <v>15.540461748063599</v>
      </c>
      <c r="AJ84">
        <f>2.92984781823677*1</f>
        <v>2.92984781823677</v>
      </c>
      <c r="AK84">
        <v>1</v>
      </c>
      <c r="AL84">
        <v>0</v>
      </c>
      <c r="AM84">
        <v>0</v>
      </c>
    </row>
    <row r="85" spans="1:39" hidden="1" x14ac:dyDescent="0.2">
      <c r="A85" t="s">
        <v>186</v>
      </c>
      <c r="B85" t="s">
        <v>224</v>
      </c>
      <c r="C85" t="s">
        <v>225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5.2</v>
      </c>
      <c r="AE85">
        <v>352</v>
      </c>
      <c r="AF85">
        <v>13.89162561576355</v>
      </c>
      <c r="AG85">
        <v>11.94263505500513</v>
      </c>
      <c r="AH85">
        <v>9.5048155155205087</v>
      </c>
      <c r="AI85">
        <f>11.4618548869286*1</f>
        <v>11.461854886928601</v>
      </c>
      <c r="AJ85">
        <f>2.29827521759994*1</f>
        <v>2.2982752175999401</v>
      </c>
      <c r="AK85">
        <v>1</v>
      </c>
      <c r="AL85">
        <v>0</v>
      </c>
      <c r="AM85">
        <v>0</v>
      </c>
    </row>
    <row r="86" spans="1:39" hidden="1" x14ac:dyDescent="0.2">
      <c r="A86" t="s">
        <v>226</v>
      </c>
      <c r="B86" t="s">
        <v>227</v>
      </c>
      <c r="C86" t="s">
        <v>227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5.6</v>
      </c>
      <c r="AE86">
        <v>375</v>
      </c>
      <c r="AF86">
        <v>19.904399009642649</v>
      </c>
      <c r="AG86">
        <v>22.633857506062679</v>
      </c>
      <c r="AH86">
        <v>26.42488373439264</v>
      </c>
      <c r="AI86">
        <f>16.4415950238518*1</f>
        <v>16.4415950238518</v>
      </c>
      <c r="AJ86">
        <f>2.9084520737056*1</f>
        <v>2.9084520737055999</v>
      </c>
      <c r="AK86">
        <v>1</v>
      </c>
      <c r="AL86">
        <v>0</v>
      </c>
      <c r="AM86">
        <v>0</v>
      </c>
    </row>
    <row r="87" spans="1:39" hidden="1" x14ac:dyDescent="0.2">
      <c r="A87" t="s">
        <v>208</v>
      </c>
      <c r="B87" t="s">
        <v>228</v>
      </c>
      <c r="C87" t="s">
        <v>228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</v>
      </c>
      <c r="AE87">
        <v>378</v>
      </c>
      <c r="AF87">
        <v>8.6447949479554609</v>
      </c>
      <c r="AG87">
        <v>8.3398728285033847</v>
      </c>
      <c r="AH87">
        <v>6.1956630591630582</v>
      </c>
      <c r="AI87">
        <f>8.76475012345866*1</f>
        <v>8.7647501234586596</v>
      </c>
      <c r="AJ87">
        <f>1.81848815440498*1</f>
        <v>1.81848815440498</v>
      </c>
      <c r="AK87">
        <v>1</v>
      </c>
      <c r="AL87">
        <v>0</v>
      </c>
      <c r="AM87">
        <v>0</v>
      </c>
    </row>
    <row r="88" spans="1:39" x14ac:dyDescent="0.2">
      <c r="A88" t="s">
        <v>151</v>
      </c>
      <c r="B88" t="s">
        <v>152</v>
      </c>
      <c r="C88" t="s">
        <v>152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11.1</v>
      </c>
      <c r="AE88">
        <v>213</v>
      </c>
      <c r="AF88">
        <v>44.974002506746771</v>
      </c>
      <c r="AG88">
        <v>26.61469520213879</v>
      </c>
      <c r="AH88">
        <v>58.255151404151412</v>
      </c>
      <c r="AI88">
        <f>30.0454347795455*1</f>
        <v>30.045434779545499</v>
      </c>
      <c r="AJ88">
        <f>5.41247108310844*1</f>
        <v>5.4124710831084402</v>
      </c>
      <c r="AK88">
        <v>1</v>
      </c>
      <c r="AL88">
        <v>1</v>
      </c>
      <c r="AM88">
        <v>1</v>
      </c>
    </row>
    <row r="89" spans="1:39" hidden="1" x14ac:dyDescent="0.2">
      <c r="A89" t="s">
        <v>231</v>
      </c>
      <c r="B89" t="s">
        <v>232</v>
      </c>
      <c r="C89" t="s">
        <v>231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7.1</v>
      </c>
      <c r="AE89">
        <v>389</v>
      </c>
      <c r="AF89">
        <v>17.534246575342479</v>
      </c>
      <c r="AG89">
        <v>20.93399640744634</v>
      </c>
      <c r="AH89">
        <v>5.4536833801119506</v>
      </c>
      <c r="AI89">
        <f>10.9370246077176*1</f>
        <v>10.9370246077176</v>
      </c>
      <c r="AJ89">
        <f>1.88462312509934*1</f>
        <v>1.8846231250993399</v>
      </c>
      <c r="AK89">
        <v>1</v>
      </c>
      <c r="AL89">
        <v>0</v>
      </c>
      <c r="AM89">
        <v>0</v>
      </c>
    </row>
    <row r="90" spans="1:39" hidden="1" x14ac:dyDescent="0.2">
      <c r="A90" t="s">
        <v>233</v>
      </c>
      <c r="B90" t="s">
        <v>234</v>
      </c>
      <c r="C90" t="s">
        <v>234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7.1</v>
      </c>
      <c r="AE90">
        <v>394</v>
      </c>
      <c r="AF90">
        <v>15.606060606060611</v>
      </c>
      <c r="AG90">
        <v>19.045968583962161</v>
      </c>
      <c r="AH90">
        <v>28.799134733353519</v>
      </c>
      <c r="AI90">
        <f>15.6782444859743*1</f>
        <v>15.6782444859743</v>
      </c>
      <c r="AJ90">
        <f>2.80691824945852*1</f>
        <v>2.8069182494585201</v>
      </c>
      <c r="AK90">
        <v>1</v>
      </c>
      <c r="AL90">
        <v>0</v>
      </c>
      <c r="AM90">
        <v>0</v>
      </c>
    </row>
    <row r="91" spans="1:39" hidden="1" x14ac:dyDescent="0.2">
      <c r="A91" t="s">
        <v>84</v>
      </c>
      <c r="B91" t="s">
        <v>235</v>
      </c>
      <c r="C91" t="s">
        <v>235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396</v>
      </c>
      <c r="AF91">
        <v>10.12820512820513</v>
      </c>
      <c r="AG91">
        <v>8.5056340857859922</v>
      </c>
      <c r="AH91">
        <v>13.051864875864879</v>
      </c>
      <c r="AI91">
        <f>5.05838962079521*1</f>
        <v>5.0583896207952099</v>
      </c>
      <c r="AJ91">
        <f>0.99139948678809*1</f>
        <v>0.99139948678808998</v>
      </c>
      <c r="AK91">
        <v>1</v>
      </c>
      <c r="AL91">
        <v>0</v>
      </c>
      <c r="AM91">
        <v>0</v>
      </c>
    </row>
    <row r="92" spans="1:39" hidden="1" x14ac:dyDescent="0.2">
      <c r="A92" t="s">
        <v>236</v>
      </c>
      <c r="B92" t="s">
        <v>237</v>
      </c>
      <c r="C92" t="s">
        <v>237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5.3</v>
      </c>
      <c r="AE92">
        <v>397</v>
      </c>
      <c r="AF92">
        <v>11.48936170212766</v>
      </c>
      <c r="AG92">
        <v>8.6063437616155873</v>
      </c>
      <c r="AH92">
        <v>10.72</v>
      </c>
      <c r="AI92">
        <f>18.2460466649893*1</f>
        <v>18.246046664989301</v>
      </c>
      <c r="AJ92">
        <f>3.5991219193326*1</f>
        <v>3.5991219193326001</v>
      </c>
      <c r="AK92">
        <v>1</v>
      </c>
      <c r="AL92">
        <v>0</v>
      </c>
      <c r="AM92">
        <v>0</v>
      </c>
    </row>
    <row r="93" spans="1:39" hidden="1" x14ac:dyDescent="0.2">
      <c r="A93" t="s">
        <v>238</v>
      </c>
      <c r="B93" t="s">
        <v>239</v>
      </c>
      <c r="C93" t="s">
        <v>240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7.4</v>
      </c>
      <c r="AE93">
        <v>400</v>
      </c>
      <c r="AF93">
        <v>19.733333333333331</v>
      </c>
      <c r="AG93">
        <v>13.137364714788919</v>
      </c>
      <c r="AH93">
        <v>14.972186984344271</v>
      </c>
      <c r="AI93">
        <f>2.97531032789432*1</f>
        <v>2.97531032789432</v>
      </c>
      <c r="AJ93">
        <f>0.573460473023463*1</f>
        <v>0.57346047302346304</v>
      </c>
      <c r="AK93">
        <v>1</v>
      </c>
      <c r="AL93">
        <v>0</v>
      </c>
      <c r="AM93">
        <v>0</v>
      </c>
    </row>
    <row r="94" spans="1:39" hidden="1" x14ac:dyDescent="0.2">
      <c r="A94" t="s">
        <v>241</v>
      </c>
      <c r="B94" t="s">
        <v>242</v>
      </c>
      <c r="C94" t="s">
        <v>243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13.3</v>
      </c>
      <c r="AE94">
        <v>401</v>
      </c>
      <c r="AF94">
        <v>35.414746543778797</v>
      </c>
      <c r="AG94">
        <v>35.489765143325272</v>
      </c>
      <c r="AH94">
        <v>50.929821885333872</v>
      </c>
      <c r="AI94">
        <f>50.8562425596757*1</f>
        <v>50.8562425596757</v>
      </c>
      <c r="AJ94">
        <f>10.0552812932306*1</f>
        <v>10.0552812932306</v>
      </c>
      <c r="AK94">
        <v>1</v>
      </c>
      <c r="AL94">
        <v>0</v>
      </c>
      <c r="AM94">
        <v>0</v>
      </c>
    </row>
    <row r="95" spans="1:39" x14ac:dyDescent="0.2">
      <c r="A95" t="s">
        <v>368</v>
      </c>
      <c r="B95" t="s">
        <v>369</v>
      </c>
      <c r="C95" t="s">
        <v>370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30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7.1</v>
      </c>
      <c r="AE95">
        <v>662</v>
      </c>
      <c r="AF95">
        <v>25.448874067516549</v>
      </c>
      <c r="AG95">
        <v>16.133949565115248</v>
      </c>
      <c r="AH95">
        <v>33.329886785828137</v>
      </c>
      <c r="AI95">
        <f>28.1842342132842*1</f>
        <v>28.184234213284199</v>
      </c>
      <c r="AJ95">
        <f>5.07698428301877*1</f>
        <v>5.0769842830187697</v>
      </c>
      <c r="AK95">
        <v>1</v>
      </c>
      <c r="AL95">
        <v>1</v>
      </c>
      <c r="AM95">
        <v>1</v>
      </c>
    </row>
    <row r="96" spans="1:39" hidden="1" x14ac:dyDescent="0.2">
      <c r="A96" t="s">
        <v>246</v>
      </c>
      <c r="B96" t="s">
        <v>247</v>
      </c>
      <c r="C96" t="s">
        <v>247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6.3</v>
      </c>
      <c r="AE96">
        <v>409</v>
      </c>
      <c r="AF96">
        <v>15.10869565217391</v>
      </c>
      <c r="AG96">
        <v>14.232543083735321</v>
      </c>
      <c r="AH96">
        <v>9.2857142857142847</v>
      </c>
      <c r="AI96">
        <f>8.71144526737761*1</f>
        <v>8.7114452673776093</v>
      </c>
      <c r="AJ96">
        <f>1.59408947649918*1</f>
        <v>1.59408947649918</v>
      </c>
      <c r="AK96">
        <v>1</v>
      </c>
      <c r="AL96">
        <v>0</v>
      </c>
      <c r="AM96">
        <v>0</v>
      </c>
    </row>
    <row r="97" spans="1:39" hidden="1" x14ac:dyDescent="0.2">
      <c r="A97" t="s">
        <v>248</v>
      </c>
      <c r="B97" t="s">
        <v>249</v>
      </c>
      <c r="C97" t="s">
        <v>248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6.4</v>
      </c>
      <c r="AE97">
        <v>411</v>
      </c>
      <c r="AF97">
        <v>20.42541441474798</v>
      </c>
      <c r="AG97">
        <v>22.988454998744292</v>
      </c>
      <c r="AH97">
        <v>18.95879654620083</v>
      </c>
      <c r="AI97">
        <f>15.8470469696121*1</f>
        <v>15.8470469696121</v>
      </c>
      <c r="AJ97">
        <f>2.69050045247653*1</f>
        <v>2.6905004524765301</v>
      </c>
      <c r="AK97">
        <v>1</v>
      </c>
      <c r="AL97">
        <v>0</v>
      </c>
      <c r="AM97">
        <v>0</v>
      </c>
    </row>
    <row r="98" spans="1:39" hidden="1" x14ac:dyDescent="0.2">
      <c r="A98" t="s">
        <v>250</v>
      </c>
      <c r="B98" t="s">
        <v>251</v>
      </c>
      <c r="C98" t="s">
        <v>250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6.3</v>
      </c>
      <c r="AE98">
        <v>419</v>
      </c>
      <c r="AF98">
        <v>18.181818181818169</v>
      </c>
      <c r="AG98">
        <v>19.400609528587111</v>
      </c>
      <c r="AH98">
        <v>27.505667871752429</v>
      </c>
      <c r="AI98">
        <f>15.8996755552917*1</f>
        <v>15.899675555291701</v>
      </c>
      <c r="AJ98">
        <f>3.15011308750922*1</f>
        <v>3.15011308750922</v>
      </c>
      <c r="AK98">
        <v>1</v>
      </c>
      <c r="AL98">
        <v>0</v>
      </c>
      <c r="AM98">
        <v>0</v>
      </c>
    </row>
    <row r="99" spans="1:39" hidden="1" x14ac:dyDescent="0.2">
      <c r="A99" t="s">
        <v>252</v>
      </c>
      <c r="B99" t="s">
        <v>253</v>
      </c>
      <c r="C99" t="s">
        <v>253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6.2</v>
      </c>
      <c r="AE99">
        <v>423</v>
      </c>
      <c r="AF99">
        <v>17.368421052631579</v>
      </c>
      <c r="AG99">
        <v>19.639835392328791</v>
      </c>
      <c r="AH99">
        <v>15.171254479991671</v>
      </c>
      <c r="AI99">
        <f>13.3819448386667*1</f>
        <v>13.381944838666699</v>
      </c>
      <c r="AJ99">
        <f>2.60293072428489*1</f>
        <v>2.60293072428489</v>
      </c>
      <c r="AK99">
        <v>1</v>
      </c>
      <c r="AL99">
        <v>0</v>
      </c>
      <c r="AM99">
        <v>0</v>
      </c>
    </row>
    <row r="100" spans="1:39" hidden="1" x14ac:dyDescent="0.2">
      <c r="A100" t="s">
        <v>254</v>
      </c>
      <c r="B100" t="s">
        <v>255</v>
      </c>
      <c r="C100" t="s">
        <v>256</v>
      </c>
      <c r="D100" t="s">
        <v>3</v>
      </c>
      <c r="E100">
        <v>1</v>
      </c>
      <c r="F100">
        <v>0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</v>
      </c>
      <c r="AE100">
        <v>424</v>
      </c>
      <c r="AF100">
        <v>16.481834459893669</v>
      </c>
      <c r="AG100">
        <v>20.098301384315011</v>
      </c>
      <c r="AH100">
        <v>7.2465618596591757</v>
      </c>
      <c r="AI100">
        <f>8.54956846432239*1</f>
        <v>8.5495684643223893</v>
      </c>
      <c r="AJ100">
        <f>1.76575506571372*1</f>
        <v>1.76575506571372</v>
      </c>
      <c r="AK100">
        <v>1</v>
      </c>
      <c r="AL100">
        <v>0</v>
      </c>
      <c r="AM100">
        <v>0</v>
      </c>
    </row>
    <row r="101" spans="1:39" hidden="1" x14ac:dyDescent="0.2">
      <c r="A101" t="s">
        <v>257</v>
      </c>
      <c r="B101" t="s">
        <v>258</v>
      </c>
      <c r="C101" t="s">
        <v>258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6.1</v>
      </c>
      <c r="AE101">
        <v>427</v>
      </c>
      <c r="AF101">
        <v>19.390243902439028</v>
      </c>
      <c r="AG101">
        <v>20.62658044894037</v>
      </c>
      <c r="AH101">
        <v>23.215679225001299</v>
      </c>
      <c r="AI101">
        <f>16.5642529244525*1</f>
        <v>16.5642529244525</v>
      </c>
      <c r="AJ101">
        <f>2.98797364776868*1</f>
        <v>2.9879736477686798</v>
      </c>
      <c r="AK101">
        <v>1</v>
      </c>
      <c r="AL101">
        <v>0</v>
      </c>
      <c r="AM101">
        <v>0</v>
      </c>
    </row>
    <row r="102" spans="1:39" hidden="1" x14ac:dyDescent="0.2">
      <c r="A102" t="s">
        <v>259</v>
      </c>
      <c r="B102" t="s">
        <v>260</v>
      </c>
      <c r="C102" t="s">
        <v>260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14.9</v>
      </c>
      <c r="AE102">
        <v>428</v>
      </c>
      <c r="AF102">
        <v>37.866666666666667</v>
      </c>
      <c r="AG102">
        <v>45.758675027309728</v>
      </c>
      <c r="AH102">
        <v>30.822939819509369</v>
      </c>
      <c r="AI102">
        <f>16.7147600898131*1</f>
        <v>16.714760089813101</v>
      </c>
      <c r="AJ102">
        <f>3.36476557733825*1</f>
        <v>3.3647655773382499</v>
      </c>
      <c r="AK102">
        <v>1</v>
      </c>
      <c r="AL102">
        <v>0</v>
      </c>
      <c r="AM102">
        <v>0</v>
      </c>
    </row>
    <row r="103" spans="1:39" hidden="1" x14ac:dyDescent="0.2">
      <c r="A103" t="s">
        <v>261</v>
      </c>
      <c r="B103" t="s">
        <v>262</v>
      </c>
      <c r="C103" t="s">
        <v>262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5.4</v>
      </c>
      <c r="AE103">
        <v>431</v>
      </c>
      <c r="AF103">
        <v>22.13973323358222</v>
      </c>
      <c r="AG103">
        <v>9.9531197566163687</v>
      </c>
      <c r="AH103">
        <v>18.58483242056921</v>
      </c>
      <c r="AI103">
        <f>6.36209356976083*1</f>
        <v>6.3620935697608303</v>
      </c>
      <c r="AJ103">
        <f>0.979240034589742*1</f>
        <v>0.97924003458974196</v>
      </c>
      <c r="AK103">
        <v>1</v>
      </c>
      <c r="AL103">
        <v>0</v>
      </c>
      <c r="AM103">
        <v>0</v>
      </c>
    </row>
    <row r="104" spans="1:39" hidden="1" x14ac:dyDescent="0.2">
      <c r="A104" t="s">
        <v>263</v>
      </c>
      <c r="B104" t="s">
        <v>264</v>
      </c>
      <c r="C104" t="s">
        <v>265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433</v>
      </c>
      <c r="AF104">
        <v>11.03174603174603</v>
      </c>
      <c r="AG104">
        <v>11.851601522442589</v>
      </c>
      <c r="AH104">
        <v>10.462503704060261</v>
      </c>
      <c r="AI104">
        <f>9.56321174704627*1</f>
        <v>9.5632117470462692</v>
      </c>
      <c r="AJ104">
        <f>1.93028064301474*1</f>
        <v>1.9302806430147399</v>
      </c>
      <c r="AK104">
        <v>1</v>
      </c>
      <c r="AL104">
        <v>0</v>
      </c>
      <c r="AM104">
        <v>0</v>
      </c>
    </row>
    <row r="105" spans="1:39" hidden="1" x14ac:dyDescent="0.2">
      <c r="A105" t="s">
        <v>266</v>
      </c>
      <c r="B105" t="s">
        <v>267</v>
      </c>
      <c r="C105" t="s">
        <v>266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437</v>
      </c>
      <c r="AF105">
        <v>14.453125</v>
      </c>
      <c r="AG105">
        <v>14.59794960872915</v>
      </c>
      <c r="AH105">
        <v>20</v>
      </c>
      <c r="AI105">
        <f>10.3289305110337*1</f>
        <v>10.3289305110337</v>
      </c>
      <c r="AJ105">
        <f>1.93291795865485*1</f>
        <v>1.9329179586548499</v>
      </c>
      <c r="AK105">
        <v>1</v>
      </c>
      <c r="AL105">
        <v>0</v>
      </c>
      <c r="AM105">
        <v>0</v>
      </c>
    </row>
    <row r="106" spans="1:39" hidden="1" x14ac:dyDescent="0.2">
      <c r="A106" t="s">
        <v>268</v>
      </c>
      <c r="B106" t="s">
        <v>269</v>
      </c>
      <c r="C106" t="s">
        <v>269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442</v>
      </c>
      <c r="AF106">
        <v>16.452267615729401</v>
      </c>
      <c r="AG106">
        <v>20.364060830675982</v>
      </c>
      <c r="AH106">
        <v>13.90092330247481</v>
      </c>
      <c r="AI106">
        <f>9.3771005569516*1</f>
        <v>9.3771005569515999</v>
      </c>
      <c r="AJ106">
        <f>1.6408310871565*1</f>
        <v>1.6408310871564999</v>
      </c>
      <c r="AK106">
        <v>1</v>
      </c>
      <c r="AL106">
        <v>0</v>
      </c>
      <c r="AM106">
        <v>0</v>
      </c>
    </row>
    <row r="107" spans="1:39" hidden="1" x14ac:dyDescent="0.2">
      <c r="A107" t="s">
        <v>270</v>
      </c>
      <c r="B107" t="s">
        <v>271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5.0999999999999996</v>
      </c>
      <c r="AE107">
        <v>447</v>
      </c>
      <c r="AF107">
        <v>16.875</v>
      </c>
      <c r="AG107">
        <v>13.58915966923893</v>
      </c>
      <c r="AH107">
        <v>31.08166786916787</v>
      </c>
      <c r="AI107">
        <f>13.8631447306361*1</f>
        <v>13.863144730636099</v>
      </c>
      <c r="AJ107">
        <f>2.80778853439556*1</f>
        <v>2.8077885343955602</v>
      </c>
      <c r="AK107">
        <v>1</v>
      </c>
      <c r="AL107">
        <v>0</v>
      </c>
      <c r="AM107">
        <v>0</v>
      </c>
    </row>
    <row r="108" spans="1:39" x14ac:dyDescent="0.2">
      <c r="A108" t="s">
        <v>325</v>
      </c>
      <c r="B108" t="s">
        <v>326</v>
      </c>
      <c r="C108" t="s">
        <v>326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6.5</v>
      </c>
      <c r="AE108">
        <v>539</v>
      </c>
      <c r="AF108">
        <v>19.661150543584881</v>
      </c>
      <c r="AG108">
        <v>13.958734744456709</v>
      </c>
      <c r="AH108">
        <v>33.587581898190187</v>
      </c>
      <c r="AI108">
        <f>23.197362370133*1</f>
        <v>23.197362370133</v>
      </c>
      <c r="AJ108">
        <f>4.69808803411217*1</f>
        <v>4.6980880341121702</v>
      </c>
      <c r="AK108">
        <v>1</v>
      </c>
      <c r="AL108">
        <v>1</v>
      </c>
      <c r="AM108">
        <v>1</v>
      </c>
    </row>
    <row r="109" spans="1:39" hidden="1" x14ac:dyDescent="0.2">
      <c r="A109" t="s">
        <v>275</v>
      </c>
      <c r="B109" t="s">
        <v>276</v>
      </c>
      <c r="C109" t="s">
        <v>277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4.8</v>
      </c>
      <c r="AE109">
        <v>451</v>
      </c>
      <c r="AF109">
        <v>12.622950819672131</v>
      </c>
      <c r="AG109">
        <v>14.609252505980439</v>
      </c>
      <c r="AH109">
        <v>10.022920165220359</v>
      </c>
      <c r="AI109">
        <f>11.5952080471852*1</f>
        <v>11.595208047185199</v>
      </c>
      <c r="AJ109">
        <f>2.38822820326591*1</f>
        <v>2.3882282032659101</v>
      </c>
      <c r="AK109">
        <v>1</v>
      </c>
      <c r="AL109">
        <v>0</v>
      </c>
      <c r="AM109">
        <v>0</v>
      </c>
    </row>
    <row r="110" spans="1:39" hidden="1" x14ac:dyDescent="0.2">
      <c r="A110" t="s">
        <v>278</v>
      </c>
      <c r="B110" t="s">
        <v>279</v>
      </c>
      <c r="C110" t="s">
        <v>280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452</v>
      </c>
      <c r="AF110">
        <v>16.891891891891909</v>
      </c>
      <c r="AG110">
        <v>18.546920637910361</v>
      </c>
      <c r="AH110">
        <v>12.023031957438819</v>
      </c>
      <c r="AI110">
        <f>6.21991180650158*1</f>
        <v>6.2199118065015799</v>
      </c>
      <c r="AJ110">
        <f>1.20669361133617*1</f>
        <v>1.2066936113361699</v>
      </c>
      <c r="AK110">
        <v>1</v>
      </c>
      <c r="AL110">
        <v>1</v>
      </c>
      <c r="AM110">
        <v>0</v>
      </c>
    </row>
    <row r="111" spans="1:39" hidden="1" x14ac:dyDescent="0.2">
      <c r="A111" t="s">
        <v>281</v>
      </c>
      <c r="B111" t="s">
        <v>282</v>
      </c>
      <c r="C111" t="s">
        <v>282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6.3</v>
      </c>
      <c r="AE111">
        <v>455</v>
      </c>
      <c r="AF111">
        <v>13.77826389312893</v>
      </c>
      <c r="AG111">
        <v>17.465902367253001</v>
      </c>
      <c r="AH111">
        <v>11.902957700118471</v>
      </c>
      <c r="AI111">
        <f>14.7250186478078*1</f>
        <v>14.725018647807801</v>
      </c>
      <c r="AJ111">
        <f>2.94127288044185*1</f>
        <v>2.9412728804418502</v>
      </c>
      <c r="AK111">
        <v>1</v>
      </c>
      <c r="AL111">
        <v>0</v>
      </c>
      <c r="AM111">
        <v>0</v>
      </c>
    </row>
    <row r="112" spans="1:39" hidden="1" x14ac:dyDescent="0.2">
      <c r="A112" t="s">
        <v>283</v>
      </c>
      <c r="B112" t="s">
        <v>284</v>
      </c>
      <c r="C112" t="s">
        <v>77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4.4000000000000004</v>
      </c>
      <c r="AE112">
        <v>463</v>
      </c>
      <c r="AF112">
        <v>13.40425531914893</v>
      </c>
      <c r="AG112">
        <v>16.89934917087059</v>
      </c>
      <c r="AH112">
        <v>15.509387936009819</v>
      </c>
      <c r="AI112">
        <f>17.3012045660313*1</f>
        <v>17.301204566031299</v>
      </c>
      <c r="AJ112">
        <f>3.87209618957959*1</f>
        <v>3.8720961895795898</v>
      </c>
      <c r="AK112">
        <v>1</v>
      </c>
      <c r="AL112">
        <v>0</v>
      </c>
      <c r="AM112">
        <v>0</v>
      </c>
    </row>
    <row r="113" spans="1:39" x14ac:dyDescent="0.2">
      <c r="A113" t="s">
        <v>132</v>
      </c>
      <c r="B113" t="s">
        <v>133</v>
      </c>
      <c r="C113" t="s">
        <v>132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15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5.6</v>
      </c>
      <c r="AE113">
        <v>177</v>
      </c>
      <c r="AF113">
        <v>12.905465148763479</v>
      </c>
      <c r="AG113">
        <v>26.168222621808759</v>
      </c>
      <c r="AH113">
        <v>11.542959183673471</v>
      </c>
      <c r="AI113">
        <f>23.124342149209*1</f>
        <v>23.124342149208999</v>
      </c>
      <c r="AJ113">
        <f>4.36912217787128*1</f>
        <v>4.3691221778712803</v>
      </c>
      <c r="AK113">
        <v>1</v>
      </c>
      <c r="AL113">
        <v>1</v>
      </c>
      <c r="AM113">
        <v>1</v>
      </c>
    </row>
    <row r="114" spans="1:39" hidden="1" x14ac:dyDescent="0.2">
      <c r="A114" t="s">
        <v>97</v>
      </c>
      <c r="B114" t="s">
        <v>287</v>
      </c>
      <c r="C114" t="s">
        <v>287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</v>
      </c>
      <c r="AE114">
        <v>468</v>
      </c>
      <c r="AF114">
        <v>21.827411167512679</v>
      </c>
      <c r="AG114">
        <v>22.384807388430978</v>
      </c>
      <c r="AH114">
        <v>15.33595835410221</v>
      </c>
      <c r="AI114">
        <f>13.331383932687*1</f>
        <v>13.331383932687</v>
      </c>
      <c r="AJ114">
        <f>2.99827933590618*1</f>
        <v>2.9982793359061799</v>
      </c>
      <c r="AK114">
        <v>1</v>
      </c>
      <c r="AL114">
        <v>0</v>
      </c>
      <c r="AM114">
        <v>0</v>
      </c>
    </row>
    <row r="115" spans="1:39" hidden="1" x14ac:dyDescent="0.2">
      <c r="A115" t="s">
        <v>288</v>
      </c>
      <c r="B115" t="s">
        <v>289</v>
      </c>
      <c r="C115" t="s">
        <v>289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6.6</v>
      </c>
      <c r="AE115">
        <v>470</v>
      </c>
      <c r="AF115">
        <v>0</v>
      </c>
      <c r="AG115">
        <v>0</v>
      </c>
      <c r="AH115">
        <v>0</v>
      </c>
      <c r="AI115">
        <f>0*1</f>
        <v>0</v>
      </c>
      <c r="AJ115">
        <f>0*1</f>
        <v>0</v>
      </c>
      <c r="AK115">
        <v>1</v>
      </c>
      <c r="AL115">
        <v>0</v>
      </c>
      <c r="AM115">
        <v>0</v>
      </c>
    </row>
    <row r="116" spans="1:39" hidden="1" x14ac:dyDescent="0.2">
      <c r="A116" t="s">
        <v>290</v>
      </c>
      <c r="B116" t="s">
        <v>291</v>
      </c>
      <c r="C116" t="s">
        <v>292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472</v>
      </c>
      <c r="AF116">
        <v>0</v>
      </c>
      <c r="AG116">
        <v>0</v>
      </c>
      <c r="AH116">
        <v>0</v>
      </c>
      <c r="AI116">
        <f>0*1</f>
        <v>0</v>
      </c>
      <c r="AJ116">
        <f>0*1</f>
        <v>0</v>
      </c>
      <c r="AK116">
        <v>1</v>
      </c>
      <c r="AL116">
        <v>0</v>
      </c>
      <c r="AM116">
        <v>0</v>
      </c>
    </row>
    <row r="117" spans="1:39" hidden="1" x14ac:dyDescent="0.2">
      <c r="A117" t="s">
        <v>293</v>
      </c>
      <c r="B117" t="s">
        <v>294</v>
      </c>
      <c r="C117" t="s">
        <v>294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4.7</v>
      </c>
      <c r="AE117">
        <v>473</v>
      </c>
      <c r="AF117">
        <v>0</v>
      </c>
      <c r="AG117">
        <v>0</v>
      </c>
      <c r="AH117">
        <v>0</v>
      </c>
      <c r="AI117">
        <f>0*1</f>
        <v>0</v>
      </c>
      <c r="AJ117">
        <f>0*1</f>
        <v>0</v>
      </c>
      <c r="AK117">
        <v>1</v>
      </c>
      <c r="AL117">
        <v>0</v>
      </c>
      <c r="AM117">
        <v>0</v>
      </c>
    </row>
    <row r="118" spans="1:39" hidden="1" x14ac:dyDescent="0.2">
      <c r="A118" t="s">
        <v>295</v>
      </c>
      <c r="B118" t="s">
        <v>296</v>
      </c>
      <c r="C118" t="s">
        <v>296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6.2</v>
      </c>
      <c r="AE118">
        <v>483</v>
      </c>
      <c r="AF118">
        <v>19.533175742726399</v>
      </c>
      <c r="AG118">
        <v>19.38575758614116</v>
      </c>
      <c r="AH118">
        <v>15.797811860068879</v>
      </c>
      <c r="AI118">
        <f>6.37270742376809*1</f>
        <v>6.3727074237680901</v>
      </c>
      <c r="AJ118">
        <f>1.25115852448691*1</f>
        <v>1.2511585244869099</v>
      </c>
      <c r="AK118">
        <v>1</v>
      </c>
      <c r="AL118">
        <v>0</v>
      </c>
      <c r="AM118">
        <v>0</v>
      </c>
    </row>
    <row r="119" spans="1:39" hidden="1" x14ac:dyDescent="0.2">
      <c r="A119" t="s">
        <v>272</v>
      </c>
      <c r="B119" t="s">
        <v>297</v>
      </c>
      <c r="C119" t="s">
        <v>298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6.1</v>
      </c>
      <c r="AE119">
        <v>485</v>
      </c>
      <c r="AF119">
        <v>18.26315789473685</v>
      </c>
      <c r="AG119">
        <v>17.91091731376105</v>
      </c>
      <c r="AH119">
        <v>18.234561867878071</v>
      </c>
      <c r="AI119">
        <f>11.1031978516543*1</f>
        <v>11.103197851654301</v>
      </c>
      <c r="AJ119">
        <f>2.26102017614735*1</f>
        <v>2.2610201761473498</v>
      </c>
      <c r="AK119">
        <v>1</v>
      </c>
      <c r="AL119">
        <v>0</v>
      </c>
      <c r="AM119">
        <v>0</v>
      </c>
    </row>
    <row r="120" spans="1:39" hidden="1" x14ac:dyDescent="0.2">
      <c r="A120" t="s">
        <v>299</v>
      </c>
      <c r="B120" t="s">
        <v>300</v>
      </c>
      <c r="C120" t="s">
        <v>300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4.4000000000000004</v>
      </c>
      <c r="AE120">
        <v>486</v>
      </c>
      <c r="AF120">
        <v>13.725471061417791</v>
      </c>
      <c r="AG120">
        <v>13.116630224205959</v>
      </c>
      <c r="AH120">
        <v>5.2014504826140842</v>
      </c>
      <c r="AI120">
        <f>11.9627457664746*1</f>
        <v>11.962745766474599</v>
      </c>
      <c r="AJ120">
        <f>2.17440479981242*1</f>
        <v>2.1744047998124199</v>
      </c>
      <c r="AK120">
        <v>1</v>
      </c>
      <c r="AL120">
        <v>0</v>
      </c>
      <c r="AM120">
        <v>0</v>
      </c>
    </row>
    <row r="121" spans="1:39" hidden="1" x14ac:dyDescent="0.2">
      <c r="A121" t="s">
        <v>301</v>
      </c>
      <c r="B121" t="s">
        <v>302</v>
      </c>
      <c r="C121" t="s">
        <v>302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7.2</v>
      </c>
      <c r="AE121">
        <v>488</v>
      </c>
      <c r="AF121">
        <v>20.815757271632279</v>
      </c>
      <c r="AG121">
        <v>13.584864556651819</v>
      </c>
      <c r="AH121">
        <v>38.813660990255848</v>
      </c>
      <c r="AI121">
        <f>17.5768120132244*1</f>
        <v>17.576812013224401</v>
      </c>
      <c r="AJ121">
        <f>3.58873265022338*1</f>
        <v>3.5887326502233798</v>
      </c>
      <c r="AK121">
        <v>1</v>
      </c>
      <c r="AL121">
        <v>0</v>
      </c>
      <c r="AM121">
        <v>0</v>
      </c>
    </row>
    <row r="122" spans="1:39" hidden="1" x14ac:dyDescent="0.2">
      <c r="A122" t="s">
        <v>303</v>
      </c>
      <c r="B122" t="s">
        <v>304</v>
      </c>
      <c r="C122" t="s">
        <v>304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8.6</v>
      </c>
      <c r="AE122">
        <v>491</v>
      </c>
      <c r="AF122">
        <v>26.774193548387089</v>
      </c>
      <c r="AG122">
        <v>22.64558684859432</v>
      </c>
      <c r="AH122">
        <v>37.343662381582</v>
      </c>
      <c r="AI122">
        <f>21.9789818468392*1</f>
        <v>21.978981846839201</v>
      </c>
      <c r="AJ122">
        <f>4.00896147251599*1</f>
        <v>4.0089614725159901</v>
      </c>
      <c r="AK122">
        <v>1</v>
      </c>
      <c r="AL122">
        <v>0</v>
      </c>
      <c r="AM122">
        <v>0</v>
      </c>
    </row>
    <row r="123" spans="1:39" hidden="1" x14ac:dyDescent="0.2">
      <c r="A123" t="s">
        <v>305</v>
      </c>
      <c r="B123" t="s">
        <v>306</v>
      </c>
      <c r="C123" t="s">
        <v>307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4.9000000000000004</v>
      </c>
      <c r="AE123">
        <v>492</v>
      </c>
      <c r="AF123">
        <v>12.27272727272727</v>
      </c>
      <c r="AG123">
        <v>9.1622862236971514</v>
      </c>
      <c r="AH123">
        <v>19.744369235848641</v>
      </c>
      <c r="AI123">
        <f>11.8342339462893*1</f>
        <v>11.8342339462893</v>
      </c>
      <c r="AJ123">
        <f>2.40517673848554*1</f>
        <v>2.4051767384855398</v>
      </c>
      <c r="AK123">
        <v>1</v>
      </c>
      <c r="AL123">
        <v>0</v>
      </c>
      <c r="AM123">
        <v>0</v>
      </c>
    </row>
    <row r="124" spans="1:39" hidden="1" x14ac:dyDescent="0.2">
      <c r="A124" t="s">
        <v>308</v>
      </c>
      <c r="B124" t="s">
        <v>309</v>
      </c>
      <c r="C124" t="s">
        <v>310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493</v>
      </c>
      <c r="AF124">
        <v>12.93413173652694</v>
      </c>
      <c r="AG124">
        <v>14.1756083863703</v>
      </c>
      <c r="AH124">
        <v>8.9744894394762973</v>
      </c>
      <c r="AI124">
        <f>12.6396908605001*1</f>
        <v>12.639690860500099</v>
      </c>
      <c r="AJ124">
        <f>2.42526845984353*1</f>
        <v>2.4252684598435299</v>
      </c>
      <c r="AK124">
        <v>1</v>
      </c>
      <c r="AL124">
        <v>0</v>
      </c>
      <c r="AM124">
        <v>0</v>
      </c>
    </row>
    <row r="125" spans="1:39" hidden="1" x14ac:dyDescent="0.2">
      <c r="A125" t="s">
        <v>311</v>
      </c>
      <c r="B125" t="s">
        <v>312</v>
      </c>
      <c r="C125" t="s">
        <v>312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505</v>
      </c>
      <c r="AF125">
        <v>14.80684850342387</v>
      </c>
      <c r="AG125">
        <v>16.433284996966851</v>
      </c>
      <c r="AH125">
        <v>10.582815141676701</v>
      </c>
      <c r="AI125">
        <f>10.8341972587423*1</f>
        <v>10.8341972587423</v>
      </c>
      <c r="AJ125">
        <f>2.09005863482773*1</f>
        <v>2.0900586348277299</v>
      </c>
      <c r="AK125">
        <v>1</v>
      </c>
      <c r="AL125">
        <v>0</v>
      </c>
      <c r="AM125">
        <v>0</v>
      </c>
    </row>
    <row r="126" spans="1:39" x14ac:dyDescent="0.2">
      <c r="A126" t="s">
        <v>313</v>
      </c>
      <c r="B126" t="s">
        <v>314</v>
      </c>
      <c r="C126" t="s">
        <v>314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4.9000000000000004</v>
      </c>
      <c r="AE126">
        <v>515</v>
      </c>
      <c r="AF126">
        <v>17.860067501421639</v>
      </c>
      <c r="AG126">
        <v>13.177307123823599</v>
      </c>
      <c r="AH126">
        <v>17.53398164534325</v>
      </c>
      <c r="AI126">
        <f>18.1536807621283*1</f>
        <v>18.1536807621283</v>
      </c>
      <c r="AJ126">
        <f>3.66082093721973*1</f>
        <v>3.66082093721973</v>
      </c>
      <c r="AK126">
        <v>1</v>
      </c>
      <c r="AL126">
        <v>1</v>
      </c>
      <c r="AM126">
        <v>1</v>
      </c>
    </row>
    <row r="127" spans="1:39" hidden="1" x14ac:dyDescent="0.2">
      <c r="A127" t="s">
        <v>315</v>
      </c>
      <c r="B127" t="s">
        <v>316</v>
      </c>
      <c r="C127" t="s">
        <v>316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516</v>
      </c>
      <c r="AF127">
        <v>12.72702768919598</v>
      </c>
      <c r="AG127">
        <v>8.507783036411432</v>
      </c>
      <c r="AH127">
        <v>13.276923076923079</v>
      </c>
      <c r="AI127">
        <f>6.59141898620638*1</f>
        <v>6.5914189862063797</v>
      </c>
      <c r="AJ127">
        <f>1.47353326507422*1</f>
        <v>1.4735332650742199</v>
      </c>
      <c r="AK127">
        <v>1</v>
      </c>
      <c r="AL127">
        <v>0</v>
      </c>
      <c r="AM127">
        <v>0</v>
      </c>
    </row>
    <row r="128" spans="1:39" hidden="1" x14ac:dyDescent="0.2">
      <c r="A128" t="s">
        <v>301</v>
      </c>
      <c r="B128" t="s">
        <v>317</v>
      </c>
      <c r="C128" t="s">
        <v>317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525</v>
      </c>
      <c r="AF128">
        <v>12.15824154691717</v>
      </c>
      <c r="AG128">
        <v>12.5421660813989</v>
      </c>
      <c r="AH128">
        <v>10.039999999999999</v>
      </c>
      <c r="AI128">
        <f>8.25265158428754*1</f>
        <v>8.2526515842875394</v>
      </c>
      <c r="AJ128">
        <f>1.67383593221153*1</f>
        <v>1.6738359322115299</v>
      </c>
      <c r="AK128">
        <v>1</v>
      </c>
      <c r="AL128">
        <v>0</v>
      </c>
      <c r="AM128">
        <v>0</v>
      </c>
    </row>
    <row r="129" spans="1:39" hidden="1" x14ac:dyDescent="0.2">
      <c r="A129" t="s">
        <v>80</v>
      </c>
      <c r="B129" t="s">
        <v>318</v>
      </c>
      <c r="C129" t="s">
        <v>318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526</v>
      </c>
      <c r="AF129">
        <v>19.706353527696969</v>
      </c>
      <c r="AG129">
        <v>10.703684827195479</v>
      </c>
      <c r="AH129">
        <v>39.151048020536521</v>
      </c>
      <c r="AI129">
        <f>8.67860787703795*1</f>
        <v>8.6786078770379493</v>
      </c>
      <c r="AJ129">
        <f>1.56582724605407*1</f>
        <v>1.5658272460540701</v>
      </c>
      <c r="AK129">
        <v>1</v>
      </c>
      <c r="AL129">
        <v>0</v>
      </c>
      <c r="AM129">
        <v>0</v>
      </c>
    </row>
    <row r="130" spans="1:39" hidden="1" x14ac:dyDescent="0.2">
      <c r="A130" t="s">
        <v>319</v>
      </c>
      <c r="B130" t="s">
        <v>320</v>
      </c>
      <c r="C130" t="s">
        <v>320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527</v>
      </c>
      <c r="AF130">
        <v>17.557712081702171</v>
      </c>
      <c r="AG130">
        <v>11.74991524803877</v>
      </c>
      <c r="AH130">
        <v>32.690850865204027</v>
      </c>
      <c r="AI130">
        <f>7.59770238938708*1</f>
        <v>7.5977023893870799</v>
      </c>
      <c r="AJ130">
        <f>1.2339203396283*1</f>
        <v>1.2339203396283001</v>
      </c>
      <c r="AK130">
        <v>1</v>
      </c>
      <c r="AL130">
        <v>0</v>
      </c>
      <c r="AM130">
        <v>0</v>
      </c>
    </row>
    <row r="131" spans="1:39" hidden="1" x14ac:dyDescent="0.2">
      <c r="A131" t="s">
        <v>321</v>
      </c>
      <c r="B131" t="s">
        <v>322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4.5999999999999996</v>
      </c>
      <c r="AE131">
        <v>529</v>
      </c>
      <c r="AF131">
        <v>11.80851063829787</v>
      </c>
      <c r="AG131">
        <v>9.931983321165692</v>
      </c>
      <c r="AH131">
        <v>5</v>
      </c>
      <c r="AI131">
        <f>16.1355330103047*1</f>
        <v>16.135533010304702</v>
      </c>
      <c r="AJ131">
        <f>3.33022073363353*1</f>
        <v>3.3302207336335301</v>
      </c>
      <c r="AK131">
        <v>1</v>
      </c>
      <c r="AL131">
        <v>0</v>
      </c>
      <c r="AM131">
        <v>0</v>
      </c>
    </row>
    <row r="132" spans="1:39" x14ac:dyDescent="0.2">
      <c r="A132" t="s">
        <v>229</v>
      </c>
      <c r="B132" t="s">
        <v>230</v>
      </c>
      <c r="C132" t="s">
        <v>230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</v>
      </c>
      <c r="AE132">
        <v>385</v>
      </c>
      <c r="AF132">
        <v>25.741464723452211</v>
      </c>
      <c r="AG132">
        <v>29.433940105450791</v>
      </c>
      <c r="AH132">
        <v>30.100896066091561</v>
      </c>
      <c r="AI132">
        <f>17.7694845847196*1</f>
        <v>17.769484584719599</v>
      </c>
      <c r="AJ132">
        <f>3.66036777283826*1</f>
        <v>3.66036777283826</v>
      </c>
      <c r="AK132">
        <v>1</v>
      </c>
      <c r="AL132">
        <v>1</v>
      </c>
      <c r="AM132">
        <v>1</v>
      </c>
    </row>
    <row r="133" spans="1:39" x14ac:dyDescent="0.2">
      <c r="A133" t="s">
        <v>285</v>
      </c>
      <c r="B133" t="s">
        <v>286</v>
      </c>
      <c r="C133" t="s">
        <v>286</v>
      </c>
      <c r="D133" t="s">
        <v>3</v>
      </c>
      <c r="E133">
        <v>1</v>
      </c>
      <c r="F133">
        <v>0</v>
      </c>
      <c r="G133">
        <v>0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5.2</v>
      </c>
      <c r="AE133">
        <v>466</v>
      </c>
      <c r="AF133">
        <v>18.75</v>
      </c>
      <c r="AG133">
        <v>14.067506253293841</v>
      </c>
      <c r="AH133">
        <v>16.049978276917081</v>
      </c>
      <c r="AI133">
        <f>9.17054300322754*1</f>
        <v>9.1705430032275395</v>
      </c>
      <c r="AJ133">
        <f>1.89307534870089*1</f>
        <v>1.89307534870089</v>
      </c>
      <c r="AK133">
        <v>1</v>
      </c>
      <c r="AL133">
        <v>1</v>
      </c>
      <c r="AM133">
        <v>1</v>
      </c>
    </row>
    <row r="134" spans="1:39" hidden="1" x14ac:dyDescent="0.2">
      <c r="A134" t="s">
        <v>327</v>
      </c>
      <c r="B134" t="s">
        <v>328</v>
      </c>
      <c r="C134" t="s">
        <v>328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4.5</v>
      </c>
      <c r="AE134">
        <v>543</v>
      </c>
      <c r="AF134">
        <v>0</v>
      </c>
      <c r="AG134">
        <v>0</v>
      </c>
      <c r="AH134">
        <v>0</v>
      </c>
      <c r="AI134">
        <f>0*1</f>
        <v>0</v>
      </c>
      <c r="AJ134">
        <f>0*1</f>
        <v>0</v>
      </c>
      <c r="AK134">
        <v>1</v>
      </c>
      <c r="AL134">
        <v>0</v>
      </c>
      <c r="AM134">
        <v>0</v>
      </c>
    </row>
    <row r="135" spans="1:39" hidden="1" x14ac:dyDescent="0.2">
      <c r="A135" t="s">
        <v>329</v>
      </c>
      <c r="B135" t="s">
        <v>330</v>
      </c>
      <c r="C135" t="s">
        <v>330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4.9000000000000004</v>
      </c>
      <c r="AE135">
        <v>553</v>
      </c>
      <c r="AF135">
        <v>0</v>
      </c>
      <c r="AG135">
        <v>0</v>
      </c>
      <c r="AH135">
        <v>0</v>
      </c>
      <c r="AI135">
        <f>0*1</f>
        <v>0</v>
      </c>
      <c r="AJ135">
        <f>0*1</f>
        <v>0</v>
      </c>
      <c r="AK135">
        <v>1</v>
      </c>
      <c r="AL135">
        <v>0</v>
      </c>
      <c r="AM135">
        <v>0</v>
      </c>
    </row>
    <row r="136" spans="1:39" hidden="1" x14ac:dyDescent="0.2">
      <c r="A136" t="s">
        <v>331</v>
      </c>
      <c r="B136" t="s">
        <v>332</v>
      </c>
      <c r="C136" t="s">
        <v>332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5.0999999999999996</v>
      </c>
      <c r="AE136">
        <v>554</v>
      </c>
      <c r="AF136">
        <v>10.877199231457221</v>
      </c>
      <c r="AG136">
        <v>10.37862597031042</v>
      </c>
      <c r="AH136">
        <v>10.24</v>
      </c>
      <c r="AI136">
        <f>11.4242108877425*1</f>
        <v>11.4242108877425</v>
      </c>
      <c r="AJ136">
        <f>2.35397819005856*1</f>
        <v>2.3539781900585601</v>
      </c>
      <c r="AK136">
        <v>1</v>
      </c>
      <c r="AL136">
        <v>0</v>
      </c>
      <c r="AM136">
        <v>0</v>
      </c>
    </row>
    <row r="137" spans="1:39" hidden="1" x14ac:dyDescent="0.2">
      <c r="A137" t="s">
        <v>333</v>
      </c>
      <c r="B137" t="s">
        <v>334</v>
      </c>
      <c r="C137" t="s">
        <v>334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4.8</v>
      </c>
      <c r="AE137">
        <v>580</v>
      </c>
      <c r="AF137">
        <v>7.8787878787878762</v>
      </c>
      <c r="AG137">
        <v>6.6637733690141578</v>
      </c>
      <c r="AH137">
        <v>15.959577499014561</v>
      </c>
      <c r="AI137">
        <f>9.92990713130243*1</f>
        <v>9.9299071313024303</v>
      </c>
      <c r="AJ137">
        <f>1.97208402893314*1</f>
        <v>1.9720840289331401</v>
      </c>
      <c r="AK137">
        <v>1</v>
      </c>
      <c r="AL137">
        <v>0</v>
      </c>
      <c r="AM137">
        <v>0</v>
      </c>
    </row>
    <row r="138" spans="1:39" hidden="1" x14ac:dyDescent="0.2">
      <c r="A138" t="s">
        <v>335</v>
      </c>
      <c r="B138" t="s">
        <v>336</v>
      </c>
      <c r="C138" t="s">
        <v>337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5</v>
      </c>
      <c r="AE138">
        <v>583</v>
      </c>
      <c r="AF138">
        <v>0</v>
      </c>
      <c r="AG138">
        <v>0</v>
      </c>
      <c r="AH138">
        <v>0</v>
      </c>
      <c r="AI138">
        <f>0*1</f>
        <v>0</v>
      </c>
      <c r="AJ138">
        <f>0*1</f>
        <v>0</v>
      </c>
      <c r="AK138">
        <v>1</v>
      </c>
      <c r="AL138">
        <v>0</v>
      </c>
      <c r="AM138">
        <v>0</v>
      </c>
    </row>
    <row r="139" spans="1:39" hidden="1" x14ac:dyDescent="0.2">
      <c r="A139" t="s">
        <v>338</v>
      </c>
      <c r="B139" t="s">
        <v>339</v>
      </c>
      <c r="C139" t="s">
        <v>339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6.7</v>
      </c>
      <c r="AE139">
        <v>599</v>
      </c>
      <c r="AF139">
        <v>18.294117647058819</v>
      </c>
      <c r="AG139">
        <v>16.223098188477209</v>
      </c>
      <c r="AH139">
        <v>39.04270572861482</v>
      </c>
      <c r="AI139">
        <f>13.0504992261172*1</f>
        <v>13.0504992261172</v>
      </c>
      <c r="AJ139">
        <f>2.45041596057294*1</f>
        <v>2.4504159605729399</v>
      </c>
      <c r="AK139">
        <v>1</v>
      </c>
      <c r="AL139">
        <v>1</v>
      </c>
      <c r="AM139">
        <v>0</v>
      </c>
    </row>
    <row r="140" spans="1:39" hidden="1" x14ac:dyDescent="0.2">
      <c r="A140" t="s">
        <v>340</v>
      </c>
      <c r="B140" t="s">
        <v>341</v>
      </c>
      <c r="C140" t="s">
        <v>341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6.3</v>
      </c>
      <c r="AE140">
        <v>600</v>
      </c>
      <c r="AF140">
        <v>19.3010752688172</v>
      </c>
      <c r="AG140">
        <v>17.881927292307381</v>
      </c>
      <c r="AH140">
        <v>8.1746285703852841</v>
      </c>
      <c r="AI140">
        <f>12.4897291078227*1</f>
        <v>12.489729107822701</v>
      </c>
      <c r="AJ140">
        <f>2.40852916598311*1</f>
        <v>2.4085291659831101</v>
      </c>
      <c r="AK140">
        <v>1</v>
      </c>
      <c r="AL140">
        <v>0</v>
      </c>
      <c r="AM140">
        <v>0</v>
      </c>
    </row>
    <row r="141" spans="1:39" hidden="1" x14ac:dyDescent="0.2">
      <c r="A141" t="s">
        <v>188</v>
      </c>
      <c r="B141" t="s">
        <v>342</v>
      </c>
      <c r="C141" t="s">
        <v>342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7.6</v>
      </c>
      <c r="AE141">
        <v>602</v>
      </c>
      <c r="AF141">
        <v>22.186987247933921</v>
      </c>
      <c r="AG141">
        <v>22.175358439937469</v>
      </c>
      <c r="AH141">
        <v>19.460926318822221</v>
      </c>
      <c r="AI141">
        <f>13.7469066867033*1</f>
        <v>13.7469066867033</v>
      </c>
      <c r="AJ141">
        <f>2.45722708405809*1</f>
        <v>2.4572270840580899</v>
      </c>
      <c r="AK141">
        <v>1</v>
      </c>
      <c r="AL141">
        <v>1</v>
      </c>
      <c r="AM141">
        <v>0</v>
      </c>
    </row>
    <row r="142" spans="1:39" hidden="1" x14ac:dyDescent="0.2">
      <c r="A142" t="s">
        <v>155</v>
      </c>
      <c r="B142" t="s">
        <v>343</v>
      </c>
      <c r="C142" t="s">
        <v>344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5.6</v>
      </c>
      <c r="AE142">
        <v>603</v>
      </c>
      <c r="AF142">
        <v>19.04761904761904</v>
      </c>
      <c r="AG142">
        <v>25.02697280790327</v>
      </c>
      <c r="AH142">
        <v>12.046909971374619</v>
      </c>
      <c r="AI142">
        <f>17.7488741808241*1</f>
        <v>17.7488741808241</v>
      </c>
      <c r="AJ142">
        <f>3.74535239248135*1</f>
        <v>3.7453523924813501</v>
      </c>
      <c r="AK142">
        <v>1</v>
      </c>
      <c r="AL142">
        <v>0</v>
      </c>
      <c r="AM142">
        <v>0</v>
      </c>
    </row>
    <row r="143" spans="1:39" hidden="1" x14ac:dyDescent="0.2">
      <c r="A143" t="s">
        <v>345</v>
      </c>
      <c r="B143" t="s">
        <v>346</v>
      </c>
      <c r="C143" t="s">
        <v>345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9.8000000000000007</v>
      </c>
      <c r="AE143">
        <v>610</v>
      </c>
      <c r="AF143">
        <v>25.75491002447643</v>
      </c>
      <c r="AG143">
        <v>27.913001179082489</v>
      </c>
      <c r="AH143">
        <v>21.324008905396571</v>
      </c>
      <c r="AI143">
        <f>12.2661895638048*1</f>
        <v>12.266189563804801</v>
      </c>
      <c r="AJ143">
        <f>2.23065532273994*1</f>
        <v>2.2306553227399402</v>
      </c>
      <c r="AK143">
        <v>1</v>
      </c>
      <c r="AL143">
        <v>0</v>
      </c>
      <c r="AM143">
        <v>0</v>
      </c>
    </row>
    <row r="144" spans="1:39" hidden="1" x14ac:dyDescent="0.2">
      <c r="A144" t="s">
        <v>347</v>
      </c>
      <c r="B144" t="s">
        <v>348</v>
      </c>
      <c r="C144" t="s">
        <v>348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4.9000000000000004</v>
      </c>
      <c r="AE144">
        <v>612</v>
      </c>
      <c r="AF144">
        <v>13.02325581395349</v>
      </c>
      <c r="AG144">
        <v>11.2177330768888</v>
      </c>
      <c r="AH144">
        <v>8.403990649016027</v>
      </c>
      <c r="AI144">
        <f>9.8356135105681*1</f>
        <v>9.8356135105681002</v>
      </c>
      <c r="AJ144">
        <f>1.89481157492957*1</f>
        <v>1.89481157492957</v>
      </c>
      <c r="AK144">
        <v>1</v>
      </c>
      <c r="AL144">
        <v>0</v>
      </c>
      <c r="AM144">
        <v>0</v>
      </c>
    </row>
    <row r="145" spans="1:39" hidden="1" x14ac:dyDescent="0.2">
      <c r="A145" t="s">
        <v>349</v>
      </c>
      <c r="B145" t="s">
        <v>350</v>
      </c>
      <c r="C145" t="s">
        <v>350</v>
      </c>
      <c r="D145" t="s">
        <v>3</v>
      </c>
      <c r="E145">
        <v>1</v>
      </c>
      <c r="F145">
        <v>0</v>
      </c>
      <c r="G145">
        <v>0</v>
      </c>
      <c r="H145">
        <v>0</v>
      </c>
      <c r="I145" t="s">
        <v>28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4.9000000000000004</v>
      </c>
      <c r="AE145">
        <v>615</v>
      </c>
      <c r="AF145">
        <v>15.208333333333339</v>
      </c>
      <c r="AG145">
        <v>18.482738545051369</v>
      </c>
      <c r="AH145">
        <v>18.511989787553279</v>
      </c>
      <c r="AI145">
        <f>10.9541837999284*1</f>
        <v>10.9541837999284</v>
      </c>
      <c r="AJ145">
        <f>1.80442291142912*1</f>
        <v>1.8044229114291199</v>
      </c>
      <c r="AK145">
        <v>1</v>
      </c>
      <c r="AL145">
        <v>0</v>
      </c>
      <c r="AM145">
        <v>0</v>
      </c>
    </row>
    <row r="146" spans="1:39" hidden="1" x14ac:dyDescent="0.2">
      <c r="A146" t="s">
        <v>351</v>
      </c>
      <c r="B146" t="s">
        <v>352</v>
      </c>
      <c r="C146" t="s">
        <v>352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6.2</v>
      </c>
      <c r="AE146">
        <v>616</v>
      </c>
      <c r="AF146">
        <v>16.907894736842099</v>
      </c>
      <c r="AG146">
        <v>17.371561205179141</v>
      </c>
      <c r="AH146">
        <v>11.28396126376777</v>
      </c>
      <c r="AI146">
        <f>11.266204637874*1</f>
        <v>11.266204637874001</v>
      </c>
      <c r="AJ146">
        <f>2.01167515034855*1</f>
        <v>2.0116751503485499</v>
      </c>
      <c r="AK146">
        <v>1</v>
      </c>
      <c r="AL146">
        <v>0</v>
      </c>
      <c r="AM146">
        <v>0</v>
      </c>
    </row>
    <row r="147" spans="1:39" hidden="1" x14ac:dyDescent="0.2">
      <c r="A147" t="s">
        <v>353</v>
      </c>
      <c r="B147" t="s">
        <v>354</v>
      </c>
      <c r="C147" t="s">
        <v>354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4.5999999999999996</v>
      </c>
      <c r="AE147">
        <v>624</v>
      </c>
      <c r="AF147">
        <v>16.13372093023257</v>
      </c>
      <c r="AG147">
        <v>16.773208676046298</v>
      </c>
      <c r="AH147">
        <v>9.2395480596449833</v>
      </c>
      <c r="AI147">
        <f>19.1326629942055*1</f>
        <v>19.1326629942055</v>
      </c>
      <c r="AJ147">
        <f>4.04409098442648*1</f>
        <v>4.0440909844264796</v>
      </c>
      <c r="AK147">
        <v>1</v>
      </c>
      <c r="AL147">
        <v>0</v>
      </c>
      <c r="AM147">
        <v>0</v>
      </c>
    </row>
    <row r="148" spans="1:39" hidden="1" x14ac:dyDescent="0.2">
      <c r="A148" t="s">
        <v>355</v>
      </c>
      <c r="B148" t="s">
        <v>356</v>
      </c>
      <c r="C148" t="s">
        <v>356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7.4</v>
      </c>
      <c r="AE148">
        <v>628</v>
      </c>
      <c r="AF148">
        <v>22.31090706738539</v>
      </c>
      <c r="AG148">
        <v>21.83691641308241</v>
      </c>
      <c r="AH148">
        <v>45.796560102505538</v>
      </c>
      <c r="AI148">
        <f>27.1980366315183*1</f>
        <v>27.198036631518299</v>
      </c>
      <c r="AJ148">
        <f>6.06255590051249*1</f>
        <v>6.06255590051249</v>
      </c>
      <c r="AK148">
        <v>1</v>
      </c>
      <c r="AL148">
        <v>0</v>
      </c>
      <c r="AM148">
        <v>0</v>
      </c>
    </row>
    <row r="149" spans="1:39" hidden="1" x14ac:dyDescent="0.2">
      <c r="A149" t="s">
        <v>357</v>
      </c>
      <c r="B149" t="s">
        <v>358</v>
      </c>
      <c r="C149" t="s">
        <v>357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4.4000000000000004</v>
      </c>
      <c r="AE149">
        <v>632</v>
      </c>
      <c r="AF149">
        <v>9.8682263476608032</v>
      </c>
      <c r="AG149">
        <v>13.313720153526811</v>
      </c>
      <c r="AH149">
        <v>5.3898320482935871</v>
      </c>
      <c r="AI149">
        <f>13.0246299347*1</f>
        <v>13.0246299347</v>
      </c>
      <c r="AJ149">
        <f>2.66021602523529*1</f>
        <v>2.66021602523529</v>
      </c>
      <c r="AK149">
        <v>1</v>
      </c>
      <c r="AL149">
        <v>0</v>
      </c>
      <c r="AM149">
        <v>0</v>
      </c>
    </row>
    <row r="150" spans="1:39" hidden="1" x14ac:dyDescent="0.2">
      <c r="A150" t="s">
        <v>359</v>
      </c>
      <c r="B150" t="s">
        <v>360</v>
      </c>
      <c r="C150" t="s">
        <v>360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4.5</v>
      </c>
      <c r="AE150">
        <v>636</v>
      </c>
      <c r="AF150">
        <v>14.136690647482</v>
      </c>
      <c r="AG150">
        <v>15.32024446882073</v>
      </c>
      <c r="AH150">
        <v>6.6931402098237633</v>
      </c>
      <c r="AI150">
        <f>10.586267834299*1</f>
        <v>10.586267834299001</v>
      </c>
      <c r="AJ150">
        <f>1.92146294529644*1</f>
        <v>1.92146294529644</v>
      </c>
      <c r="AK150">
        <v>1</v>
      </c>
      <c r="AL150">
        <v>0</v>
      </c>
      <c r="AM150">
        <v>0</v>
      </c>
    </row>
    <row r="151" spans="1:39" hidden="1" x14ac:dyDescent="0.2">
      <c r="A151" t="s">
        <v>361</v>
      </c>
      <c r="B151" t="s">
        <v>362</v>
      </c>
      <c r="C151" t="s">
        <v>363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5.7</v>
      </c>
      <c r="AE151">
        <v>639</v>
      </c>
      <c r="AF151">
        <v>17.168482505034</v>
      </c>
      <c r="AG151">
        <v>16.514929146327539</v>
      </c>
      <c r="AH151">
        <v>12.11641667478583</v>
      </c>
      <c r="AI151">
        <f>10.8770706647528*1</f>
        <v>10.8770706647528</v>
      </c>
      <c r="AJ151">
        <f>2.0732642219943*1</f>
        <v>2.0732642219942998</v>
      </c>
      <c r="AK151">
        <v>1</v>
      </c>
      <c r="AL151">
        <v>0</v>
      </c>
      <c r="AM151">
        <v>0</v>
      </c>
    </row>
    <row r="152" spans="1:39" hidden="1" x14ac:dyDescent="0.2">
      <c r="A152" t="s">
        <v>364</v>
      </c>
      <c r="B152" t="s">
        <v>365</v>
      </c>
      <c r="C152" t="s">
        <v>365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4.9000000000000004</v>
      </c>
      <c r="AE152">
        <v>642</v>
      </c>
      <c r="AF152">
        <v>16.666666666666661</v>
      </c>
      <c r="AG152">
        <v>11.264676844922191</v>
      </c>
      <c r="AH152">
        <v>27.949728937728931</v>
      </c>
      <c r="AI152">
        <f>17.5715009808428*1</f>
        <v>17.571500980842799</v>
      </c>
      <c r="AJ152">
        <f>3.25601498600933*1</f>
        <v>3.2560149860093301</v>
      </c>
      <c r="AK152">
        <v>1</v>
      </c>
      <c r="AL152">
        <v>0</v>
      </c>
      <c r="AM152">
        <v>0</v>
      </c>
    </row>
    <row r="153" spans="1:39" hidden="1" x14ac:dyDescent="0.2">
      <c r="A153" t="s">
        <v>366</v>
      </c>
      <c r="B153" t="s">
        <v>367</v>
      </c>
      <c r="C153" t="s">
        <v>367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4.9000000000000004</v>
      </c>
      <c r="AE153">
        <v>654</v>
      </c>
      <c r="AF153">
        <v>11.262142828407891</v>
      </c>
      <c r="AG153">
        <v>10.259901942921561</v>
      </c>
      <c r="AH153">
        <v>9.1539342888425139</v>
      </c>
      <c r="AI153">
        <f>15.8445890667629*1</f>
        <v>15.8445890667629</v>
      </c>
      <c r="AJ153">
        <f>2.36372314528866*1</f>
        <v>2.36372314528866</v>
      </c>
      <c r="AK153">
        <v>1</v>
      </c>
      <c r="AL153">
        <v>0</v>
      </c>
      <c r="AM153">
        <v>0</v>
      </c>
    </row>
    <row r="154" spans="1:39" x14ac:dyDescent="0.2">
      <c r="A154" t="s">
        <v>244</v>
      </c>
      <c r="B154" t="s">
        <v>245</v>
      </c>
      <c r="C154" t="s">
        <v>245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5.9</v>
      </c>
      <c r="AE154">
        <v>408</v>
      </c>
      <c r="AF154">
        <v>18.51787612306633</v>
      </c>
      <c r="AG154">
        <v>19.626861820367381</v>
      </c>
      <c r="AH154">
        <v>9.3024710650474987</v>
      </c>
      <c r="AI154">
        <f>10.0106976439458*1</f>
        <v>10.0106976439458</v>
      </c>
      <c r="AJ154">
        <f>1.56962781484966*1</f>
        <v>1.5696278148496601</v>
      </c>
      <c r="AK154">
        <v>1</v>
      </c>
      <c r="AL154">
        <v>1</v>
      </c>
      <c r="AM154">
        <v>1</v>
      </c>
    </row>
    <row r="155" spans="1:39" hidden="1" x14ac:dyDescent="0.2">
      <c r="A155" t="s">
        <v>371</v>
      </c>
      <c r="B155" t="s">
        <v>372</v>
      </c>
      <c r="C155" t="s">
        <v>373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674</v>
      </c>
      <c r="AF155">
        <v>10.947914399042689</v>
      </c>
      <c r="AG155">
        <v>8.9073617283906259</v>
      </c>
      <c r="AH155">
        <v>8.933123041641263</v>
      </c>
      <c r="AI155">
        <f>14.7331799823647*1</f>
        <v>14.7331799823647</v>
      </c>
      <c r="AJ155">
        <f>2.86067616792897*1</f>
        <v>2.8606761679289701</v>
      </c>
      <c r="AK155">
        <v>1</v>
      </c>
      <c r="AL155">
        <v>0</v>
      </c>
      <c r="AM155">
        <v>0</v>
      </c>
    </row>
    <row r="156" spans="1:39" hidden="1" x14ac:dyDescent="0.2">
      <c r="A156" t="s">
        <v>374</v>
      </c>
      <c r="B156" t="s">
        <v>375</v>
      </c>
      <c r="C156" t="s">
        <v>376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678</v>
      </c>
      <c r="AF156">
        <v>11.66666666666668</v>
      </c>
      <c r="AG156">
        <v>10.171937695335791</v>
      </c>
      <c r="AH156">
        <v>11.041983723408</v>
      </c>
      <c r="AI156">
        <f>8.58085031536852*1</f>
        <v>8.5808503153685205</v>
      </c>
      <c r="AJ156">
        <f>1.62694798864881*1</f>
        <v>1.6269479886488101</v>
      </c>
      <c r="AK156">
        <v>1</v>
      </c>
      <c r="AL156">
        <v>0</v>
      </c>
      <c r="AM156">
        <v>0</v>
      </c>
    </row>
    <row r="157" spans="1:39" hidden="1" x14ac:dyDescent="0.2">
      <c r="A157" t="s">
        <v>377</v>
      </c>
      <c r="B157" t="s">
        <v>378</v>
      </c>
      <c r="C157" t="s">
        <v>378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5.7</v>
      </c>
      <c r="AE157">
        <v>686</v>
      </c>
      <c r="AF157">
        <v>0</v>
      </c>
      <c r="AG157">
        <v>0</v>
      </c>
      <c r="AH157">
        <v>0</v>
      </c>
      <c r="AI157">
        <f>0*1</f>
        <v>0</v>
      </c>
      <c r="AJ157">
        <f>0*1</f>
        <v>0</v>
      </c>
      <c r="AK157">
        <v>1</v>
      </c>
      <c r="AL157">
        <v>0</v>
      </c>
      <c r="AM15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2024-12-13T22:11:39Z</dcterms:created>
  <dcterms:modified xsi:type="dcterms:W3CDTF">2024-12-13T22:36:31Z</dcterms:modified>
</cp:coreProperties>
</file>