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Calibrations/2023-24/"/>
    </mc:Choice>
  </mc:AlternateContent>
  <xr:revisionPtr revIDLastSave="0" documentId="13_ncr:1_{30F6367E-731E-3A43-992D-C3C8BE18E337}" xr6:coauthVersionLast="47" xr6:coauthVersionMax="47" xr10:uidLastSave="{00000000-0000-0000-0000-000000000000}"/>
  <bookViews>
    <workbookView xWindow="0" yWindow="760" windowWidth="34560" windowHeight="21580" activeTab="18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BUR" sheetId="6" r:id="rId6"/>
    <sheet name="CHE" sheetId="7" r:id="rId7"/>
    <sheet name="CRY" sheetId="8" r:id="rId8"/>
    <sheet name="EVE" sheetId="9" r:id="rId9"/>
    <sheet name="FUL" sheetId="10" r:id="rId10"/>
    <sheet name="LIV" sheetId="11" r:id="rId11"/>
    <sheet name="MCI" sheetId="12" r:id="rId12"/>
    <sheet name="MUN" sheetId="13" r:id="rId13"/>
    <sheet name="NEW" sheetId="14" r:id="rId14"/>
    <sheet name="NFO" sheetId="15" r:id="rId15"/>
    <sheet name="SHU" sheetId="16" r:id="rId16"/>
    <sheet name="TOT" sheetId="17" r:id="rId17"/>
    <sheet name="WHU" sheetId="18" r:id="rId18"/>
    <sheet name="WOL" sheetId="19" r:id="rId19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BUR!$I$2:$I$3</definedName>
    <definedName name="solver_adj" localSheetId="6" hidden="1">CHE!$I$2:$I$3</definedName>
    <definedName name="solver_adj" localSheetId="7" hidden="1">CRY!$I$2:$I$3</definedName>
    <definedName name="solver_adj" localSheetId="8" hidden="1">EVE!$I$2:$I$3</definedName>
    <definedName name="solver_adj" localSheetId="9" hidden="1">FUL!$I$2:$I$3</definedName>
    <definedName name="solver_adj" localSheetId="10" hidden="1">LIV!$I$2:$I$3</definedName>
    <definedName name="solver_adj" localSheetId="11" hidden="1">MCI!$I$2:$I$3</definedName>
    <definedName name="solver_adj" localSheetId="12" hidden="1">MUN!$I$2:$I$3</definedName>
    <definedName name="solver_adj" localSheetId="13" hidden="1">NEW!$I$2:$I$3</definedName>
    <definedName name="solver_adj" localSheetId="14" hidden="1">NFO!$I$2:$I$3</definedName>
    <definedName name="solver_adj" localSheetId="15" hidden="1">SHU!$I$2:$I$3</definedName>
    <definedName name="solver_adj" localSheetId="16" hidden="1">TOT!$I$2:$I$3</definedName>
    <definedName name="solver_adj" localSheetId="17" hidden="1">WHU!$I$2:$I$3</definedName>
    <definedName name="solver_adj" localSheetId="18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lin" localSheetId="0" hidden="1">2</definedName>
    <definedName name="solver_lin" localSheetId="1" hidden="1">2</definedName>
    <definedName name="solver_lin" localSheetId="4" hidden="1">2</definedName>
    <definedName name="solver_lin" localSheetId="2" hidden="1">2</definedName>
    <definedName name="solver_lin" localSheetId="3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BUR!$I$5</definedName>
    <definedName name="solver_opt" localSheetId="6" hidden="1">CHE!$I$5</definedName>
    <definedName name="solver_opt" localSheetId="7" hidden="1">CRY!$I$5</definedName>
    <definedName name="solver_opt" localSheetId="8" hidden="1">EVE!$I$5</definedName>
    <definedName name="solver_opt" localSheetId="9" hidden="1">FUL!$I$5</definedName>
    <definedName name="solver_opt" localSheetId="10" hidden="1">LIV!$I$5</definedName>
    <definedName name="solver_opt" localSheetId="11" hidden="1">MCI!$I$5</definedName>
    <definedName name="solver_opt" localSheetId="12" hidden="1">MUN!$I$5</definedName>
    <definedName name="solver_opt" localSheetId="13" hidden="1">NEW!$I$5</definedName>
    <definedName name="solver_opt" localSheetId="14" hidden="1">NFO!$I$5</definedName>
    <definedName name="solver_opt" localSheetId="15" hidden="1">SHU!$I$5</definedName>
    <definedName name="solver_opt" localSheetId="16" hidden="1">TOT!$I$5</definedName>
    <definedName name="solver_opt" localSheetId="17" hidden="1">WHU!$I$5</definedName>
    <definedName name="solver_opt" localSheetId="18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er" localSheetId="0" hidden="1">2</definedName>
    <definedName name="solver_ver" localSheetId="1" hidden="1">2</definedName>
    <definedName name="solver_ver" localSheetId="4" hidden="1">2</definedName>
    <definedName name="solver_ver" localSheetId="2" hidden="1">2</definedName>
    <definedName name="solver_ver" localSheetId="3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  <definedName name="solver_ver" localSheetId="18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9" l="1"/>
  <c r="F6" i="19" s="1"/>
  <c r="D5" i="19"/>
  <c r="F5" i="19" s="1"/>
  <c r="D4" i="19"/>
  <c r="F4" i="19" s="1"/>
  <c r="D3" i="19"/>
  <c r="F3" i="19" s="1"/>
  <c r="D2" i="19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D9" i="17"/>
  <c r="F9" i="17" s="1"/>
  <c r="D8" i="17"/>
  <c r="F8" i="17" s="1"/>
  <c r="D7" i="17"/>
  <c r="F7" i="17" s="1"/>
  <c r="D6" i="17"/>
  <c r="F6" i="17" s="1"/>
  <c r="D5" i="17"/>
  <c r="F5" i="17" s="1"/>
  <c r="D4" i="17"/>
  <c r="F4" i="17" s="1"/>
  <c r="D3" i="17"/>
  <c r="F3" i="17" s="1"/>
  <c r="D2" i="17"/>
  <c r="F2" i="17" s="1"/>
  <c r="D3" i="16"/>
  <c r="F3" i="16" s="1"/>
  <c r="D2" i="16"/>
  <c r="I5" i="16" s="1" a="1"/>
  <c r="I5" i="16" s="1"/>
  <c r="D9" i="15"/>
  <c r="F9" i="15" s="1"/>
  <c r="D8" i="15"/>
  <c r="F8" i="15" s="1"/>
  <c r="D7" i="15"/>
  <c r="F7" i="15" s="1"/>
  <c r="D6" i="15"/>
  <c r="F6" i="15" s="1"/>
  <c r="D5" i="15"/>
  <c r="D4" i="15"/>
  <c r="F4" i="15" s="1"/>
  <c r="D3" i="15"/>
  <c r="F3" i="15" s="1"/>
  <c r="D2" i="15"/>
  <c r="F14" i="14"/>
  <c r="D14" i="14"/>
  <c r="D13" i="14"/>
  <c r="F13" i="14" s="1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F2" i="14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D4" i="13"/>
  <c r="F4" i="13" s="1"/>
  <c r="D3" i="13"/>
  <c r="F3" i="13" s="1"/>
  <c r="D2" i="13"/>
  <c r="F2" i="13" s="1"/>
  <c r="D11" i="12"/>
  <c r="F11" i="12" s="1"/>
  <c r="D10" i="12"/>
  <c r="F10" i="12" s="1"/>
  <c r="D9" i="12"/>
  <c r="F9" i="12" s="1"/>
  <c r="D8" i="12"/>
  <c r="F8" i="12" s="1"/>
  <c r="D7" i="12"/>
  <c r="F7" i="12" s="1"/>
  <c r="D6" i="12"/>
  <c r="F6" i="12" s="1"/>
  <c r="D5" i="12"/>
  <c r="D4" i="12"/>
  <c r="F4" i="12" s="1"/>
  <c r="D3" i="12"/>
  <c r="F3" i="12" s="1"/>
  <c r="D2" i="12"/>
  <c r="D12" i="11"/>
  <c r="F12" i="11" s="1"/>
  <c r="D11" i="11"/>
  <c r="F11" i="11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D4" i="11"/>
  <c r="F4" i="11" s="1"/>
  <c r="D3" i="11"/>
  <c r="F3" i="11" s="1"/>
  <c r="D2" i="11"/>
  <c r="F2" i="11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D4" i="10"/>
  <c r="F4" i="10" s="1"/>
  <c r="D3" i="10"/>
  <c r="F3" i="10" s="1"/>
  <c r="D2" i="10"/>
  <c r="F2" i="10" s="1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D14" i="8"/>
  <c r="F14" i="8" s="1"/>
  <c r="D13" i="8"/>
  <c r="F13" i="8" s="1"/>
  <c r="D12" i="8"/>
  <c r="F12" i="8" s="1"/>
  <c r="D11" i="8"/>
  <c r="F11" i="8" s="1"/>
  <c r="D10" i="8"/>
  <c r="F10" i="8" s="1"/>
  <c r="D9" i="8"/>
  <c r="F9" i="8" s="1"/>
  <c r="D8" i="8"/>
  <c r="F8" i="8" s="1"/>
  <c r="D7" i="8"/>
  <c r="F7" i="8" s="1"/>
  <c r="D6" i="8"/>
  <c r="F6" i="8" s="1"/>
  <c r="D5" i="8"/>
  <c r="D4" i="8"/>
  <c r="F4" i="8" s="1"/>
  <c r="D3" i="8"/>
  <c r="F3" i="8" s="1"/>
  <c r="D2" i="8"/>
  <c r="F2" i="8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2" i="6"/>
  <c r="I5" i="6" s="1"/>
  <c r="D8" i="5"/>
  <c r="F8" i="5" s="1"/>
  <c r="D7" i="5"/>
  <c r="F7" i="5" s="1"/>
  <c r="D6" i="5"/>
  <c r="F6" i="5" s="1"/>
  <c r="D5" i="5"/>
  <c r="D4" i="5"/>
  <c r="F4" i="5" s="1"/>
  <c r="D3" i="5"/>
  <c r="F3" i="5" s="1"/>
  <c r="D2" i="5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8" i="3"/>
  <c r="F8" i="3" s="1"/>
  <c r="D7" i="3"/>
  <c r="F7" i="3" s="1"/>
  <c r="D6" i="3"/>
  <c r="F6" i="3" s="1"/>
  <c r="D5" i="3"/>
  <c r="D4" i="3"/>
  <c r="F4" i="3" s="1"/>
  <c r="D3" i="3"/>
  <c r="F3" i="3" s="1"/>
  <c r="D2" i="3"/>
  <c r="F2" i="3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I5" i="19" l="1" a="1"/>
  <c r="I5" i="19" s="1"/>
  <c r="F2" i="19"/>
  <c r="I7" i="19" s="1"/>
  <c r="I5" i="18" a="1"/>
  <c r="I5" i="18" s="1"/>
  <c r="F2" i="18"/>
  <c r="I7" i="18" s="1"/>
  <c r="I7" i="17"/>
  <c r="I5" i="17" a="1"/>
  <c r="I5" i="17" s="1"/>
  <c r="F2" i="16"/>
  <c r="I7" i="16" s="1"/>
  <c r="I5" i="15" a="1"/>
  <c r="I5" i="15" s="1"/>
  <c r="F2" i="15"/>
  <c r="I5" i="14" a="1"/>
  <c r="I5" i="14" s="1"/>
  <c r="I5" i="13" a="1"/>
  <c r="I5" i="13" s="1"/>
  <c r="I5" i="12" a="1"/>
  <c r="I5" i="12" s="1"/>
  <c r="F2" i="12"/>
  <c r="I5" i="11" a="1"/>
  <c r="I5" i="11" s="1"/>
  <c r="I5" i="10" a="1"/>
  <c r="I5" i="10" s="1"/>
  <c r="I5" i="9" a="1"/>
  <c r="I5" i="9" s="1"/>
  <c r="F2" i="9"/>
  <c r="I7" i="9" s="1"/>
  <c r="I5" i="8" a="1"/>
  <c r="I5" i="8" s="1"/>
  <c r="I5" i="7" a="1"/>
  <c r="I5" i="7" s="1"/>
  <c r="I7" i="7"/>
  <c r="I5" i="5" a="1"/>
  <c r="I5" i="5" s="1"/>
  <c r="F2" i="5"/>
  <c r="I7" i="4"/>
  <c r="I5" i="4" a="1"/>
  <c r="I5" i="4" s="1"/>
  <c r="I5" i="3" a="1"/>
  <c r="I5" i="3" s="1"/>
  <c r="I5" i="2" a="1"/>
  <c r="I5" i="2" s="1"/>
  <c r="F2" i="2"/>
  <c r="I7" i="2" s="1"/>
  <c r="I5" i="1" a="1"/>
  <c r="I5" i="1" s="1"/>
  <c r="F2" i="1"/>
  <c r="I7" i="1" s="1"/>
  <c r="I7" i="14"/>
  <c r="F2" i="6"/>
  <c r="I7" i="6" s="1"/>
  <c r="F5" i="8"/>
  <c r="I7" i="8" s="1"/>
  <c r="F5" i="10"/>
  <c r="I7" i="10" s="1"/>
  <c r="F5" i="11"/>
  <c r="I7" i="11" s="1"/>
  <c r="F5" i="5"/>
  <c r="F5" i="12"/>
  <c r="F5" i="3"/>
  <c r="I7" i="3" s="1"/>
  <c r="F5" i="13"/>
  <c r="I7" i="13" s="1"/>
  <c r="F5" i="15"/>
  <c r="I7" i="15" l="1"/>
  <c r="I7" i="12"/>
  <c r="I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<sst xmlns="http://schemas.openxmlformats.org/spreadsheetml/2006/main" count="350" uniqueCount="169">
  <si>
    <t>ARIMA</t>
  </si>
  <si>
    <t>LSTM</t>
  </si>
  <si>
    <t>OFF</t>
  </si>
  <si>
    <t>AVG</t>
  </si>
  <si>
    <t>Name</t>
  </si>
  <si>
    <t>ARIMAPP</t>
  </si>
  <si>
    <t>LSTMPP</t>
  </si>
  <si>
    <t>PP</t>
  </si>
  <si>
    <t>AP</t>
  </si>
  <si>
    <t>DIFF</t>
  </si>
  <si>
    <t>Rice</t>
  </si>
  <si>
    <t>G.Jesus</t>
  </si>
  <si>
    <t>Zinchenko</t>
  </si>
  <si>
    <t>Saka</t>
  </si>
  <si>
    <t>Trossard</t>
  </si>
  <si>
    <t>Ødegaard</t>
  </si>
  <si>
    <t>Raya</t>
  </si>
  <si>
    <t>Tomiyasu</t>
  </si>
  <si>
    <t>Saliba</t>
  </si>
  <si>
    <t>White</t>
  </si>
  <si>
    <t>Martinelli</t>
  </si>
  <si>
    <t>Nketiah</t>
  </si>
  <si>
    <t>Gabriel</t>
  </si>
  <si>
    <t>Fábio Vieira</t>
  </si>
  <si>
    <t>Digne</t>
  </si>
  <si>
    <t>Douglas Luiz</t>
  </si>
  <si>
    <t>McGinn</t>
  </si>
  <si>
    <t>Konsa</t>
  </si>
  <si>
    <t>Watkins</t>
  </si>
  <si>
    <t>Bailey</t>
  </si>
  <si>
    <t>Cash</t>
  </si>
  <si>
    <t>Martinez</t>
  </si>
  <si>
    <t>Billing</t>
  </si>
  <si>
    <t>Solanke</t>
  </si>
  <si>
    <t>Kelly</t>
  </si>
  <si>
    <t>Christie</t>
  </si>
  <si>
    <t>Tavernier</t>
  </si>
  <si>
    <t>Neto</t>
  </si>
  <si>
    <t>Semenyo</t>
  </si>
  <si>
    <t>Maupay</t>
  </si>
  <si>
    <t>Nørgaard</t>
  </si>
  <si>
    <t>Pinnock</t>
  </si>
  <si>
    <t>Janelt</t>
  </si>
  <si>
    <t>Mbeumo</t>
  </si>
  <si>
    <t>Ajer</t>
  </si>
  <si>
    <t>Wissa</t>
  </si>
  <si>
    <t>Jensen</t>
  </si>
  <si>
    <t>Collins</t>
  </si>
  <si>
    <t>Hickey</t>
  </si>
  <si>
    <t>Gross</t>
  </si>
  <si>
    <t>Gilmour</t>
  </si>
  <si>
    <t>João Pedro</t>
  </si>
  <si>
    <t>Steele</t>
  </si>
  <si>
    <t>Ferguson</t>
  </si>
  <si>
    <t>Mitoma</t>
  </si>
  <si>
    <t>Estupiñan</t>
  </si>
  <si>
    <t>Brownhill</t>
  </si>
  <si>
    <t>Sterling</t>
  </si>
  <si>
    <t>Gallagher</t>
  </si>
  <si>
    <t>Sanchez</t>
  </si>
  <si>
    <t>Palmer</t>
  </si>
  <si>
    <t>T.Silva</t>
  </si>
  <si>
    <t>Colwill</t>
  </si>
  <si>
    <t>Mudryk</t>
  </si>
  <si>
    <t>Schlupp</t>
  </si>
  <si>
    <t>Hughes</t>
  </si>
  <si>
    <t>Ward</t>
  </si>
  <si>
    <t>J.Ayew</t>
  </si>
  <si>
    <t>Mitchell</t>
  </si>
  <si>
    <t>Eze</t>
  </si>
  <si>
    <t>Johnstone</t>
  </si>
  <si>
    <t>Andersen</t>
  </si>
  <si>
    <t>Mateta</t>
  </si>
  <si>
    <t>Guéhi</t>
  </si>
  <si>
    <t>Edouard</t>
  </si>
  <si>
    <t>C.Doucouré</t>
  </si>
  <si>
    <t>Lerma</t>
  </si>
  <si>
    <t>A.Doucoure</t>
  </si>
  <si>
    <t>Gana</t>
  </si>
  <si>
    <t>Tarkowski</t>
  </si>
  <si>
    <t>Pickford</t>
  </si>
  <si>
    <t>Calvert-Lewin</t>
  </si>
  <si>
    <t>McNeil</t>
  </si>
  <si>
    <t>Garner</t>
  </si>
  <si>
    <t>Branthwaite</t>
  </si>
  <si>
    <t>Harrison</t>
  </si>
  <si>
    <t>Onana</t>
  </si>
  <si>
    <t>Diop</t>
  </si>
  <si>
    <t>Leno</t>
  </si>
  <si>
    <t>Ream</t>
  </si>
  <si>
    <t>Castagne</t>
  </si>
  <si>
    <t>J.Palhinha</t>
  </si>
  <si>
    <t>Andreas</t>
  </si>
  <si>
    <t>De Cordova-Reid</t>
  </si>
  <si>
    <t>Willian</t>
  </si>
  <si>
    <t>Vinícius</t>
  </si>
  <si>
    <t>A.Becker</t>
  </si>
  <si>
    <t>Robertson</t>
  </si>
  <si>
    <t>Salah</t>
  </si>
  <si>
    <t>Alexander-Arnold</t>
  </si>
  <si>
    <t>Virgil</t>
  </si>
  <si>
    <t>Matip</t>
  </si>
  <si>
    <t>Konaté</t>
  </si>
  <si>
    <t>Luis Díaz</t>
  </si>
  <si>
    <t>Darwin</t>
  </si>
  <si>
    <t>Diogo J.</t>
  </si>
  <si>
    <t>Gakpo</t>
  </si>
  <si>
    <t>Ederson M.</t>
  </si>
  <si>
    <t>Walker</t>
  </si>
  <si>
    <t>Aké</t>
  </si>
  <si>
    <t>Foden</t>
  </si>
  <si>
    <t>Rodrigo</t>
  </si>
  <si>
    <t>Haaland</t>
  </si>
  <si>
    <t>Bernardo</t>
  </si>
  <si>
    <t>J.Alvarez</t>
  </si>
  <si>
    <t>Rúben</t>
  </si>
  <si>
    <t>Akanji</t>
  </si>
  <si>
    <t>Eriksen</t>
  </si>
  <si>
    <t>Maguire</t>
  </si>
  <si>
    <t>Rashford</t>
  </si>
  <si>
    <t>McTominay</t>
  </si>
  <si>
    <t>Lindelof</t>
  </si>
  <si>
    <t>Evans</t>
  </si>
  <si>
    <t>R.Varane</t>
  </si>
  <si>
    <t>B.Fernandes</t>
  </si>
  <si>
    <t>Dalot</t>
  </si>
  <si>
    <t>Casemiro</t>
  </si>
  <si>
    <t>Wilson</t>
  </si>
  <si>
    <t>Trippier</t>
  </si>
  <si>
    <t>Schär</t>
  </si>
  <si>
    <t>Longstaff</t>
  </si>
  <si>
    <t>Barnes</t>
  </si>
  <si>
    <t>Burn</t>
  </si>
  <si>
    <t>Joelinton</t>
  </si>
  <si>
    <t>Pope</t>
  </si>
  <si>
    <t>Gordon</t>
  </si>
  <si>
    <t>Anderson</t>
  </si>
  <si>
    <t>Bruno G.</t>
  </si>
  <si>
    <t>Almirón</t>
  </si>
  <si>
    <t>Isak</t>
  </si>
  <si>
    <t>Wood</t>
  </si>
  <si>
    <t>Gibbs-White</t>
  </si>
  <si>
    <t>Aurier</t>
  </si>
  <si>
    <t>Boly</t>
  </si>
  <si>
    <t>Elanga</t>
  </si>
  <si>
    <t>Mangala</t>
  </si>
  <si>
    <t>Awoniyi</t>
  </si>
  <si>
    <t>Worrall</t>
  </si>
  <si>
    <t>Norwood</t>
  </si>
  <si>
    <t>Bogle</t>
  </si>
  <si>
    <t>Maddison</t>
  </si>
  <si>
    <t>Richarlison</t>
  </si>
  <si>
    <t>Romero</t>
  </si>
  <si>
    <t>Kulusevski</t>
  </si>
  <si>
    <t>Johnson</t>
  </si>
  <si>
    <t>Son</t>
  </si>
  <si>
    <t>Sarr</t>
  </si>
  <si>
    <t>Pedro Porro</t>
  </si>
  <si>
    <t>Antonio</t>
  </si>
  <si>
    <t>Ward-Prowse</t>
  </si>
  <si>
    <t>Zouma</t>
  </si>
  <si>
    <t>Bowen</t>
  </si>
  <si>
    <t>Areola</t>
  </si>
  <si>
    <t>P.Fornals</t>
  </si>
  <si>
    <t>L.Paquetá</t>
  </si>
  <si>
    <t>Lemina</t>
  </si>
  <si>
    <t>José Sá</t>
  </si>
  <si>
    <t>Hee Chan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</si>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</sst>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5" totalsRowShown="0">
  <autoFilter ref="A1:F15" xr:uid="{00000000-0009-0000-0100-000001000000}"/>
  <tableColumns count="6">
    <tableColumn id="1" xr3:uid="{00000000-0010-0000-0000-000001000000}" name="Name"/>
    <tableColumn id="2" xr3:uid="{00000000-0010-0000-0000-000002000000}" name="ARIMAPP"/>
    <tableColumn id="3" xr3:uid="{00000000-0010-0000-0000-000003000000}" name="LSTMPP"/>
    <tableColumn id="4" xr3:uid="{00000000-0010-0000-0000-000004000000}" name="PP">
      <calculatedColumnFormula>TableARS[[#This Row],[ARIMAPP]]*$I$2+TableARS[[#This Row],[LSTMPP]]*$I$3</calculatedColumnFormula>
    </tableColumn>
    <tableColumn id="5" xr3:uid="{00000000-0010-0000-0000-000005000000}" name="AP"/>
    <tableColumn id="6" xr3:uid="{00000000-0010-0000-0000-000006000000}" name="DIFF">
      <calculatedColumnFormula>ABS(TableARS[[#This Row],[PP]]-TableARS[[#This Row],[AP]])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9" totalsRowShown="0">
  <autoFilter ref="A1:F9" xr:uid="{00000000-0009-0000-0100-000002000000}"/>
  <tableColumns count="6">
    <tableColumn id="1" xr3:uid="{00000000-0010-0000-0100-000001000000}" name="Name"/>
    <tableColumn id="2" xr3:uid="{00000000-0010-0000-0100-000002000000}" name="ARIMAPP"/>
    <tableColumn id="3" xr3:uid="{00000000-0010-0000-0100-000003000000}" name="LSTMPP"/>
    <tableColumn id="4" xr3:uid="{00000000-0010-0000-0100-000004000000}" name="PP">
      <calculatedColumnFormula>TableAVL[[#This Row],[ARIMAPP]]*$I$2+TableAVL[[#This Row],[LSTMPP]]*$I$3</calculatedColumnFormula>
    </tableColumn>
    <tableColumn id="5" xr3:uid="{00000000-0010-0000-0100-000005000000}" name="AP"/>
    <tableColumn id="6" xr3:uid="{00000000-0010-0000-0100-000006000000}" name="DIFF">
      <calculatedColumnFormula>ABS(TableAVL[[#This Row],[PP]]-TableAVL[[#This Row],[AP]])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8" totalsRowShown="0">
  <autoFilter ref="A1:F8" xr:uid="{00000000-0009-0000-0100-000003000000}"/>
  <tableColumns count="6">
    <tableColumn id="1" xr3:uid="{00000000-0010-0000-0200-000001000000}" name="Name"/>
    <tableColumn id="2" xr3:uid="{00000000-0010-0000-0200-000002000000}" name="ARIMAPP"/>
    <tableColumn id="3" xr3:uid="{00000000-0010-0000-0200-000003000000}" name="LSTMPP"/>
    <tableColumn id="4" xr3:uid="{00000000-0010-0000-0200-000004000000}" name="PP">
      <calculatedColumnFormula>TableBOU[[#This Row],[ARIMAPP]]*$I$2+TableBOU[[#This Row],[LSTMPP]]*$I$3</calculatedColumnFormula>
    </tableColumn>
    <tableColumn id="5" xr3:uid="{00000000-0010-0000-0200-000005000000}" name="AP"/>
    <tableColumn id="6" xr3:uid="{00000000-0010-0000-0200-000006000000}" name="DIFF">
      <calculatedColumnFormula>ABS(TableBOU[[#This Row],[PP]]-TableBOU[[#This Row],[AP]])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1" totalsRowShown="0">
  <autoFilter ref="A1:F11" xr:uid="{00000000-0009-0000-0100-000004000000}"/>
  <tableColumns count="6">
    <tableColumn id="1" xr3:uid="{00000000-0010-0000-0300-000001000000}" name="Name"/>
    <tableColumn id="2" xr3:uid="{00000000-0010-0000-0300-000002000000}" name="ARIMAPP"/>
    <tableColumn id="3" xr3:uid="{00000000-0010-0000-0300-000003000000}" name="LSTMPP"/>
    <tableColumn id="4" xr3:uid="{00000000-0010-0000-0300-000004000000}" name="PP">
      <calculatedColumnFormula>TableBRE[[#This Row],[ARIMAPP]]*$I$2+TableBRE[[#This Row],[LSTMPP]]*$I$3</calculatedColumnFormula>
    </tableColumn>
    <tableColumn id="5" xr3:uid="{00000000-0010-0000-0300-000005000000}" name="AP"/>
    <tableColumn id="6" xr3:uid="{00000000-0010-0000-0300-000006000000}" name="DIFF">
      <calculatedColumnFormula>ABS(TableBRE[[#This Row],[PP]]-TableBRE[[#This Row],[AP]])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8" totalsRowShown="0">
  <autoFilter ref="A1:F8" xr:uid="{00000000-0009-0000-0100-000005000000}"/>
  <tableColumns count="6">
    <tableColumn id="1" xr3:uid="{00000000-0010-0000-0400-000001000000}" name="Name"/>
    <tableColumn id="2" xr3:uid="{00000000-0010-0000-0400-000002000000}" name="ARIMAPP"/>
    <tableColumn id="3" xr3:uid="{00000000-0010-0000-0400-000003000000}" name="LSTMPP"/>
    <tableColumn id="4" xr3:uid="{00000000-0010-0000-0400-000004000000}" name="PP">
      <calculatedColumnFormula>TableBHA[[#This Row],[ARIMAPP]]*$I$2+TableBHA[[#This Row],[LSTMPP]]*$I$3</calculatedColumnFormula>
    </tableColumn>
    <tableColumn id="5" xr3:uid="{00000000-0010-0000-0400-000005000000}" name="AP"/>
    <tableColumn id="6" xr3:uid="{00000000-0010-0000-0400-000006000000}" name="DIFF">
      <calculatedColumnFormula>ABS(TableBHA[[#This Row],[PP]]-TableBHA[[#This Row],[AP]])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BUR" displayName="TableBUR" ref="A1:F2" totalsRowShown="0">
  <autoFilter ref="A1:F2" xr:uid="{00000000-0009-0000-0100-000006000000}"/>
  <tableColumns count="6">
    <tableColumn id="1" xr3:uid="{00000000-0010-0000-0500-000001000000}" name="Name"/>
    <tableColumn id="2" xr3:uid="{00000000-0010-0000-0500-000002000000}" name="ARIMAPP"/>
    <tableColumn id="3" xr3:uid="{00000000-0010-0000-0500-000003000000}" name="LSTMPP"/>
    <tableColumn id="4" xr3:uid="{00000000-0010-0000-0500-000004000000}" name="PP">
      <calculatedColumnFormula>TableBUR[[#This Row],[ARIMAPP]]*$I$2+TableBUR[[#This Row],[LSTMPP]]*$I$3</calculatedColumnFormula>
    </tableColumn>
    <tableColumn id="5" xr3:uid="{00000000-0010-0000-0500-000005000000}" name="AP"/>
    <tableColumn id="6" xr3:uid="{00000000-0010-0000-0500-000006000000}" name="DIFF">
      <calculatedColumnFormula>ABS(TableBUR[[#This Row],[PP]]-TableBUR[[#This Row],[AP]])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HE" displayName="TableCHE" ref="A1:F8" totalsRowShown="0">
  <autoFilter ref="A1:F8" xr:uid="{00000000-0009-0000-0100-000007000000}"/>
  <tableColumns count="6">
    <tableColumn id="1" xr3:uid="{00000000-0010-0000-0600-000001000000}" name="Name"/>
    <tableColumn id="2" xr3:uid="{00000000-0010-0000-0600-000002000000}" name="ARIMAPP"/>
    <tableColumn id="3" xr3:uid="{00000000-0010-0000-0600-000003000000}" name="LSTMPP"/>
    <tableColumn id="4" xr3:uid="{00000000-0010-0000-0600-000004000000}" name="PP">
      <calculatedColumnFormula>TableCHE[[#This Row],[ARIMAPP]]*$I$2+TableCHE[[#This Row],[LSTMPP]]*$I$3</calculatedColumnFormula>
    </tableColumn>
    <tableColumn id="5" xr3:uid="{00000000-0010-0000-0600-000005000000}" name="AP"/>
    <tableColumn id="6" xr3:uid="{00000000-0010-0000-0600-000006000000}" name="DIFF">
      <calculatedColumnFormula>ABS(TableCHE[[#This Row],[PP]]-TableCHE[[#This Row],[AP]])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RY" displayName="TableCRY" ref="A1:F14" totalsRowShown="0">
  <autoFilter ref="A1:F14" xr:uid="{00000000-0009-0000-0100-000008000000}"/>
  <tableColumns count="6">
    <tableColumn id="1" xr3:uid="{00000000-0010-0000-0700-000001000000}" name="Name"/>
    <tableColumn id="2" xr3:uid="{00000000-0010-0000-0700-000002000000}" name="ARIMAPP"/>
    <tableColumn id="3" xr3:uid="{00000000-0010-0000-0700-000003000000}" name="LSTMPP"/>
    <tableColumn id="4" xr3:uid="{00000000-0010-0000-0700-000004000000}" name="PP">
      <calculatedColumnFormula>TableCRY[[#This Row],[ARIMAPP]]*$I$2+TableCRY[[#This Row],[LSTMPP]]*$I$3</calculatedColumnFormula>
    </tableColumn>
    <tableColumn id="5" xr3:uid="{00000000-0010-0000-0700-000005000000}" name="AP"/>
    <tableColumn id="6" xr3:uid="{00000000-0010-0000-0700-000006000000}" name="DIFF">
      <calculatedColumnFormula>ABS(TableCRY[[#This Row],[PP]]-TableCRY[[#This Row],[AP]])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EVE" displayName="TableEVE" ref="A1:F11" totalsRowShown="0">
  <autoFilter ref="A1:F11" xr:uid="{00000000-0009-0000-0100-000009000000}"/>
  <tableColumns count="6">
    <tableColumn id="1" xr3:uid="{00000000-0010-0000-0800-000001000000}" name="Name"/>
    <tableColumn id="2" xr3:uid="{00000000-0010-0000-0800-000002000000}" name="ARIMAPP"/>
    <tableColumn id="3" xr3:uid="{00000000-0010-0000-0800-000003000000}" name="LSTMPP"/>
    <tableColumn id="4" xr3:uid="{00000000-0010-0000-0800-000004000000}" name="PP">
      <calculatedColumnFormula>TableEVE[[#This Row],[ARIMAPP]]*$I$2+TableEVE[[#This Row],[LSTMPP]]*$I$3</calculatedColumnFormula>
    </tableColumn>
    <tableColumn id="5" xr3:uid="{00000000-0010-0000-0800-000005000000}" name="AP"/>
    <tableColumn id="6" xr3:uid="{00000000-0010-0000-0800-000006000000}" name="DIFF">
      <calculatedColumnFormula>ABS(TableEVE[[#This Row],[PP]]-TableEVE[[#This Row],[AP]])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FUL" displayName="TableFUL" ref="A1:F10" totalsRowShown="0">
  <autoFilter ref="A1:F10" xr:uid="{00000000-0009-0000-0100-00000A000000}"/>
  <tableColumns count="6">
    <tableColumn id="1" xr3:uid="{00000000-0010-0000-0900-000001000000}" name="Name"/>
    <tableColumn id="2" xr3:uid="{00000000-0010-0000-0900-000002000000}" name="ARIMAPP"/>
    <tableColumn id="3" xr3:uid="{00000000-0010-0000-0900-000003000000}" name="LSTMPP"/>
    <tableColumn id="4" xr3:uid="{00000000-0010-0000-0900-000004000000}" name="PP">
      <calculatedColumnFormula>TableFUL[[#This Row],[ARIMAPP]]*$I$2+TableFUL[[#This Row],[LSTMPP]]*$I$3</calculatedColumnFormula>
    </tableColumn>
    <tableColumn id="5" xr3:uid="{00000000-0010-0000-0900-000005000000}" name="AP"/>
    <tableColumn id="6" xr3:uid="{00000000-0010-0000-0900-000006000000}" name="DIFF">
      <calculatedColumnFormula>ABS(TableFUL[[#This Row],[PP]]-TableFUL[[#This Row],[AP]])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IV" displayName="TableLIV" ref="A1:F12" totalsRowShown="0">
  <autoFilter ref="A1:F12" xr:uid="{00000000-0009-0000-0100-00000B000000}"/>
  <tableColumns count="6">
    <tableColumn id="1" xr3:uid="{00000000-0010-0000-0A00-000001000000}" name="Name"/>
    <tableColumn id="2" xr3:uid="{00000000-0010-0000-0A00-000002000000}" name="ARIMAPP"/>
    <tableColumn id="3" xr3:uid="{00000000-0010-0000-0A00-000003000000}" name="LSTMPP"/>
    <tableColumn id="4" xr3:uid="{00000000-0010-0000-0A00-000004000000}" name="PP">
      <calculatedColumnFormula>TableLIV[[#This Row],[ARIMAPP]]*$I$2+TableLIV[[#This Row],[LSTMPP]]*$I$3</calculatedColumnFormula>
    </tableColumn>
    <tableColumn id="5" xr3:uid="{00000000-0010-0000-0A00-000005000000}" name="AP"/>
    <tableColumn id="6" xr3:uid="{00000000-0010-0000-0A00-000006000000}" name="DIFF">
      <calculatedColumnFormula>ABS(TableLIV[[#This Row],[PP]]-TableLIV[[#This Row],[AP]])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CI" displayName="TableMCI" ref="A1:F11" totalsRowShown="0">
  <autoFilter ref="A1:F11" xr:uid="{00000000-0009-0000-0100-00000C000000}"/>
  <tableColumns count="6">
    <tableColumn id="1" xr3:uid="{00000000-0010-0000-0B00-000001000000}" name="Name"/>
    <tableColumn id="2" xr3:uid="{00000000-0010-0000-0B00-000002000000}" name="ARIMAPP"/>
    <tableColumn id="3" xr3:uid="{00000000-0010-0000-0B00-000003000000}" name="LSTMPP"/>
    <tableColumn id="4" xr3:uid="{00000000-0010-0000-0B00-000004000000}" name="PP">
      <calculatedColumnFormula>TableMCI[[#This Row],[ARIMAPP]]*$I$2+TableMCI[[#This Row],[LSTMPP]]*$I$3</calculatedColumnFormula>
    </tableColumn>
    <tableColumn id="5" xr3:uid="{00000000-0010-0000-0B00-000005000000}" name="AP"/>
    <tableColumn id="6" xr3:uid="{00000000-0010-0000-0B00-000006000000}" name="DIFF">
      <calculatedColumnFormula>ABS(TableMCI[[#This Row],[PP]]-TableMCI[[#This Row],[AP]])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UN" displayName="TableMUN" ref="A1:F11" totalsRowShown="0">
  <autoFilter ref="A1:F11" xr:uid="{00000000-0009-0000-0100-00000D000000}"/>
  <tableColumns count="6">
    <tableColumn id="1" xr3:uid="{00000000-0010-0000-0C00-000001000000}" name="Name"/>
    <tableColumn id="2" xr3:uid="{00000000-0010-0000-0C00-000002000000}" name="ARIMAPP"/>
    <tableColumn id="3" xr3:uid="{00000000-0010-0000-0C00-000003000000}" name="LSTMPP"/>
    <tableColumn id="4" xr3:uid="{00000000-0010-0000-0C00-000004000000}" name="PP">
      <calculatedColumnFormula>TableMUN[[#This Row],[ARIMAPP]]*$I$2+TableMUN[[#This Row],[LSTMPP]]*$I$3</calculatedColumnFormula>
    </tableColumn>
    <tableColumn id="5" xr3:uid="{00000000-0010-0000-0C00-000005000000}" name="AP"/>
    <tableColumn id="6" xr3:uid="{00000000-0010-0000-0C00-000006000000}" name="DIFF">
      <calculatedColumnFormula>ABS(TableMUN[[#This Row],[PP]]-TableMUN[[#This Row],[AP]])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EW" displayName="TableNEW" ref="A1:F14" totalsRowShown="0">
  <autoFilter ref="A1:F14" xr:uid="{00000000-0009-0000-0100-00000E000000}"/>
  <tableColumns count="6">
    <tableColumn id="1" xr3:uid="{00000000-0010-0000-0D00-000001000000}" name="Name"/>
    <tableColumn id="2" xr3:uid="{00000000-0010-0000-0D00-000002000000}" name="ARIMAPP"/>
    <tableColumn id="3" xr3:uid="{00000000-0010-0000-0D00-000003000000}" name="LSTMPP"/>
    <tableColumn id="4" xr3:uid="{00000000-0010-0000-0D00-000004000000}" name="PP">
      <calculatedColumnFormula>TableNEW[[#This Row],[ARIMAPP]]*$I$2+TableNEW[[#This Row],[LSTMPP]]*$I$3</calculatedColumnFormula>
    </tableColumn>
    <tableColumn id="5" xr3:uid="{00000000-0010-0000-0D00-000005000000}" name="AP"/>
    <tableColumn id="6" xr3:uid="{00000000-0010-0000-0D00-000006000000}" name="DIFF">
      <calculatedColumnFormula>ABS(TableNEW[[#This Row],[PP]]-TableNEW[[#This Row],[AP]])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FO" displayName="TableNFO" ref="A1:F9" totalsRowShown="0">
  <autoFilter ref="A1:F9" xr:uid="{00000000-0009-0000-0100-00000F000000}"/>
  <tableColumns count="6">
    <tableColumn id="1" xr3:uid="{00000000-0010-0000-0E00-000001000000}" name="Name"/>
    <tableColumn id="2" xr3:uid="{00000000-0010-0000-0E00-000002000000}" name="ARIMAPP"/>
    <tableColumn id="3" xr3:uid="{00000000-0010-0000-0E00-000003000000}" name="LSTMPP"/>
    <tableColumn id="4" xr3:uid="{00000000-0010-0000-0E00-000004000000}" name="PP">
      <calculatedColumnFormula>TableNFO[[#This Row],[ARIMAPP]]*$I$2+TableNFO[[#This Row],[LSTMPP]]*$I$3</calculatedColumnFormula>
    </tableColumn>
    <tableColumn id="5" xr3:uid="{00000000-0010-0000-0E00-000005000000}" name="AP"/>
    <tableColumn id="6" xr3:uid="{00000000-0010-0000-0E00-000006000000}" name="DIFF">
      <calculatedColumnFormula>ABS(TableNFO[[#This Row],[PP]]-TableNFO[[#This Row],[AP]])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SHU" displayName="TableSHU" ref="A1:F3" totalsRowShown="0">
  <autoFilter ref="A1:F3" xr:uid="{00000000-0009-0000-0100-000010000000}"/>
  <tableColumns count="6">
    <tableColumn id="1" xr3:uid="{00000000-0010-0000-0F00-000001000000}" name="Name"/>
    <tableColumn id="2" xr3:uid="{00000000-0010-0000-0F00-000002000000}" name="ARIMAPP"/>
    <tableColumn id="3" xr3:uid="{00000000-0010-0000-0F00-000003000000}" name="LSTMPP"/>
    <tableColumn id="4" xr3:uid="{00000000-0010-0000-0F00-000004000000}" name="PP">
      <calculatedColumnFormula>TableSHU[[#This Row],[ARIMAPP]]*$I$2+TableSHU[[#This Row],[LSTMPP]]*$I$3</calculatedColumnFormula>
    </tableColumn>
    <tableColumn id="5" xr3:uid="{00000000-0010-0000-0F00-000005000000}" name="AP"/>
    <tableColumn id="6" xr3:uid="{00000000-0010-0000-0F00-000006000000}" name="DIFF">
      <calculatedColumnFormula>ABS(TableSHU[[#This Row],[PP]]-TableSHU[[#This Row],[AP]])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TOT" displayName="TableTOT" ref="A1:F9" totalsRowShown="0">
  <autoFilter ref="A1:F9" xr:uid="{00000000-0009-0000-0100-000011000000}"/>
  <tableColumns count="6">
    <tableColumn id="1" xr3:uid="{00000000-0010-0000-1000-000001000000}" name="Name"/>
    <tableColumn id="2" xr3:uid="{00000000-0010-0000-1000-000002000000}" name="ARIMAPP"/>
    <tableColumn id="3" xr3:uid="{00000000-0010-0000-1000-000003000000}" name="LSTMPP"/>
    <tableColumn id="4" xr3:uid="{00000000-0010-0000-1000-000004000000}" name="PP">
      <calculatedColumnFormula>TableTOT[[#This Row],[ARIMAPP]]*$I$2+TableTOT[[#This Row],[LSTMPP]]*$I$3</calculatedColumnFormula>
    </tableColumn>
    <tableColumn id="5" xr3:uid="{00000000-0010-0000-1000-000005000000}" name="AP"/>
    <tableColumn id="6" xr3:uid="{00000000-0010-0000-1000-000006000000}" name="DIFF">
      <calculatedColumnFormula>ABS(TableTOT[[#This Row],[PP]]-TableTOT[[#This Row],[AP]])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WHU" displayName="TableWHU" ref="A1:F8" totalsRowShown="0">
  <autoFilter ref="A1:F8" xr:uid="{00000000-0009-0000-0100-000012000000}"/>
  <tableColumns count="6">
    <tableColumn id="1" xr3:uid="{00000000-0010-0000-1100-000001000000}" name="Name"/>
    <tableColumn id="2" xr3:uid="{00000000-0010-0000-1100-000002000000}" name="ARIMAPP"/>
    <tableColumn id="3" xr3:uid="{00000000-0010-0000-1100-000003000000}" name="LSTMPP"/>
    <tableColumn id="4" xr3:uid="{00000000-0010-0000-1100-000004000000}" name="PP">
      <calculatedColumnFormula>TableWHU[[#This Row],[ARIMAPP]]*$I$2+TableWHU[[#This Row],[LSTMPP]]*$I$3</calculatedColumnFormula>
    </tableColumn>
    <tableColumn id="5" xr3:uid="{00000000-0010-0000-1100-000005000000}" name="AP"/>
    <tableColumn id="6" xr3:uid="{00000000-0010-0000-1100-000006000000}" name="DIFF">
      <calculatedColumnFormula>ABS(TableWHU[[#This Row],[PP]]-TableWHU[[#This Row],[AP]])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OL" displayName="TableWOL" ref="A1:F6" totalsRowShown="0">
  <autoFilter ref="A1:F6" xr:uid="{00000000-0009-0000-0100-000013000000}"/>
  <tableColumns count="6">
    <tableColumn id="1" xr3:uid="{00000000-0010-0000-1200-000001000000}" name="Name"/>
    <tableColumn id="2" xr3:uid="{00000000-0010-0000-1200-000002000000}" name="ARIMAPP"/>
    <tableColumn id="3" xr3:uid="{00000000-0010-0000-1200-000003000000}" name="LSTMPP"/>
    <tableColumn id="4" xr3:uid="{00000000-0010-0000-1200-000004000000}" name="PP">
      <calculatedColumnFormula>TableWOL[[#This Row],[ARIMAPP]]*$I$2+TableWOL[[#This Row],[LSTMPP]]*$I$3</calculatedColumnFormula>
    </tableColumn>
    <tableColumn id="5" xr3:uid="{00000000-0010-0000-1200-000005000000}" name="AP"/>
    <tableColumn id="6" xr3:uid="{00000000-0010-0000-1200-000006000000}" name="DIFF">
      <calculatedColumnFormula>ABS(TableWOL[[#This Row],[PP]]-TableWOL[[#This Row],[AP]])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</v>
      </c>
      <c r="B2">
        <v>27.780230103616681</v>
      </c>
      <c r="C2">
        <v>27.785714285714281</v>
      </c>
      <c r="D2">
        <f>TableARS[[#This Row],[ARIMAPP]]*$I$2+TableARS[[#This Row],[LSTMPP]]*$I$3</f>
        <v>30.314151220226893</v>
      </c>
      <c r="E2">
        <v>41</v>
      </c>
      <c r="F2">
        <f>ABS(TableARS[[#This Row],[PP]]-TableARS[[#This Row],[AP]])</f>
        <v>10.685848779773107</v>
      </c>
      <c r="H2" t="s">
        <v>0</v>
      </c>
      <c r="I2">
        <v>0.55859717908024997</v>
      </c>
    </row>
    <row r="3" spans="1:9" x14ac:dyDescent="0.2">
      <c r="A3" t="s">
        <v>11</v>
      </c>
      <c r="B3">
        <v>40.948905109489068</v>
      </c>
      <c r="C3">
        <v>39.665899923817847</v>
      </c>
      <c r="D3">
        <f>TableARS[[#This Row],[ARIMAPP]]*$I$2+TableARS[[#This Row],[LSTMPP]]*$I$3</f>
        <v>43.996463134899912</v>
      </c>
      <c r="E3">
        <v>33</v>
      </c>
      <c r="F3">
        <f>ABS(TableARS[[#This Row],[PP]]-TableARS[[#This Row],[AP]])</f>
        <v>10.996463134899912</v>
      </c>
      <c r="H3" t="s">
        <v>1</v>
      </c>
      <c r="I3">
        <v>0.53251080386130922</v>
      </c>
    </row>
    <row r="4" spans="1:9" x14ac:dyDescent="0.2">
      <c r="A4" t="s">
        <v>12</v>
      </c>
      <c r="B4">
        <v>32.359550561797747</v>
      </c>
      <c r="C4">
        <v>30.70422535211268</v>
      </c>
      <c r="D4">
        <f>TableARS[[#This Row],[ARIMAPP]]*$I$2+TableARS[[#This Row],[LSTMPP]]*$I$3</f>
        <v>34.426285384317254</v>
      </c>
      <c r="E4">
        <v>43</v>
      </c>
      <c r="F4">
        <f>ABS(TableARS[[#This Row],[PP]]-TableARS[[#This Row],[AP]])</f>
        <v>8.5737146156827464</v>
      </c>
    </row>
    <row r="5" spans="1:9" x14ac:dyDescent="0.2">
      <c r="A5" t="s">
        <v>13</v>
      </c>
      <c r="B5">
        <v>52.21376498258536</v>
      </c>
      <c r="C5">
        <v>38.768320788072998</v>
      </c>
      <c r="D5">
        <f>TableARS[[#This Row],[ARIMAPP]]*$I$2+TableARS[[#This Row],[LSTMPP]]*$I$3</f>
        <v>49.811011495641182</v>
      </c>
      <c r="E5">
        <v>61</v>
      </c>
      <c r="F5">
        <f>ABS(TableARS[[#This Row],[PP]]-TableARS[[#This Row],[AP]])</f>
        <v>11.188988504358818</v>
      </c>
      <c r="H5" t="s">
        <v>2</v>
      </c>
      <c r="I5" cm="1">
        <f t="array" ref="I5">(SUM(TableARS[PP]-TableARS[AP]))^2</f>
        <v>1.5272347125078789E-27</v>
      </c>
    </row>
    <row r="6" spans="1:9" x14ac:dyDescent="0.2">
      <c r="A6" t="s">
        <v>14</v>
      </c>
      <c r="B6">
        <v>38.486849065001671</v>
      </c>
      <c r="C6">
        <v>40.343268062668258</v>
      </c>
      <c r="D6">
        <f>TableARS[[#This Row],[ARIMAPP]]*$I$2+TableARS[[#This Row],[LSTMPP]]*$I$3</f>
        <v>42.981871425841049</v>
      </c>
      <c r="E6">
        <v>46</v>
      </c>
      <c r="F6">
        <f>ABS(TableARS[[#This Row],[PP]]-TableARS[[#This Row],[AP]])</f>
        <v>3.0181285741589505</v>
      </c>
    </row>
    <row r="7" spans="1:9" x14ac:dyDescent="0.2">
      <c r="A7" t="s">
        <v>15</v>
      </c>
      <c r="B7">
        <v>57.595642644749823</v>
      </c>
      <c r="C7">
        <v>43.834550769402803</v>
      </c>
      <c r="D7">
        <f>TableARS[[#This Row],[ARIMAPP]]*$I$2+TableARS[[#This Row],[LSTMPP]]*$I$3</f>
        <v>55.515135375785462</v>
      </c>
      <c r="E7">
        <v>51</v>
      </c>
      <c r="F7">
        <f>ABS(TableARS[[#This Row],[PP]]-TableARS[[#This Row],[AP]])</f>
        <v>4.5151353757854622</v>
      </c>
      <c r="H7" t="s">
        <v>3</v>
      </c>
      <c r="I7">
        <f>AVERAGE(TableARS[DIFF])/10</f>
        <v>0.8041507998831372</v>
      </c>
    </row>
    <row r="8" spans="1:9" x14ac:dyDescent="0.2">
      <c r="A8" t="s">
        <v>16</v>
      </c>
      <c r="B8">
        <v>41.724137931034498</v>
      </c>
      <c r="C8">
        <v>35.465740344732353</v>
      </c>
      <c r="D8">
        <f>TableARS[[#This Row],[ARIMAPP]]*$I$2+TableARS[[#This Row],[LSTMPP]]*$I$3</f>
        <v>42.192875648341015</v>
      </c>
      <c r="E8">
        <v>45</v>
      </c>
      <c r="F8">
        <f>ABS(TableARS[[#This Row],[PP]]-TableARS[[#This Row],[AP]])</f>
        <v>2.8071243516589846</v>
      </c>
    </row>
    <row r="9" spans="1:9" x14ac:dyDescent="0.2">
      <c r="A9" t="s">
        <v>17</v>
      </c>
      <c r="B9">
        <v>13.74551944066223</v>
      </c>
      <c r="C9">
        <v>28.75</v>
      </c>
      <c r="D9">
        <f>TableARS[[#This Row],[ARIMAPP]]*$I$2+TableARS[[#This Row],[LSTMPP]]*$I$3</f>
        <v>22.987893995559297</v>
      </c>
      <c r="E9">
        <v>20</v>
      </c>
      <c r="F9">
        <f>ABS(TableARS[[#This Row],[PP]]-TableARS[[#This Row],[AP]])</f>
        <v>2.9878939955592969</v>
      </c>
    </row>
    <row r="10" spans="1:9" x14ac:dyDescent="0.2">
      <c r="A10" t="s">
        <v>18</v>
      </c>
      <c r="B10">
        <v>42.842197270324689</v>
      </c>
      <c r="C10">
        <v>37.016940266825372</v>
      </c>
      <c r="D10">
        <f>TableARS[[#This Row],[ARIMAPP]]*$I$2+TableARS[[#This Row],[LSTMPP]]*$I$3</f>
        <v>43.643451158776202</v>
      </c>
      <c r="E10">
        <v>42</v>
      </c>
      <c r="F10">
        <f>ABS(TableARS[[#This Row],[PP]]-TableARS[[#This Row],[AP]])</f>
        <v>1.6434511587762017</v>
      </c>
    </row>
    <row r="11" spans="1:9" x14ac:dyDescent="0.2">
      <c r="A11" t="s">
        <v>19</v>
      </c>
      <c r="B11">
        <v>40.000000000000007</v>
      </c>
      <c r="C11">
        <v>35.808516134051096</v>
      </c>
      <c r="D11">
        <f>TableARS[[#This Row],[ARIMAPP]]*$I$2+TableARS[[#This Row],[LSTMPP]]*$I$3</f>
        <v>41.41230887483421</v>
      </c>
      <c r="E11">
        <v>52</v>
      </c>
      <c r="F11">
        <f>ABS(TableARS[[#This Row],[PP]]-TableARS[[#This Row],[AP]])</f>
        <v>10.58769112516579</v>
      </c>
    </row>
    <row r="12" spans="1:9" x14ac:dyDescent="0.2">
      <c r="A12" t="s">
        <v>20</v>
      </c>
      <c r="B12">
        <v>54.411764705882327</v>
      </c>
      <c r="C12">
        <v>51.574329261339123</v>
      </c>
      <c r="D12">
        <f>TableARS[[#This Row],[ARIMAPP]]*$I$2+TableARS[[#This Row],[LSTMPP]]*$I$3</f>
        <v>57.85814580704772</v>
      </c>
      <c r="E12">
        <v>31</v>
      </c>
      <c r="F12">
        <f>ABS(TableARS[[#This Row],[PP]]-TableARS[[#This Row],[AP]])</f>
        <v>26.85814580704772</v>
      </c>
    </row>
    <row r="13" spans="1:9" x14ac:dyDescent="0.2">
      <c r="A13" t="s">
        <v>21</v>
      </c>
      <c r="B13">
        <v>24.333333333333329</v>
      </c>
      <c r="C13">
        <v>26.25</v>
      </c>
      <c r="D13">
        <f>TableARS[[#This Row],[ARIMAPP]]*$I$2+TableARS[[#This Row],[LSTMPP]]*$I$3</f>
        <v>27.570939958978784</v>
      </c>
      <c r="E13">
        <v>37</v>
      </c>
      <c r="F13">
        <f>ABS(TableARS[[#This Row],[PP]]-TableARS[[#This Row],[AP]])</f>
        <v>9.4290600410212164</v>
      </c>
    </row>
    <row r="14" spans="1:9" x14ac:dyDescent="0.2">
      <c r="A14" t="s">
        <v>22</v>
      </c>
      <c r="B14">
        <v>33.667335814299861</v>
      </c>
      <c r="C14">
        <v>35.350988583261568</v>
      </c>
      <c r="D14">
        <f>TableARS[[#This Row],[ARIMAPP]]*$I$2+TableARS[[#This Row],[LSTMPP]]*$I$3</f>
        <v>37.631262160779954</v>
      </c>
      <c r="E14">
        <v>29</v>
      </c>
      <c r="F14">
        <f>ABS(TableARS[[#This Row],[PP]]-TableARS[[#This Row],[AP]])</f>
        <v>8.6312621607799542</v>
      </c>
    </row>
    <row r="15" spans="1:9" x14ac:dyDescent="0.2">
      <c r="A15" t="s">
        <v>23</v>
      </c>
      <c r="B15">
        <v>19.473684210526319</v>
      </c>
      <c r="C15">
        <v>24</v>
      </c>
      <c r="D15">
        <f>TableARS[[#This Row],[ARIMAPP]]*$I$2+TableARS[[#This Row],[LSTMPP]]*$I$3</f>
        <v>23.658204358971027</v>
      </c>
      <c r="E15">
        <v>23</v>
      </c>
      <c r="F15">
        <f>ABS(TableARS[[#This Row],[PP]]-TableARS[[#This Row],[AP]])</f>
        <v>0.65820435897102669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24</v>
      </c>
      <c r="B2">
        <v>22.36391694671514</v>
      </c>
      <c r="C2">
        <v>32.991803278688529</v>
      </c>
      <c r="D2">
        <f>TableAVL[[#This Row],[ARIMAPP]]*$I$2+TableAVL[[#This Row],[LSTMPP]]*$I$3</f>
        <v>34.564056166290086</v>
      </c>
      <c r="E2">
        <v>26</v>
      </c>
      <c r="F2">
        <f>ABS(TableAVL[[#This Row],[PP]]-TableAVL[[#This Row],[AP]])</f>
        <v>8.5640561662900865</v>
      </c>
      <c r="H2" t="s">
        <v>0</v>
      </c>
      <c r="I2">
        <v>0.65150312383107412</v>
      </c>
    </row>
    <row r="3" spans="1:9" x14ac:dyDescent="0.2">
      <c r="A3" t="s">
        <v>25</v>
      </c>
      <c r="B3">
        <v>54.724625012572233</v>
      </c>
      <c r="C3">
        <v>26.712962962962969</v>
      </c>
      <c r="D3">
        <f>TableAVL[[#This Row],[ARIMAPP]]*$I$2+TableAVL[[#This Row],[LSTMPP]]*$I$3</f>
        <v>51.842017348472268</v>
      </c>
      <c r="E3">
        <v>52</v>
      </c>
      <c r="F3">
        <f>ABS(TableAVL[[#This Row],[PP]]-TableAVL[[#This Row],[AP]])</f>
        <v>0.15798265152773183</v>
      </c>
      <c r="H3" t="s">
        <v>1</v>
      </c>
      <c r="I3">
        <v>0.60602611641182347</v>
      </c>
    </row>
    <row r="4" spans="1:9" x14ac:dyDescent="0.2">
      <c r="A4" t="s">
        <v>26</v>
      </c>
      <c r="B4">
        <v>29.76744186046513</v>
      </c>
      <c r="C4">
        <v>29.757281553398059</v>
      </c>
      <c r="D4">
        <f>TableAVL[[#This Row],[ARIMAPP]]*$I$2+TableAVL[[#This Row],[LSTMPP]]*$I$3</f>
        <v>37.427271135331935</v>
      </c>
      <c r="E4">
        <v>39</v>
      </c>
      <c r="F4">
        <f>ABS(TableAVL[[#This Row],[PP]]-TableAVL[[#This Row],[AP]])</f>
        <v>1.5727288646680648</v>
      </c>
    </row>
    <row r="5" spans="1:9" x14ac:dyDescent="0.2">
      <c r="A5" t="s">
        <v>27</v>
      </c>
      <c r="B5">
        <v>28.62903225806452</v>
      </c>
      <c r="C5">
        <v>28.686868686868689</v>
      </c>
      <c r="D5">
        <f>TableAVL[[#This Row],[ARIMAPP]]*$I$2+TableAVL[[#This Row],[LSTMPP]]*$I$3</f>
        <v>36.036895570708602</v>
      </c>
      <c r="E5">
        <v>25</v>
      </c>
      <c r="F5">
        <f>ABS(TableAVL[[#This Row],[PP]]-TableAVL[[#This Row],[AP]])</f>
        <v>11.036895570708602</v>
      </c>
      <c r="H5" t="s">
        <v>2</v>
      </c>
      <c r="I5" cm="1">
        <f t="array" ref="I5">(SUM(TableAVL[PP]-TableAVL[AP]))^2</f>
        <v>2.0194839173657902E-28</v>
      </c>
    </row>
    <row r="6" spans="1:9" x14ac:dyDescent="0.2">
      <c r="A6" t="s">
        <v>28</v>
      </c>
      <c r="B6">
        <v>42.952380952380928</v>
      </c>
      <c r="C6">
        <v>39.624182493007552</v>
      </c>
      <c r="D6">
        <f>TableAVL[[#This Row],[ARIMAPP]]*$I$2+TableAVL[[#This Row],[LSTMPP]]*$I$3</f>
        <v>51.996899798689228</v>
      </c>
      <c r="E6">
        <v>70</v>
      </c>
      <c r="F6">
        <f>ABS(TableAVL[[#This Row],[PP]]-TableAVL[[#This Row],[AP]])</f>
        <v>18.003100201310772</v>
      </c>
    </row>
    <row r="7" spans="1:9" x14ac:dyDescent="0.2">
      <c r="A7" t="s">
        <v>29</v>
      </c>
      <c r="B7">
        <v>27.2</v>
      </c>
      <c r="C7">
        <v>28.500000000000011</v>
      </c>
      <c r="D7">
        <f>TableAVL[[#This Row],[ARIMAPP]]*$I$2+TableAVL[[#This Row],[LSTMPP]]*$I$3</f>
        <v>34.992629285942186</v>
      </c>
      <c r="E7">
        <v>38</v>
      </c>
      <c r="F7">
        <f>ABS(TableAVL[[#This Row],[PP]]-TableAVL[[#This Row],[AP]])</f>
        <v>3.0073707140578136</v>
      </c>
      <c r="H7" t="s">
        <v>3</v>
      </c>
      <c r="I7">
        <f>AVERAGE(TableAVL[DIFF])/10</f>
        <v>0.82566639284691834</v>
      </c>
    </row>
    <row r="8" spans="1:9" x14ac:dyDescent="0.2">
      <c r="A8" t="s">
        <v>30</v>
      </c>
      <c r="B8">
        <v>22.142857142857139</v>
      </c>
      <c r="C8">
        <v>25.22727272727273</v>
      </c>
      <c r="D8">
        <f>TableAVL[[#This Row],[ARIMAPP]]*$I$2+TableAVL[[#This Row],[LSTMPP]]*$I$3</f>
        <v>29.71452671768764</v>
      </c>
      <c r="E8">
        <v>40</v>
      </c>
      <c r="F8">
        <f>ABS(TableAVL[[#This Row],[PP]]-TableAVL[[#This Row],[AP]])</f>
        <v>10.28547328231236</v>
      </c>
    </row>
    <row r="9" spans="1:9" x14ac:dyDescent="0.2">
      <c r="A9" t="s">
        <v>31</v>
      </c>
      <c r="B9">
        <v>34.722222222222221</v>
      </c>
      <c r="C9">
        <v>32.678571428571431</v>
      </c>
      <c r="D9">
        <f>TableAVL[[#This Row],[ARIMAPP]]*$I$2+TableAVL[[#This Row],[LSTMPP]]*$I$3</f>
        <v>42.42570397687804</v>
      </c>
      <c r="E9">
        <v>29</v>
      </c>
      <c r="F9">
        <f>ABS(TableAVL[[#This Row],[PP]]-TableAVL[[#This Row],[AP]])</f>
        <v>13.42570397687804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32</v>
      </c>
      <c r="B2">
        <v>26.344324338976911</v>
      </c>
      <c r="C2">
        <v>27.012987012987011</v>
      </c>
      <c r="D2">
        <f>TableBOU[[#This Row],[ARIMAPP]]*$I$2+TableBOU[[#This Row],[LSTMPP]]*$I$3</f>
        <v>28.910071040928337</v>
      </c>
      <c r="E2">
        <v>30</v>
      </c>
      <c r="F2">
        <f>ABS(TableBOU[[#This Row],[PP]]-TableBOU[[#This Row],[AP]])</f>
        <v>1.0899289590716634</v>
      </c>
      <c r="H2" t="s">
        <v>0</v>
      </c>
      <c r="I2">
        <v>0.52830306351926459</v>
      </c>
    </row>
    <row r="3" spans="1:9" x14ac:dyDescent="0.2">
      <c r="A3" t="s">
        <v>33</v>
      </c>
      <c r="B3">
        <v>38.291851899740173</v>
      </c>
      <c r="C3">
        <v>27</v>
      </c>
      <c r="D3">
        <f>TableBOU[[#This Row],[ARIMAPP]]*$I$2+TableBOU[[#This Row],[LSTMPP]]*$I$3</f>
        <v>35.214778624017001</v>
      </c>
      <c r="E3">
        <v>44</v>
      </c>
      <c r="F3">
        <f>ABS(TableBOU[[#This Row],[PP]]-TableBOU[[#This Row],[AP]])</f>
        <v>8.7852213759829993</v>
      </c>
      <c r="H3" t="s">
        <v>1</v>
      </c>
      <c r="I3">
        <v>0.55500281324289991</v>
      </c>
    </row>
    <row r="4" spans="1:9" x14ac:dyDescent="0.2">
      <c r="A4" t="s">
        <v>34</v>
      </c>
      <c r="B4">
        <v>23.214285714285712</v>
      </c>
      <c r="C4">
        <v>27.27272727272727</v>
      </c>
      <c r="D4">
        <f>TableBOU[[#This Row],[ARIMAPP]]*$I$2+TableBOU[[#This Row],[LSTMPP]]*$I$3</f>
        <v>27.400618621438639</v>
      </c>
      <c r="E4">
        <v>23</v>
      </c>
      <c r="F4">
        <f>ABS(TableBOU[[#This Row],[PP]]-TableBOU[[#This Row],[AP]])</f>
        <v>4.4006186214386389</v>
      </c>
    </row>
    <row r="5" spans="1:9" x14ac:dyDescent="0.2">
      <c r="A5" t="s">
        <v>35</v>
      </c>
      <c r="B5">
        <v>19.39393939393938</v>
      </c>
      <c r="C5">
        <v>24.23076923076923</v>
      </c>
      <c r="D5">
        <f>TableBOU[[#This Row],[ARIMAPP]]*$I$2+TableBOU[[#This Row],[LSTMPP]]*$I$3</f>
        <v>23.694022685641546</v>
      </c>
      <c r="E5">
        <v>22</v>
      </c>
      <c r="F5">
        <f>ABS(TableBOU[[#This Row],[PP]]-TableBOU[[#This Row],[AP]])</f>
        <v>1.6940226856415457</v>
      </c>
      <c r="H5" t="s">
        <v>2</v>
      </c>
      <c r="I5" cm="1">
        <f t="array" ref="I5">(SUM(TableBOU[PP]-TableBOU[AP]))^2</f>
        <v>3.1554436208840472E-28</v>
      </c>
    </row>
    <row r="6" spans="1:9" x14ac:dyDescent="0.2">
      <c r="A6" t="s">
        <v>36</v>
      </c>
      <c r="B6">
        <v>35.553707795735427</v>
      </c>
      <c r="C6">
        <v>41.677095591866667</v>
      </c>
      <c r="D6">
        <f>TableBOU[[#This Row],[ARIMAPP]]*$I$2+TableBOU[[#This Row],[LSTMPP]]*$I$3</f>
        <v>41.914038049235046</v>
      </c>
      <c r="E6">
        <v>32</v>
      </c>
      <c r="F6">
        <f>ABS(TableBOU[[#This Row],[PP]]-TableBOU[[#This Row],[AP]])</f>
        <v>9.9140380492350459</v>
      </c>
    </row>
    <row r="7" spans="1:9" x14ac:dyDescent="0.2">
      <c r="A7" t="s">
        <v>37</v>
      </c>
      <c r="B7">
        <v>35.581057788682898</v>
      </c>
      <c r="C7">
        <v>37.448309739337823</v>
      </c>
      <c r="D7">
        <f>TableBOU[[#This Row],[ARIMAPP]]*$I$2+TableBOU[[#This Row],[LSTMPP]]*$I$3</f>
        <v>39.58149908954114</v>
      </c>
      <c r="E7">
        <v>39</v>
      </c>
      <c r="F7">
        <f>ABS(TableBOU[[#This Row],[PP]]-TableBOU[[#This Row],[AP]])</f>
        <v>0.58149908954113982</v>
      </c>
      <c r="H7" t="s">
        <v>3</v>
      </c>
      <c r="I7">
        <f>AVERAGE(TableBOU[DIFF])/10</f>
        <v>0.4740050984530394</v>
      </c>
    </row>
    <row r="8" spans="1:9" x14ac:dyDescent="0.2">
      <c r="A8" t="s">
        <v>38</v>
      </c>
      <c r="B8">
        <v>17.777777777777779</v>
      </c>
      <c r="C8">
        <v>21.428571428571431</v>
      </c>
      <c r="D8">
        <f>TableBOU[[#This Row],[ARIMAPP]]*$I$2+TableBOU[[#This Row],[LSTMPP]]*$I$3</f>
        <v>21.284971889198275</v>
      </c>
      <c r="E8">
        <v>28</v>
      </c>
      <c r="F8">
        <f>ABS(TableBOU[[#This Row],[PP]]-TableBOU[[#This Row],[AP]])</f>
        <v>6.7150281108017253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39</v>
      </c>
      <c r="B2">
        <v>16.02766564743705</v>
      </c>
      <c r="C2">
        <v>32.448267259237682</v>
      </c>
      <c r="D2">
        <f>TableBRE[[#This Row],[ARIMAPP]]*$I$2+TableBRE[[#This Row],[LSTMPP]]*$I$3</f>
        <v>26.036886844596715</v>
      </c>
      <c r="E2">
        <v>23</v>
      </c>
      <c r="F2">
        <f>ABS(TableBRE[[#This Row],[PP]]-TableBRE[[#This Row],[AP]])</f>
        <v>3.0368868445967152</v>
      </c>
      <c r="H2" t="s">
        <v>0</v>
      </c>
      <c r="I2">
        <v>0.54447048614377702</v>
      </c>
    </row>
    <row r="3" spans="1:9" x14ac:dyDescent="0.2">
      <c r="A3" t="s">
        <v>40</v>
      </c>
      <c r="B3">
        <v>30.909090909090899</v>
      </c>
      <c r="C3">
        <v>29.659090909090899</v>
      </c>
      <c r="D3">
        <f>TableBRE[[#This Row],[ARIMAPP]]*$I$2+TableBRE[[#This Row],[LSTMPP]]*$I$3</f>
        <v>32.651431571783718</v>
      </c>
      <c r="E3">
        <v>28</v>
      </c>
      <c r="F3">
        <f>ABS(TableBRE[[#This Row],[PP]]-TableBRE[[#This Row],[AP]])</f>
        <v>4.6514315717837178</v>
      </c>
      <c r="H3" t="s">
        <v>1</v>
      </c>
      <c r="I3">
        <v>0.53347366130494034</v>
      </c>
    </row>
    <row r="4" spans="1:9" x14ac:dyDescent="0.2">
      <c r="A4" t="s">
        <v>41</v>
      </c>
      <c r="B4">
        <v>33.000000000000007</v>
      </c>
      <c r="C4">
        <v>29.791666666666671</v>
      </c>
      <c r="D4">
        <f>TableBRE[[#This Row],[ARIMAPP]]*$I$2+TableBRE[[#This Row],[LSTMPP]]*$I$3</f>
        <v>33.86059553578766</v>
      </c>
      <c r="E4">
        <v>33</v>
      </c>
      <c r="F4">
        <f>ABS(TableBRE[[#This Row],[PP]]-TableBRE[[#This Row],[AP]])</f>
        <v>0.86059553578765957</v>
      </c>
    </row>
    <row r="5" spans="1:9" x14ac:dyDescent="0.2">
      <c r="A5" t="s">
        <v>42</v>
      </c>
      <c r="B5">
        <v>26.923076923076941</v>
      </c>
      <c r="C5">
        <v>27.78846153846154</v>
      </c>
      <c r="D5">
        <f>TableBRE[[#This Row],[ARIMAPP]]*$I$2+TableBRE[[#This Row],[LSTMPP]]*$I$3</f>
        <v>29.483233099748599</v>
      </c>
      <c r="E5">
        <v>23</v>
      </c>
      <c r="F5">
        <f>ABS(TableBRE[[#This Row],[PP]]-TableBRE[[#This Row],[AP]])</f>
        <v>6.483233099748599</v>
      </c>
      <c r="H5" t="s">
        <v>2</v>
      </c>
      <c r="I5" cm="1">
        <f t="array" ref="I5">(SUM(TableBRE[PP]-TableBRE[AP]))^2</f>
        <v>6.1846694969327326E-28</v>
      </c>
    </row>
    <row r="6" spans="1:9" x14ac:dyDescent="0.2">
      <c r="A6" t="s">
        <v>43</v>
      </c>
      <c r="B6">
        <v>38.749999999999972</v>
      </c>
      <c r="C6">
        <v>31.05263157894737</v>
      </c>
      <c r="D6">
        <f>TableBRE[[#This Row],[ARIMAPP]]*$I$2+TableBRE[[#This Row],[LSTMPP]]*$I$3</f>
        <v>37.663992399645807</v>
      </c>
      <c r="E6">
        <v>51</v>
      </c>
      <c r="F6">
        <f>ABS(TableBRE[[#This Row],[PP]]-TableBRE[[#This Row],[AP]])</f>
        <v>13.336007600354193</v>
      </c>
    </row>
    <row r="7" spans="1:9" x14ac:dyDescent="0.2">
      <c r="A7" t="s">
        <v>44</v>
      </c>
      <c r="B7">
        <v>33.333333333333307</v>
      </c>
      <c r="C7">
        <v>31.34615384615384</v>
      </c>
      <c r="D7">
        <f>TableBRE[[#This Row],[ARIMAPP]]*$I$2+TableBRE[[#This Row],[LSTMPP]]*$I$3</f>
        <v>34.871363664928182</v>
      </c>
      <c r="E7">
        <v>21</v>
      </c>
      <c r="F7">
        <f>ABS(TableBRE[[#This Row],[PP]]-TableBRE[[#This Row],[AP]])</f>
        <v>13.871363664928182</v>
      </c>
      <c r="H7" t="s">
        <v>3</v>
      </c>
      <c r="I7">
        <f>AVERAGE(TableBRE[DIFF])/10</f>
        <v>0.75103288004509705</v>
      </c>
    </row>
    <row r="8" spans="1:9" x14ac:dyDescent="0.2">
      <c r="A8" t="s">
        <v>45</v>
      </c>
      <c r="B8">
        <v>33.980042126160669</v>
      </c>
      <c r="C8">
        <v>28.557692307692299</v>
      </c>
      <c r="D8">
        <f>TableBRE[[#This Row],[ARIMAPP]]*$I$2+TableBRE[[#This Row],[LSTMPP]]*$I$3</f>
        <v>33.735906729421266</v>
      </c>
      <c r="E8">
        <v>28</v>
      </c>
      <c r="F8">
        <f>ABS(TableBRE[[#This Row],[PP]]-TableBRE[[#This Row],[AP]])</f>
        <v>5.7359067294212664</v>
      </c>
    </row>
    <row r="9" spans="1:9" x14ac:dyDescent="0.2">
      <c r="A9" t="s">
        <v>46</v>
      </c>
      <c r="B9">
        <v>33.622288381029179</v>
      </c>
      <c r="C9">
        <v>26.53846153846154</v>
      </c>
      <c r="D9">
        <f>TableBRE[[#This Row],[ARIMAPP]]*$I$2+TableBRE[[#This Row],[LSTMPP]]*$I$3</f>
        <v>32.463913942408638</v>
      </c>
      <c r="E9">
        <v>51</v>
      </c>
      <c r="F9">
        <f>ABS(TableBRE[[#This Row],[PP]]-TableBRE[[#This Row],[AP]])</f>
        <v>18.536086057591362</v>
      </c>
    </row>
    <row r="10" spans="1:9" x14ac:dyDescent="0.2">
      <c r="A10" t="s">
        <v>47</v>
      </c>
      <c r="B10">
        <v>23.777777777777771</v>
      </c>
      <c r="C10">
        <v>26.944444444444439</v>
      </c>
      <c r="D10">
        <f>TableBRE[[#This Row],[ARIMAPP]]*$I$2+TableBRE[[#This Row],[LSTMPP]]*$I$3</f>
        <v>27.320449655690695</v>
      </c>
      <c r="E10">
        <v>33</v>
      </c>
      <c r="F10">
        <f>ABS(TableBRE[[#This Row],[PP]]-TableBRE[[#This Row],[AP]])</f>
        <v>5.6795503443093054</v>
      </c>
    </row>
    <row r="11" spans="1:9" x14ac:dyDescent="0.2">
      <c r="A11" t="s">
        <v>48</v>
      </c>
      <c r="B11">
        <v>23.91304347826086</v>
      </c>
      <c r="C11">
        <v>24.166666666666671</v>
      </c>
      <c r="D11">
        <f>TableBRE[[#This Row],[ARIMAPP]]*$I$2+TableBRE[[#This Row],[LSTMPP]]*$I$3</f>
        <v>25.912226555988696</v>
      </c>
      <c r="E11">
        <v>23</v>
      </c>
      <c r="F11">
        <f>ABS(TableBRE[[#This Row],[PP]]-TableBRE[[#This Row],[AP]])</f>
        <v>2.9122265559886955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49</v>
      </c>
      <c r="B2">
        <v>33.931034482758648</v>
      </c>
      <c r="C2">
        <v>31.5948275862069</v>
      </c>
      <c r="D2">
        <f>TableBHA[[#This Row],[ARIMAPP]]*$I$2+TableBHA[[#This Row],[LSTMPP]]*$I$3</f>
        <v>30.044758906194019</v>
      </c>
      <c r="E2">
        <v>41</v>
      </c>
      <c r="F2">
        <f>ABS(TableBHA[[#This Row],[PP]]-TableBHA[[#This Row],[AP]])</f>
        <v>10.955241093805981</v>
      </c>
      <c r="H2" t="s">
        <v>0</v>
      </c>
      <c r="I2">
        <v>0.47691045472873322</v>
      </c>
    </row>
    <row r="3" spans="1:9" x14ac:dyDescent="0.2">
      <c r="A3" t="s">
        <v>50</v>
      </c>
      <c r="B3">
        <v>17.312302214771101</v>
      </c>
      <c r="C3">
        <v>24.027777777777779</v>
      </c>
      <c r="D3">
        <f>TableBHA[[#This Row],[ARIMAPP]]*$I$2+TableBHA[[#This Row],[LSTMPP]]*$I$3</f>
        <v>18.798957697757125</v>
      </c>
      <c r="E3">
        <v>29</v>
      </c>
      <c r="F3">
        <f>ABS(TableBHA[[#This Row],[PP]]-TableBHA[[#This Row],[AP]])</f>
        <v>10.201042302242875</v>
      </c>
      <c r="H3" t="s">
        <v>1</v>
      </c>
      <c r="I3">
        <v>0.43876466120224028</v>
      </c>
    </row>
    <row r="4" spans="1:9" x14ac:dyDescent="0.2">
      <c r="A4" t="s">
        <v>51</v>
      </c>
      <c r="B4">
        <v>21.2298405012295</v>
      </c>
      <c r="C4">
        <v>24.8</v>
      </c>
      <c r="D4">
        <f>TableBHA[[#This Row],[ARIMAPP]]*$I$2+TableBHA[[#This Row],[LSTMPP]]*$I$3</f>
        <v>21.006096485075396</v>
      </c>
      <c r="E4">
        <v>22</v>
      </c>
      <c r="F4">
        <f>ABS(TableBHA[[#This Row],[PP]]-TableBHA[[#This Row],[AP]])</f>
        <v>0.99390351492460383</v>
      </c>
    </row>
    <row r="5" spans="1:9" x14ac:dyDescent="0.2">
      <c r="A5" t="s">
        <v>52</v>
      </c>
      <c r="B5">
        <v>52.499999999999993</v>
      </c>
      <c r="C5">
        <v>43.195956796065609</v>
      </c>
      <c r="D5">
        <f>TableBHA[[#This Row],[ARIMAPP]]*$I$2+TableBHA[[#This Row],[LSTMPP]]*$I$3</f>
        <v>43.990658222190831</v>
      </c>
      <c r="E5">
        <v>21</v>
      </c>
      <c r="F5">
        <f>ABS(TableBHA[[#This Row],[PP]]-TableBHA[[#This Row],[AP]])</f>
        <v>22.990658222190831</v>
      </c>
      <c r="H5" t="s">
        <v>2</v>
      </c>
      <c r="I5" cm="1">
        <f t="array" ref="I5">(SUM(TableBHA[PP]-TableBHA[AP]))^2</f>
        <v>5.0487097934144756E-29</v>
      </c>
    </row>
    <row r="6" spans="1:9" x14ac:dyDescent="0.2">
      <c r="A6" t="s">
        <v>53</v>
      </c>
      <c r="B6">
        <v>30</v>
      </c>
      <c r="C6">
        <v>31.583276829993149</v>
      </c>
      <c r="D6">
        <f>TableBHA[[#This Row],[ARIMAPP]]*$I$2+TableBHA[[#This Row],[LSTMPP]]*$I$3</f>
        <v>28.164939399830509</v>
      </c>
      <c r="E6">
        <v>36</v>
      </c>
      <c r="F6">
        <f>ABS(TableBHA[[#This Row],[PP]]-TableBHA[[#This Row],[AP]])</f>
        <v>7.8350606001694914</v>
      </c>
    </row>
    <row r="7" spans="1:9" x14ac:dyDescent="0.2">
      <c r="A7" t="s">
        <v>54</v>
      </c>
      <c r="B7">
        <v>47.68224283061258</v>
      </c>
      <c r="C7">
        <v>35.416666666666671</v>
      </c>
      <c r="D7">
        <f>TableBHA[[#This Row],[ARIMAPP]]*$I$2+TableBHA[[#This Row],[LSTMPP]]*$I$3</f>
        <v>38.279741861746004</v>
      </c>
      <c r="E7">
        <v>36</v>
      </c>
      <c r="F7">
        <f>ABS(TableBHA[[#This Row],[PP]]-TableBHA[[#This Row],[AP]])</f>
        <v>2.2797418617460039</v>
      </c>
      <c r="H7" t="s">
        <v>3</v>
      </c>
      <c r="I7">
        <f>AVERAGE(TableBHA[DIFF])/10</f>
        <v>0.85672135746122735</v>
      </c>
    </row>
    <row r="8" spans="1:9" x14ac:dyDescent="0.2">
      <c r="A8" t="s">
        <v>55</v>
      </c>
      <c r="B8">
        <v>39.230497579800378</v>
      </c>
      <c r="C8">
        <v>31.920102564352899</v>
      </c>
      <c r="D8">
        <f>TableBHA[[#This Row],[ARIMAPP]]*$I$2+TableBHA[[#This Row],[LSTMPP]]*$I$3</f>
        <v>32.714847427206124</v>
      </c>
      <c r="E8">
        <v>28</v>
      </c>
      <c r="F8">
        <f>ABS(TableBHA[[#This Row],[PP]]-TableBHA[[#This Row],[AP]])</f>
        <v>4.7148474272061236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56</v>
      </c>
      <c r="B2">
        <v>23.521126760563369</v>
      </c>
      <c r="C2">
        <v>25.178571428571431</v>
      </c>
      <c r="D2">
        <f>TableBUR[[#This Row],[ARIMAPP]]*$I$2+TableBUR[[#This Row],[LSTMPP]]*$I$3</f>
        <v>26.000000000000004</v>
      </c>
      <c r="E2">
        <v>26</v>
      </c>
      <c r="F2">
        <f>ABS(TableBUR[[#This Row],[PP]]-TableBUR[[#This Row],[AP]])</f>
        <v>3.5527136788005009E-15</v>
      </c>
      <c r="H2" t="s">
        <v>0</v>
      </c>
      <c r="I2">
        <v>0.51511734545889321</v>
      </c>
    </row>
    <row r="3" spans="1:9" x14ac:dyDescent="0.2">
      <c r="H3" t="s">
        <v>1</v>
      </c>
      <c r="I3">
        <v>0.55141570125546235</v>
      </c>
    </row>
    <row r="5" spans="1:9" x14ac:dyDescent="0.2">
      <c r="H5" t="s">
        <v>2</v>
      </c>
      <c r="I5">
        <f>(SUM(TableBUR[PP]-TableBUR[AP]))^2</f>
        <v>1.2621774483536189E-29</v>
      </c>
    </row>
    <row r="7" spans="1:9" x14ac:dyDescent="0.2">
      <c r="H7" t="s">
        <v>3</v>
      </c>
      <c r="I7">
        <f>AVERAGE(TableBUR[DIFF])/10</f>
        <v>3.5527136788005011E-16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57</v>
      </c>
      <c r="B2">
        <v>40.419166008781133</v>
      </c>
      <c r="C2">
        <v>58.236035685881127</v>
      </c>
      <c r="D2">
        <f>TableCHE[[#This Row],[ARIMAPP]]*$I$2+TableCHE[[#This Row],[LSTMPP]]*$I$3</f>
        <v>64.871837552843559</v>
      </c>
      <c r="E2">
        <v>56</v>
      </c>
      <c r="F2">
        <f>ABS(TableCHE[[#This Row],[PP]]-TableCHE[[#This Row],[AP]])</f>
        <v>8.8718375528435587</v>
      </c>
      <c r="H2" t="s">
        <v>0</v>
      </c>
      <c r="I2">
        <v>0.57774537772272094</v>
      </c>
    </row>
    <row r="3" spans="1:9" x14ac:dyDescent="0.2">
      <c r="A3" t="s">
        <v>58</v>
      </c>
      <c r="B3">
        <v>27.848091001575529</v>
      </c>
      <c r="C3">
        <v>29.078947368421058</v>
      </c>
      <c r="D3">
        <f>TableCHE[[#This Row],[ARIMAPP]]*$I$2+TableCHE[[#This Row],[LSTMPP]]*$I$3</f>
        <v>36.821175854645787</v>
      </c>
      <c r="E3">
        <v>41</v>
      </c>
      <c r="F3">
        <f>ABS(TableCHE[[#This Row],[PP]]-TableCHE[[#This Row],[AP]])</f>
        <v>4.1788241453542128</v>
      </c>
      <c r="H3" t="s">
        <v>1</v>
      </c>
      <c r="I3">
        <v>0.71295806335129885</v>
      </c>
    </row>
    <row r="4" spans="1:9" x14ac:dyDescent="0.2">
      <c r="A4" t="s">
        <v>59</v>
      </c>
      <c r="B4">
        <v>34.823529411764703</v>
      </c>
      <c r="C4">
        <v>33.883781391750908</v>
      </c>
      <c r="D4">
        <f>TableCHE[[#This Row],[ARIMAPP]]*$I$2+TableCHE[[#This Row],[LSTMPP]]*$I$3</f>
        <v>44.276848313719782</v>
      </c>
      <c r="E4">
        <v>39</v>
      </c>
      <c r="F4">
        <f>ABS(TableCHE[[#This Row],[PP]]-TableCHE[[#This Row],[AP]])</f>
        <v>5.2768483137197819</v>
      </c>
    </row>
    <row r="5" spans="1:9" x14ac:dyDescent="0.2">
      <c r="A5" t="s">
        <v>60</v>
      </c>
      <c r="B5">
        <v>12.200829581144591</v>
      </c>
      <c r="C5">
        <v>18.84615384615385</v>
      </c>
      <c r="D5">
        <f>TableCHE[[#This Row],[ARIMAPP]]*$I$2+TableCHE[[#This Row],[LSTMPP]]*$I$3</f>
        <v>20.48549024266341</v>
      </c>
      <c r="E5">
        <v>47</v>
      </c>
      <c r="F5">
        <f>ABS(TableCHE[[#This Row],[PP]]-TableCHE[[#This Row],[AP]])</f>
        <v>26.51450975733659</v>
      </c>
      <c r="H5" t="s">
        <v>2</v>
      </c>
      <c r="I5" cm="1">
        <f t="array" ref="I5">(SUM(TableCHE[PP]-TableCHE[AP]))^2</f>
        <v>2.0194839173657902E-28</v>
      </c>
    </row>
    <row r="6" spans="1:9" x14ac:dyDescent="0.2">
      <c r="A6" t="s">
        <v>61</v>
      </c>
      <c r="B6">
        <v>34.385964912280727</v>
      </c>
      <c r="C6">
        <v>33.472894330682983</v>
      </c>
      <c r="D6">
        <f>TableCHE[[#This Row],[ARIMAPP]]*$I$2+TableCHE[[#This Row],[LSTMPP]]*$I$3</f>
        <v>43.731102203372267</v>
      </c>
      <c r="E6">
        <v>34</v>
      </c>
      <c r="F6">
        <f>ABS(TableCHE[[#This Row],[PP]]-TableCHE[[#This Row],[AP]])</f>
        <v>9.7311022033722665</v>
      </c>
    </row>
    <row r="7" spans="1:9" x14ac:dyDescent="0.2">
      <c r="A7" t="s">
        <v>62</v>
      </c>
      <c r="B7">
        <v>24.73188983674304</v>
      </c>
      <c r="C7">
        <v>39.042533755492457</v>
      </c>
      <c r="D7">
        <f>TableCHE[[#This Row],[ARIMAPP]]*$I$2+TableCHE[[#This Row],[LSTMPP]]*$I$3</f>
        <v>42.124424290169443</v>
      </c>
      <c r="E7">
        <v>33</v>
      </c>
      <c r="F7">
        <f>ABS(TableCHE[[#This Row],[PP]]-TableCHE[[#This Row],[AP]])</f>
        <v>9.1244242901694435</v>
      </c>
      <c r="H7" t="s">
        <v>3</v>
      </c>
      <c r="I7">
        <f>AVERAGE(TableCHE[DIFF])/10</f>
        <v>0.94297749600300163</v>
      </c>
    </row>
    <row r="8" spans="1:9" x14ac:dyDescent="0.2">
      <c r="A8" t="s">
        <v>63</v>
      </c>
      <c r="B8">
        <v>17.692307692307701</v>
      </c>
      <c r="C8">
        <v>24.5</v>
      </c>
      <c r="D8">
        <f>TableCHE[[#This Row],[ARIMAPP]]*$I$2+TableCHE[[#This Row],[LSTMPP]]*$I$3</f>
        <v>27.689121542585738</v>
      </c>
      <c r="E8">
        <v>30</v>
      </c>
      <c r="F8">
        <f>ABS(TableCHE[[#This Row],[PP]]-TableCHE[[#This Row],[AP]])</f>
        <v>2.3108784574142618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64</v>
      </c>
      <c r="B2">
        <v>26.91176470588232</v>
      </c>
      <c r="C2">
        <v>28.657407407407408</v>
      </c>
      <c r="D2">
        <f>TableCRY[[#This Row],[ARIMAPP]]*$I$2+TableCRY[[#This Row],[LSTMPP]]*$I$3</f>
        <v>31.88761091310689</v>
      </c>
      <c r="E2">
        <v>27</v>
      </c>
      <c r="F2">
        <f>ABS(TableCRY[[#This Row],[PP]]-TableCRY[[#This Row],[AP]])</f>
        <v>4.8876109131068901</v>
      </c>
      <c r="H2" t="s">
        <v>0</v>
      </c>
      <c r="I2">
        <v>0.55956127086241458</v>
      </c>
    </row>
    <row r="3" spans="1:9" x14ac:dyDescent="0.2">
      <c r="A3" t="s">
        <v>65</v>
      </c>
      <c r="B3">
        <v>14.992703418722691</v>
      </c>
      <c r="C3">
        <v>26.0625</v>
      </c>
      <c r="D3">
        <f>TableCRY[[#This Row],[ARIMAPP]]*$I$2+TableCRY[[#This Row],[LSTMPP]]*$I$3</f>
        <v>23.694327540891361</v>
      </c>
      <c r="E3">
        <v>29</v>
      </c>
      <c r="F3">
        <f>ABS(TableCRY[[#This Row],[PP]]-TableCRY[[#This Row],[AP]])</f>
        <v>5.3056724591086386</v>
      </c>
      <c r="H3" t="s">
        <v>1</v>
      </c>
      <c r="I3">
        <v>0.58724187481046042</v>
      </c>
    </row>
    <row r="4" spans="1:9" x14ac:dyDescent="0.2">
      <c r="A4" t="s">
        <v>66</v>
      </c>
      <c r="B4">
        <v>25.811965811965809</v>
      </c>
      <c r="C4">
        <v>27.63440860215054</v>
      </c>
      <c r="D4">
        <f>TableCRY[[#This Row],[ARIMAPP]]*$I$2+TableCRY[[#This Row],[LSTMPP]]*$I$3</f>
        <v>30.671458310005981</v>
      </c>
      <c r="E4">
        <v>21</v>
      </c>
      <c r="F4">
        <f>ABS(TableCRY[[#This Row],[PP]]-TableCRY[[#This Row],[AP]])</f>
        <v>9.6714583100059812</v>
      </c>
    </row>
    <row r="5" spans="1:9" x14ac:dyDescent="0.2">
      <c r="A5" t="s">
        <v>67</v>
      </c>
      <c r="B5">
        <v>27.371794871794851</v>
      </c>
      <c r="C5">
        <v>28.75</v>
      </c>
      <c r="D5">
        <f>TableCRY[[#This Row],[ARIMAPP]]*$I$2+TableCRY[[#This Row],[LSTMPP]]*$I$3</f>
        <v>32.199400225047583</v>
      </c>
      <c r="E5">
        <v>31</v>
      </c>
      <c r="F5">
        <f>ABS(TableCRY[[#This Row],[PP]]-TableCRY[[#This Row],[AP]])</f>
        <v>1.199400225047583</v>
      </c>
      <c r="H5" t="s">
        <v>2</v>
      </c>
      <c r="I5" cm="1">
        <f t="array" ref="I5">(SUM(TableCRY[PP]-TableCRY[AP]))^2</f>
        <v>1.135959703518257E-28</v>
      </c>
    </row>
    <row r="6" spans="1:9" x14ac:dyDescent="0.2">
      <c r="A6" t="s">
        <v>68</v>
      </c>
      <c r="B6">
        <v>26.116852933371479</v>
      </c>
      <c r="C6">
        <v>28.835616438356169</v>
      </c>
      <c r="D6">
        <f>TableCRY[[#This Row],[ARIMAPP]]*$I$2+TableCRY[[#This Row],[LSTMPP]]*$I$3</f>
        <v>31.547460876899734</v>
      </c>
      <c r="E6">
        <v>40</v>
      </c>
      <c r="F6">
        <f>ABS(TableCRY[[#This Row],[PP]]-TableCRY[[#This Row],[AP]])</f>
        <v>8.4525391231002658</v>
      </c>
    </row>
    <row r="7" spans="1:9" x14ac:dyDescent="0.2">
      <c r="A7" t="s">
        <v>69</v>
      </c>
      <c r="B7">
        <v>36.962025316455687</v>
      </c>
      <c r="C7">
        <v>33.63724647831836</v>
      </c>
      <c r="D7">
        <f>TableCRY[[#This Row],[ARIMAPP]]*$I$2+TableCRY[[#This Row],[LSTMPP]]*$I$3</f>
        <v>40.435717545113917</v>
      </c>
      <c r="E7">
        <v>37</v>
      </c>
      <c r="F7">
        <f>ABS(TableCRY[[#This Row],[PP]]-TableCRY[[#This Row],[AP]])</f>
        <v>3.435717545113917</v>
      </c>
      <c r="H7" t="s">
        <v>3</v>
      </c>
      <c r="I7">
        <f>AVERAGE(TableCRY[DIFF])/10</f>
        <v>0.54494529645769663</v>
      </c>
    </row>
    <row r="8" spans="1:9" x14ac:dyDescent="0.2">
      <c r="A8" t="s">
        <v>70</v>
      </c>
      <c r="B8">
        <v>37.021276595744659</v>
      </c>
      <c r="C8">
        <v>33.185328433302438</v>
      </c>
      <c r="D8">
        <f>TableCRY[[#This Row],[ARIMAPP]]*$I$2+TableCRY[[#This Row],[LSTMPP]]*$I$3</f>
        <v>40.203487066237244</v>
      </c>
      <c r="E8">
        <v>42</v>
      </c>
      <c r="F8">
        <f>ABS(TableCRY[[#This Row],[PP]]-TableCRY[[#This Row],[AP]])</f>
        <v>1.7965129337627559</v>
      </c>
    </row>
    <row r="9" spans="1:9" x14ac:dyDescent="0.2">
      <c r="A9" t="s">
        <v>71</v>
      </c>
      <c r="B9">
        <v>31.075268817204289</v>
      </c>
      <c r="C9">
        <v>32.803441750710697</v>
      </c>
      <c r="D9">
        <f>TableCRY[[#This Row],[ARIMAPP]]*$I$2+TableCRY[[#This Row],[LSTMPP]]*$I$3</f>
        <v>36.652071545669074</v>
      </c>
      <c r="E9">
        <v>49</v>
      </c>
      <c r="F9">
        <f>ABS(TableCRY[[#This Row],[PP]]-TableCRY[[#This Row],[AP]])</f>
        <v>12.347928454330926</v>
      </c>
    </row>
    <row r="10" spans="1:9" x14ac:dyDescent="0.2">
      <c r="A10" t="s">
        <v>72</v>
      </c>
      <c r="B10">
        <v>20.4088209709262</v>
      </c>
      <c r="C10">
        <v>25.116279069767451</v>
      </c>
      <c r="D10">
        <f>TableCRY[[#This Row],[ARIMAPP]]*$I$2+TableCRY[[#This Row],[LSTMPP]]*$I$3</f>
        <v>26.169316608487925</v>
      </c>
      <c r="E10">
        <v>22</v>
      </c>
      <c r="F10">
        <f>ABS(TableCRY[[#This Row],[PP]]-TableCRY[[#This Row],[AP]])</f>
        <v>4.1693166084879252</v>
      </c>
    </row>
    <row r="11" spans="1:9" x14ac:dyDescent="0.2">
      <c r="A11" t="s">
        <v>73</v>
      </c>
      <c r="B11">
        <v>30.142857142857132</v>
      </c>
      <c r="C11">
        <v>29.017857142857149</v>
      </c>
      <c r="D11">
        <f>TableCRY[[#This Row],[ARIMAPP]]*$I$2+TableCRY[[#This Row],[LSTMPP]]*$I$3</f>
        <v>33.907276281834896</v>
      </c>
      <c r="E11">
        <v>36</v>
      </c>
      <c r="F11">
        <f>ABS(TableCRY[[#This Row],[PP]]-TableCRY[[#This Row],[AP]])</f>
        <v>2.0927237181651037</v>
      </c>
    </row>
    <row r="12" spans="1:9" x14ac:dyDescent="0.2">
      <c r="A12" t="s">
        <v>74</v>
      </c>
      <c r="B12">
        <v>30.01564620891758</v>
      </c>
      <c r="C12">
        <v>28.571428571428569</v>
      </c>
      <c r="D12">
        <f>TableCRY[[#This Row],[ARIMAPP]]*$I$2+TableCRY[[#This Row],[LSTMPP]]*$I$3</f>
        <v>33.573932418717405</v>
      </c>
      <c r="E12">
        <v>39</v>
      </c>
      <c r="F12">
        <f>ABS(TableCRY[[#This Row],[PP]]-TableCRY[[#This Row],[AP]])</f>
        <v>5.4260675812825951</v>
      </c>
    </row>
    <row r="13" spans="1:9" x14ac:dyDescent="0.2">
      <c r="A13" t="s">
        <v>75</v>
      </c>
      <c r="B13">
        <v>22.12121212121211</v>
      </c>
      <c r="C13">
        <v>24.807692307692299</v>
      </c>
      <c r="D13">
        <f>TableCRY[[#This Row],[ARIMAPP]]*$I$2+TableCRY[[#This Row],[LSTMPP]]*$I$3</f>
        <v>26.946289308052762</v>
      </c>
      <c r="E13">
        <v>20</v>
      </c>
      <c r="F13">
        <f>ABS(TableCRY[[#This Row],[PP]]-TableCRY[[#This Row],[AP]])</f>
        <v>6.9462893080527621</v>
      </c>
    </row>
    <row r="14" spans="1:9" x14ac:dyDescent="0.2">
      <c r="A14" t="s">
        <v>76</v>
      </c>
      <c r="B14">
        <v>28.235294117647062</v>
      </c>
      <c r="C14">
        <v>27.777777777777779</v>
      </c>
      <c r="D14">
        <f>TableCRY[[#This Row],[ARIMAPP]]*$I$2+TableCRY[[#This Row],[LSTMPP]]*$I$3</f>
        <v>32.111651359935216</v>
      </c>
      <c r="E14">
        <v>27</v>
      </c>
      <c r="F14">
        <f>ABS(TableCRY[[#This Row],[PP]]-TableCRY[[#This Row],[AP]])</f>
        <v>5.111651359935216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77</v>
      </c>
      <c r="B2">
        <v>31.342160856610899</v>
      </c>
      <c r="C2">
        <v>31.069839912508002</v>
      </c>
      <c r="D2">
        <f>TableEVE[[#This Row],[ARIMAPP]]*$I$2+TableEVE[[#This Row],[LSTMPP]]*$I$3</f>
        <v>32.566665363214938</v>
      </c>
      <c r="E2">
        <v>48</v>
      </c>
      <c r="F2">
        <f>ABS(TableEVE[[#This Row],[PP]]-TableEVE[[#This Row],[AP]])</f>
        <v>15.433334636785062</v>
      </c>
      <c r="H2" t="s">
        <v>0</v>
      </c>
      <c r="I2">
        <v>0.50315796343200392</v>
      </c>
    </row>
    <row r="3" spans="1:9" x14ac:dyDescent="0.2">
      <c r="A3" t="s">
        <v>78</v>
      </c>
      <c r="B3">
        <v>21.71875</v>
      </c>
      <c r="C3">
        <v>26.372549019607838</v>
      </c>
      <c r="D3">
        <f>TableEVE[[#This Row],[ARIMAPP]]*$I$2+TableEVE[[#This Row],[LSTMPP]]*$I$3</f>
        <v>25.185175987887909</v>
      </c>
      <c r="E3">
        <v>23</v>
      </c>
      <c r="F3">
        <f>ABS(TableEVE[[#This Row],[PP]]-TableEVE[[#This Row],[AP]])</f>
        <v>2.1851759878879093</v>
      </c>
      <c r="H3" t="s">
        <v>1</v>
      </c>
      <c r="I3">
        <v>0.54060811334539249</v>
      </c>
    </row>
    <row r="4" spans="1:9" x14ac:dyDescent="0.2">
      <c r="A4" t="s">
        <v>79</v>
      </c>
      <c r="B4">
        <v>29.643441970546039</v>
      </c>
      <c r="C4">
        <v>29.535714285714288</v>
      </c>
      <c r="D4">
        <f>TableEVE[[#This Row],[ARIMAPP]]*$I$2+TableEVE[[#This Row],[LSTMPP]]*$I$3</f>
        <v>30.882580667323293</v>
      </c>
      <c r="E4">
        <v>35</v>
      </c>
      <c r="F4">
        <f>ABS(TableEVE[[#This Row],[PP]]-TableEVE[[#This Row],[AP]])</f>
        <v>4.1174193326767075</v>
      </c>
    </row>
    <row r="5" spans="1:9" x14ac:dyDescent="0.2">
      <c r="A5" t="s">
        <v>80</v>
      </c>
      <c r="B5">
        <v>35.000000000000028</v>
      </c>
      <c r="C5">
        <v>36.991939340614771</v>
      </c>
      <c r="D5">
        <f>TableEVE[[#This Row],[ARIMAPP]]*$I$2+TableEVE[[#This Row],[LSTMPP]]*$I$3</f>
        <v>37.608671256037105</v>
      </c>
      <c r="E5">
        <v>29</v>
      </c>
      <c r="F5">
        <f>ABS(TableEVE[[#This Row],[PP]]-TableEVE[[#This Row],[AP]])</f>
        <v>8.6086712560371055</v>
      </c>
      <c r="H5" t="s">
        <v>2</v>
      </c>
      <c r="I5" cm="1">
        <f t="array" ref="I5">(SUM(TableEVE[PP]-TableEVE[AP]))^2</f>
        <v>1.135959703518257E-28</v>
      </c>
    </row>
    <row r="6" spans="1:9" x14ac:dyDescent="0.2">
      <c r="A6" t="s">
        <v>81</v>
      </c>
      <c r="B6">
        <v>34.69499690920312</v>
      </c>
      <c r="C6">
        <v>36.620754980018987</v>
      </c>
      <c r="D6">
        <f>TableEVE[[#This Row],[ARIMAPP]]*$I$2+TableEVE[[#This Row],[LSTMPP]]*$I$3</f>
        <v>37.254541245146264</v>
      </c>
      <c r="E6">
        <v>31</v>
      </c>
      <c r="F6">
        <f>ABS(TableEVE[[#This Row],[PP]]-TableEVE[[#This Row],[AP]])</f>
        <v>6.2545412451462639</v>
      </c>
    </row>
    <row r="7" spans="1:9" x14ac:dyDescent="0.2">
      <c r="A7" t="s">
        <v>82</v>
      </c>
      <c r="B7">
        <v>30.909619048706311</v>
      </c>
      <c r="C7">
        <v>29.523809523809529</v>
      </c>
      <c r="D7">
        <f>TableEVE[[#This Row],[ARIMAPP]]*$I$2+TableEVE[[#This Row],[LSTMPP]]*$I$3</f>
        <v>31.513231936441542</v>
      </c>
      <c r="E7">
        <v>24</v>
      </c>
      <c r="F7">
        <f>ABS(TableEVE[[#This Row],[PP]]-TableEVE[[#This Row],[AP]])</f>
        <v>7.5132319364415423</v>
      </c>
      <c r="H7" t="s">
        <v>3</v>
      </c>
      <c r="I7">
        <f>AVERAGE(TableEVE[DIFF])/10</f>
        <v>0.66743592608309521</v>
      </c>
    </row>
    <row r="8" spans="1:9" x14ac:dyDescent="0.2">
      <c r="A8" t="s">
        <v>83</v>
      </c>
      <c r="B8">
        <v>15.70234218062695</v>
      </c>
      <c r="C8">
        <v>21.875</v>
      </c>
      <c r="D8">
        <f>TableEVE[[#This Row],[ARIMAPP]]*$I$2+TableEVE[[#This Row],[LSTMPP]]*$I$3</f>
        <v>19.726560992147167</v>
      </c>
      <c r="E8">
        <v>29</v>
      </c>
      <c r="F8">
        <f>ABS(TableEVE[[#This Row],[PP]]-TableEVE[[#This Row],[AP]])</f>
        <v>9.2734390078528328</v>
      </c>
    </row>
    <row r="9" spans="1:9" x14ac:dyDescent="0.2">
      <c r="A9" t="s">
        <v>84</v>
      </c>
      <c r="B9">
        <v>18</v>
      </c>
      <c r="C9">
        <v>27.926997312342412</v>
      </c>
      <c r="D9">
        <f>TableEVE[[#This Row],[ARIMAPP]]*$I$2+TableEVE[[#This Row],[LSTMPP]]*$I$3</f>
        <v>24.154404670203348</v>
      </c>
      <c r="E9">
        <v>22</v>
      </c>
      <c r="F9">
        <f>ABS(TableEVE[[#This Row],[PP]]-TableEVE[[#This Row],[AP]])</f>
        <v>2.1544046702033484</v>
      </c>
    </row>
    <row r="10" spans="1:9" x14ac:dyDescent="0.2">
      <c r="A10" t="s">
        <v>85</v>
      </c>
      <c r="B10">
        <v>39.793814432989691</v>
      </c>
      <c r="C10">
        <v>34.090909090909093</v>
      </c>
      <c r="D10">
        <f>TableEVE[[#This Row],[ARIMAPP]]*$I$2+TableEVE[[#This Row],[LSTMPP]]*$I$3</f>
        <v>38.452396673159832</v>
      </c>
      <c r="E10">
        <v>43</v>
      </c>
      <c r="F10">
        <f>ABS(TableEVE[[#This Row],[PP]]-TableEVE[[#This Row],[AP]])</f>
        <v>4.5476033268401679</v>
      </c>
    </row>
    <row r="11" spans="1:9" x14ac:dyDescent="0.2">
      <c r="A11" t="s">
        <v>86</v>
      </c>
      <c r="B11">
        <v>23.636734493953359</v>
      </c>
      <c r="C11">
        <v>27.307692307692299</v>
      </c>
      <c r="D11">
        <f>TableEVE[[#This Row],[ARIMAPP]]*$I$2+TableEVE[[#This Row],[LSTMPP]]*$I$3</f>
        <v>26.65577120843859</v>
      </c>
      <c r="E11">
        <v>20</v>
      </c>
      <c r="F11">
        <f>ABS(TableEVE[[#This Row],[PP]]-TableEVE[[#This Row],[AP]])</f>
        <v>6.6557712084385905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87</v>
      </c>
      <c r="B2">
        <v>26.63793103448274</v>
      </c>
      <c r="C2">
        <v>26.90217391304348</v>
      </c>
      <c r="D2">
        <f>TableFUL[[#This Row],[ARIMAPP]]*$I$2+TableFUL[[#This Row],[LSTMPP]]*$I$3</f>
        <v>26.110799372715945</v>
      </c>
      <c r="E2">
        <v>25</v>
      </c>
      <c r="F2">
        <f>ABS(TableFUL[[#This Row],[PP]]-TableFUL[[#This Row],[AP]])</f>
        <v>1.1107993727159453</v>
      </c>
      <c r="H2" t="s">
        <v>0</v>
      </c>
      <c r="I2">
        <v>0.49352847874691852</v>
      </c>
    </row>
    <row r="3" spans="1:9" x14ac:dyDescent="0.2">
      <c r="A3" t="s">
        <v>88</v>
      </c>
      <c r="B3">
        <v>38.187104154159343</v>
      </c>
      <c r="C3">
        <v>32.570093457943933</v>
      </c>
      <c r="D3">
        <f>TableFUL[[#This Row],[ARIMAPP]]*$I$2+TableFUL[[#This Row],[LSTMPP]]*$I$3</f>
        <v>34.542029164549035</v>
      </c>
      <c r="E3">
        <v>34</v>
      </c>
      <c r="F3">
        <f>ABS(TableFUL[[#This Row],[PP]]-TableFUL[[#This Row],[AP]])</f>
        <v>0.54202916454903516</v>
      </c>
      <c r="H3" t="s">
        <v>1</v>
      </c>
      <c r="I3">
        <v>0.48190238581487521</v>
      </c>
    </row>
    <row r="4" spans="1:9" x14ac:dyDescent="0.2">
      <c r="A4" t="s">
        <v>89</v>
      </c>
      <c r="B4">
        <v>23.63636363636363</v>
      </c>
      <c r="C4">
        <v>25</v>
      </c>
      <c r="D4">
        <f>TableFUL[[#This Row],[ARIMAPP]]*$I$2+TableFUL[[#This Row],[LSTMPP]]*$I$3</f>
        <v>23.712778233935403</v>
      </c>
      <c r="E4">
        <v>27</v>
      </c>
      <c r="F4">
        <f>ABS(TableFUL[[#This Row],[PP]]-TableFUL[[#This Row],[AP]])</f>
        <v>3.2872217660645973</v>
      </c>
    </row>
    <row r="5" spans="1:9" x14ac:dyDescent="0.2">
      <c r="A5" t="s">
        <v>90</v>
      </c>
      <c r="B5">
        <v>32.792010960865561</v>
      </c>
      <c r="C5">
        <v>31.64179104477612</v>
      </c>
      <c r="D5">
        <f>TableFUL[[#This Row],[ARIMAPP]]*$I$2+TableFUL[[#This Row],[LSTMPP]]*$I$3</f>
        <v>31.432045880501626</v>
      </c>
      <c r="E5">
        <v>26</v>
      </c>
      <c r="F5">
        <f>ABS(TableFUL[[#This Row],[PP]]-TableFUL[[#This Row],[AP]])</f>
        <v>5.4320458805016258</v>
      </c>
      <c r="H5" t="s">
        <v>2</v>
      </c>
      <c r="I5" cm="1">
        <f t="array" ref="I5">(SUM(TableFUL[PP]-TableFUL[AP]))^2</f>
        <v>2.0194839173657902E-28</v>
      </c>
    </row>
    <row r="6" spans="1:9" x14ac:dyDescent="0.2">
      <c r="A6" t="s">
        <v>91</v>
      </c>
      <c r="B6">
        <v>23.93939393939392</v>
      </c>
      <c r="C6">
        <v>26.92307692307693</v>
      </c>
      <c r="D6">
        <f>TableFUL[[#This Row],[ARIMAPP]]*$I$2+TableFUL[[#This Row],[LSTMPP]]*$I$3</f>
        <v>24.789067675740462</v>
      </c>
      <c r="E6">
        <v>32</v>
      </c>
      <c r="F6">
        <f>ABS(TableFUL[[#This Row],[PP]]-TableFUL[[#This Row],[AP]])</f>
        <v>7.210932324259538</v>
      </c>
    </row>
    <row r="7" spans="1:9" x14ac:dyDescent="0.2">
      <c r="A7" t="s">
        <v>92</v>
      </c>
      <c r="B7">
        <v>38.865325892412507</v>
      </c>
      <c r="C7">
        <v>38.911344267335643</v>
      </c>
      <c r="D7">
        <f>TableFUL[[#This Row],[ARIMAPP]]*$I$2+TableFUL[[#This Row],[LSTMPP]]*$I$3</f>
        <v>37.932614801378577</v>
      </c>
      <c r="E7">
        <v>28</v>
      </c>
      <c r="F7">
        <f>ABS(TableFUL[[#This Row],[PP]]-TableFUL[[#This Row],[AP]])</f>
        <v>9.9326148013785769</v>
      </c>
      <c r="H7" t="s">
        <v>3</v>
      </c>
      <c r="I7">
        <f>AVERAGE(TableFUL[DIFF])/10</f>
        <v>0.48231558083836318</v>
      </c>
    </row>
    <row r="8" spans="1:9" x14ac:dyDescent="0.2">
      <c r="A8" t="s">
        <v>93</v>
      </c>
      <c r="B8">
        <v>26.344499166244699</v>
      </c>
      <c r="C8">
        <v>27.321428571428569</v>
      </c>
      <c r="D8">
        <f>TableFUL[[#This Row],[ARIMAPP]]*$I$2+TableFUL[[#This Row],[LSTMPP]]*$I$3</f>
        <v>26.168022209308333</v>
      </c>
      <c r="E8">
        <v>26</v>
      </c>
      <c r="F8">
        <f>ABS(TableFUL[[#This Row],[PP]]-TableFUL[[#This Row],[AP]])</f>
        <v>0.168022209308333</v>
      </c>
    </row>
    <row r="9" spans="1:9" x14ac:dyDescent="0.2">
      <c r="A9" t="s">
        <v>94</v>
      </c>
      <c r="B9">
        <v>42.609436072699083</v>
      </c>
      <c r="C9">
        <v>32.142857142857153</v>
      </c>
      <c r="D9">
        <f>TableFUL[[#This Row],[ARIMAPP]]*$I$2+TableFUL[[#This Row],[LSTMPP]]*$I$3</f>
        <v>36.51868970927282</v>
      </c>
      <c r="E9">
        <v>32</v>
      </c>
      <c r="F9">
        <f>ABS(TableFUL[[#This Row],[PP]]-TableFUL[[#This Row],[AP]])</f>
        <v>4.5186897092728202</v>
      </c>
    </row>
    <row r="10" spans="1:9" x14ac:dyDescent="0.2">
      <c r="A10" t="s">
        <v>95</v>
      </c>
      <c r="B10">
        <v>18.75</v>
      </c>
      <c r="C10">
        <v>23.94736842105263</v>
      </c>
      <c r="D10">
        <f>TableFUL[[#This Row],[ARIMAPP]]*$I$2+TableFUL[[#This Row],[LSTMPP]]*$I$3</f>
        <v>20.793952952597785</v>
      </c>
      <c r="E10">
        <v>32</v>
      </c>
      <c r="F10">
        <f>ABS(TableFUL[[#This Row],[PP]]-TableFUL[[#This Row],[AP]])</f>
        <v>11.206047047402215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96</v>
      </c>
      <c r="B2">
        <v>43.826161090948823</v>
      </c>
      <c r="C2">
        <v>42.306608543991409</v>
      </c>
      <c r="D2">
        <f>TableLIV[[#This Row],[ARIMAPP]]*$I$2+TableLIV[[#This Row],[LSTMPP]]*$I$3</f>
        <v>42.576485323124068</v>
      </c>
      <c r="E2">
        <v>51</v>
      </c>
      <c r="F2">
        <f>ABS(TableLIV[[#This Row],[PP]]-TableLIV[[#This Row],[AP]])</f>
        <v>8.4235146768759321</v>
      </c>
      <c r="H2" t="s">
        <v>0</v>
      </c>
      <c r="I2">
        <v>0.52591125944843387</v>
      </c>
    </row>
    <row r="3" spans="1:9" x14ac:dyDescent="0.2">
      <c r="A3" t="s">
        <v>97</v>
      </c>
      <c r="B3">
        <v>50.365853658536572</v>
      </c>
      <c r="C3">
        <v>43.909597643452457</v>
      </c>
      <c r="D3">
        <f>TableLIV[[#This Row],[ARIMAPP]]*$I$2+TableLIV[[#This Row],[LSTMPP]]*$I$3</f>
        <v>46.755688310321304</v>
      </c>
      <c r="E3">
        <v>34</v>
      </c>
      <c r="F3">
        <f>ABS(TableLIV[[#This Row],[PP]]-TableLIV[[#This Row],[AP]])</f>
        <v>12.755688310321304</v>
      </c>
      <c r="H3" t="s">
        <v>1</v>
      </c>
      <c r="I3">
        <v>0.46157833064514597</v>
      </c>
    </row>
    <row r="4" spans="1:9" x14ac:dyDescent="0.2">
      <c r="A4" t="s">
        <v>98</v>
      </c>
      <c r="B4">
        <v>68.16091954022987</v>
      </c>
      <c r="C4">
        <v>49.064748201438853</v>
      </c>
      <c r="D4">
        <f>TableLIV[[#This Row],[ARIMAPP]]*$I$2+TableLIV[[#This Row],[LSTMPP]]*$I$3</f>
        <v>58.493819608910229</v>
      </c>
      <c r="E4">
        <v>91</v>
      </c>
      <c r="F4">
        <f>ABS(TableLIV[[#This Row],[PP]]-TableLIV[[#This Row],[AP]])</f>
        <v>32.506180391089771</v>
      </c>
    </row>
    <row r="5" spans="1:9" x14ac:dyDescent="0.2">
      <c r="A5" t="s">
        <v>99</v>
      </c>
      <c r="B5">
        <v>53.205660924430028</v>
      </c>
      <c r="C5">
        <v>42.099236641221367</v>
      </c>
      <c r="D5">
        <f>TableLIV[[#This Row],[ARIMAPP]]*$I$2+TableLIV[[#This Row],[LSTMPP]]*$I$3</f>
        <v>47.413551516843242</v>
      </c>
      <c r="E5">
        <v>38</v>
      </c>
      <c r="F5">
        <f>ABS(TableLIV[[#This Row],[PP]]-TableLIV[[#This Row],[AP]])</f>
        <v>9.413551516843242</v>
      </c>
      <c r="H5" t="s">
        <v>2</v>
      </c>
      <c r="I5" cm="1">
        <f t="array" ref="I5">(SUM(TableLIV[PP]-TableLIV[AP]))^2</f>
        <v>1.2621774483536189E-29</v>
      </c>
    </row>
    <row r="6" spans="1:9" x14ac:dyDescent="0.2">
      <c r="A6" t="s">
        <v>100</v>
      </c>
      <c r="B6">
        <v>48.435372364992773</v>
      </c>
      <c r="C6">
        <v>43.06741660528683</v>
      </c>
      <c r="D6">
        <f>TableLIV[[#This Row],[ARIMAPP]]*$I$2+TableLIV[[#This Row],[LSTMPP]]*$I$3</f>
        <v>45.351693944194551</v>
      </c>
      <c r="E6">
        <v>36</v>
      </c>
      <c r="F6">
        <f>ABS(TableLIV[[#This Row],[PP]]-TableLIV[[#This Row],[AP]])</f>
        <v>9.351693944194551</v>
      </c>
    </row>
    <row r="7" spans="1:9" x14ac:dyDescent="0.2">
      <c r="A7" t="s">
        <v>101</v>
      </c>
      <c r="B7">
        <v>42.195121951219512</v>
      </c>
      <c r="C7">
        <v>36.831723631452221</v>
      </c>
      <c r="D7">
        <f>TableLIV[[#This Row],[ARIMAPP]]*$I$2+TableLIV[[#This Row],[LSTMPP]]*$I$3</f>
        <v>39.191615236535199</v>
      </c>
      <c r="E7">
        <v>29</v>
      </c>
      <c r="F7">
        <f>ABS(TableLIV[[#This Row],[PP]]-TableLIV[[#This Row],[AP]])</f>
        <v>10.191615236535199</v>
      </c>
      <c r="H7" t="s">
        <v>3</v>
      </c>
      <c r="I7">
        <f>AVERAGE(TableLIV[DIFF])/10</f>
        <v>1.2280386848937381</v>
      </c>
    </row>
    <row r="8" spans="1:9" x14ac:dyDescent="0.2">
      <c r="A8" t="s">
        <v>102</v>
      </c>
      <c r="B8">
        <v>30.4</v>
      </c>
      <c r="C8">
        <v>30.75</v>
      </c>
      <c r="D8">
        <f>TableLIV[[#This Row],[ARIMAPP]]*$I$2+TableLIV[[#This Row],[LSTMPP]]*$I$3</f>
        <v>30.181235954570628</v>
      </c>
      <c r="E8">
        <v>26</v>
      </c>
      <c r="F8">
        <f>ABS(TableLIV[[#This Row],[PP]]-TableLIV[[#This Row],[AP]])</f>
        <v>4.1812359545706279</v>
      </c>
    </row>
    <row r="9" spans="1:9" x14ac:dyDescent="0.2">
      <c r="A9" t="s">
        <v>103</v>
      </c>
      <c r="B9">
        <v>35.925925925925917</v>
      </c>
      <c r="C9">
        <v>32.61904761904762</v>
      </c>
      <c r="D9">
        <f>TableLIV[[#This Row],[ARIMAPP]]*$I$2+TableLIV[[#This Row],[LSTMPP]]*$I$3</f>
        <v>33.950094497789365</v>
      </c>
      <c r="E9">
        <v>31</v>
      </c>
      <c r="F9">
        <f>ABS(TableLIV[[#This Row],[PP]]-TableLIV[[#This Row],[AP]])</f>
        <v>2.9500944977893653</v>
      </c>
    </row>
    <row r="10" spans="1:9" x14ac:dyDescent="0.2">
      <c r="A10" t="s">
        <v>104</v>
      </c>
      <c r="B10">
        <v>35.357142857142847</v>
      </c>
      <c r="C10">
        <v>34.231546790172139</v>
      </c>
      <c r="D10">
        <f>TableLIV[[#This Row],[ARIMAPP]]*$I$2+TableLIV[[#This Row],[LSTMPP]]*$I$3</f>
        <v>34.395259753307052</v>
      </c>
      <c r="E10">
        <v>53</v>
      </c>
      <c r="F10">
        <f>ABS(TableLIV[[#This Row],[PP]]-TableLIV[[#This Row],[AP]])</f>
        <v>18.604740246692948</v>
      </c>
    </row>
    <row r="11" spans="1:9" x14ac:dyDescent="0.2">
      <c r="A11" t="s">
        <v>105</v>
      </c>
      <c r="B11">
        <v>34.999999999999993</v>
      </c>
      <c r="C11">
        <v>33.765479291508782</v>
      </c>
      <c r="D11">
        <f>TableLIV[[#This Row],[ARIMAPP]]*$I$2+TableLIV[[#This Row],[LSTMPP]]*$I$3</f>
        <v>33.992307645503054</v>
      </c>
      <c r="E11">
        <v>42</v>
      </c>
      <c r="F11">
        <f>ABS(TableLIV[[#This Row],[PP]]-TableLIV[[#This Row],[AP]])</f>
        <v>8.0076923544969461</v>
      </c>
    </row>
    <row r="12" spans="1:9" x14ac:dyDescent="0.2">
      <c r="A12" t="s">
        <v>106</v>
      </c>
      <c r="B12">
        <v>45.83585840337517</v>
      </c>
      <c r="C12">
        <v>40.280604512121101</v>
      </c>
      <c r="D12">
        <f>TableLIV[[#This Row],[ARIMAPP]]*$I$2+TableLIV[[#This Row],[LSTMPP]]*$I$3</f>
        <v>42.698248208901305</v>
      </c>
      <c r="E12">
        <v>24</v>
      </c>
      <c r="F12">
        <f>ABS(TableLIV[[#This Row],[PP]]-TableLIV[[#This Row],[AP]])</f>
        <v>18.698248208901305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107</v>
      </c>
      <c r="B2">
        <v>40.517054531044309</v>
      </c>
      <c r="C2">
        <v>34.779411764705877</v>
      </c>
      <c r="D2">
        <f>TableMCI[[#This Row],[ARIMAPP]]*$I$2+TableMCI[[#This Row],[LSTMPP]]*$I$3</f>
        <v>43.168189314403051</v>
      </c>
      <c r="E2">
        <v>31</v>
      </c>
      <c r="F2">
        <f>ABS(TableMCI[[#This Row],[PP]]-TableMCI[[#This Row],[AP]])</f>
        <v>12.168189314403051</v>
      </c>
      <c r="H2" t="s">
        <v>0</v>
      </c>
      <c r="I2">
        <v>0.59537422436610599</v>
      </c>
    </row>
    <row r="3" spans="1:9" x14ac:dyDescent="0.2">
      <c r="A3" t="s">
        <v>108</v>
      </c>
      <c r="B3">
        <v>39.040000000000028</v>
      </c>
      <c r="C3">
        <v>36.806168806278862</v>
      </c>
      <c r="D3">
        <f>TableMCI[[#This Row],[ARIMAPP]]*$I$2+TableMCI[[#This Row],[LSTMPP]]*$I$3</f>
        <v>43.398651386240687</v>
      </c>
      <c r="E3">
        <v>31</v>
      </c>
      <c r="F3">
        <f>ABS(TableMCI[[#This Row],[PP]]-TableMCI[[#This Row],[AP]])</f>
        <v>12.398651386240687</v>
      </c>
      <c r="H3" t="s">
        <v>1</v>
      </c>
      <c r="I3">
        <v>0.54760498907317823</v>
      </c>
    </row>
    <row r="4" spans="1:9" x14ac:dyDescent="0.2">
      <c r="A4" t="s">
        <v>109</v>
      </c>
      <c r="B4">
        <v>31.929824561403521</v>
      </c>
      <c r="C4">
        <v>29.890109890109891</v>
      </c>
      <c r="D4">
        <f>TableMCI[[#This Row],[ARIMAPP]]*$I$2+TableMCI[[#This Row],[LSTMPP]]*$I$3</f>
        <v>35.378167832161182</v>
      </c>
      <c r="E4">
        <v>40</v>
      </c>
      <c r="F4">
        <f>ABS(TableMCI[[#This Row],[PP]]-TableMCI[[#This Row],[AP]])</f>
        <v>4.6218321678388179</v>
      </c>
    </row>
    <row r="5" spans="1:9" x14ac:dyDescent="0.2">
      <c r="A5" t="s">
        <v>110</v>
      </c>
      <c r="B5">
        <v>48.407086998062042</v>
      </c>
      <c r="C5">
        <v>42.205909480195963</v>
      </c>
      <c r="D5">
        <f>TableMCI[[#This Row],[ARIMAPP]]*$I$2+TableMCI[[#This Row],[LSTMPP]]*$I$3</f>
        <v>51.932498475020061</v>
      </c>
      <c r="E5">
        <v>43</v>
      </c>
      <c r="F5">
        <f>ABS(TableMCI[[#This Row],[PP]]-TableMCI[[#This Row],[AP]])</f>
        <v>8.9324984750200613</v>
      </c>
      <c r="H5" t="s">
        <v>2</v>
      </c>
      <c r="I5" cm="1">
        <f t="array" ref="I5">(SUM(TableMCI[PP]-TableMCI[AP]))^2</f>
        <v>5.0487097934144756E-29</v>
      </c>
    </row>
    <row r="6" spans="1:9" x14ac:dyDescent="0.2">
      <c r="A6" t="s">
        <v>111</v>
      </c>
      <c r="B6">
        <v>29.615384615384599</v>
      </c>
      <c r="C6">
        <v>29.182692307692299</v>
      </c>
      <c r="D6">
        <f>TableMCI[[#This Row],[ARIMAPP]]*$I$2+TableMCI[[#This Row],[LSTMPP]]*$I$3</f>
        <v>33.612824546968277</v>
      </c>
      <c r="E6">
        <v>45</v>
      </c>
      <c r="F6">
        <f>ABS(TableMCI[[#This Row],[PP]]-TableMCI[[#This Row],[AP]])</f>
        <v>11.387175453031723</v>
      </c>
    </row>
    <row r="7" spans="1:9" x14ac:dyDescent="0.2">
      <c r="A7" t="s">
        <v>112</v>
      </c>
      <c r="B7">
        <v>82.424242424242365</v>
      </c>
      <c r="C7">
        <v>65.621949554842686</v>
      </c>
      <c r="D7">
        <f>TableMCI[[#This Row],[ARIMAPP]]*$I$2+TableMCI[[#This Row],[LSTMPP]]*$I$3</f>
        <v>85.008176371237468</v>
      </c>
      <c r="E7">
        <v>81</v>
      </c>
      <c r="F7">
        <f>ABS(TableMCI[[#This Row],[PP]]-TableMCI[[#This Row],[AP]])</f>
        <v>4.0081763712374681</v>
      </c>
      <c r="H7" t="s">
        <v>3</v>
      </c>
      <c r="I7">
        <f>AVERAGE(TableMCI[DIFF])/10</f>
        <v>0.92882452831780837</v>
      </c>
    </row>
    <row r="8" spans="1:9" x14ac:dyDescent="0.2">
      <c r="A8" t="s">
        <v>113</v>
      </c>
      <c r="B8">
        <v>32.571809399651997</v>
      </c>
      <c r="C8">
        <v>37.118167901814267</v>
      </c>
      <c r="D8">
        <f>TableMCI[[#This Row],[ARIMAPP]]*$I$2+TableMCI[[#This Row],[LSTMPP]]*$I$3</f>
        <v>39.718509685807845</v>
      </c>
      <c r="E8">
        <v>50</v>
      </c>
      <c r="F8">
        <f>ABS(TableMCI[[#This Row],[PP]]-TableMCI[[#This Row],[AP]])</f>
        <v>10.281490314192155</v>
      </c>
    </row>
    <row r="9" spans="1:9" x14ac:dyDescent="0.2">
      <c r="A9" t="s">
        <v>114</v>
      </c>
      <c r="B9">
        <v>30.645161290322569</v>
      </c>
      <c r="C9">
        <v>32.075043979953698</v>
      </c>
      <c r="D9">
        <f>TableMCI[[#This Row],[ARIMAPP]]*$I$2+TableMCI[[#This Row],[LSTMPP]]*$I$3</f>
        <v>35.809793241964272</v>
      </c>
      <c r="E9">
        <v>54</v>
      </c>
      <c r="F9">
        <f>ABS(TableMCI[[#This Row],[PP]]-TableMCI[[#This Row],[AP]])</f>
        <v>18.190206758035728</v>
      </c>
    </row>
    <row r="10" spans="1:9" x14ac:dyDescent="0.2">
      <c r="A10" t="s">
        <v>115</v>
      </c>
      <c r="B10">
        <v>33.487981355318652</v>
      </c>
      <c r="C10">
        <v>29.21052631578948</v>
      </c>
      <c r="D10">
        <f>TableMCI[[#This Row],[ARIMAPP]]*$I$2+TableMCI[[#This Row],[LSTMPP]]*$I$3</f>
        <v>35.933710868989145</v>
      </c>
      <c r="E10">
        <v>27</v>
      </c>
      <c r="F10">
        <f>ABS(TableMCI[[#This Row],[PP]]-TableMCI[[#This Row],[AP]])</f>
        <v>8.9337108689891451</v>
      </c>
    </row>
    <row r="11" spans="1:9" x14ac:dyDescent="0.2">
      <c r="A11" t="s">
        <v>116</v>
      </c>
      <c r="B11">
        <v>30.800000000000011</v>
      </c>
      <c r="C11">
        <v>30.5</v>
      </c>
      <c r="D11">
        <f>TableMCI[[#This Row],[ARIMAPP]]*$I$2+TableMCI[[#This Row],[LSTMPP]]*$I$3</f>
        <v>35.039478277208005</v>
      </c>
      <c r="E11">
        <v>37</v>
      </c>
      <c r="F11">
        <f>ABS(TableMCI[[#This Row],[PP]]-TableMCI[[#This Row],[AP]])</f>
        <v>1.9605217227919951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117</v>
      </c>
      <c r="B2">
        <v>37.252747252747227</v>
      </c>
      <c r="C2">
        <v>32.986111111111107</v>
      </c>
      <c r="D2">
        <f>TableMUN[[#This Row],[ARIMAPP]]*$I$2+TableMUN[[#This Row],[LSTMPP]]*$I$3</f>
        <v>34.793955124475588</v>
      </c>
      <c r="E2">
        <v>28</v>
      </c>
      <c r="F2">
        <f>ABS(TableMUN[[#This Row],[PP]]-TableMUN[[#This Row],[AP]])</f>
        <v>6.7939551244755876</v>
      </c>
      <c r="H2" t="s">
        <v>0</v>
      </c>
      <c r="I2">
        <v>0.49692785139985818</v>
      </c>
    </row>
    <row r="3" spans="1:9" x14ac:dyDescent="0.2">
      <c r="A3" t="s">
        <v>118</v>
      </c>
      <c r="B3">
        <v>30.66928506474504</v>
      </c>
      <c r="C3">
        <v>32.617837968739302</v>
      </c>
      <c r="D3">
        <f>TableMUN[[#This Row],[ARIMAPP]]*$I$2+TableMUN[[#This Row],[LSTMPP]]*$I$3</f>
        <v>31.340668854568406</v>
      </c>
      <c r="E3">
        <v>27</v>
      </c>
      <c r="F3">
        <f>ABS(TableMUN[[#This Row],[PP]]-TableMUN[[#This Row],[AP]])</f>
        <v>4.3406688545684062</v>
      </c>
      <c r="H3" t="s">
        <v>1</v>
      </c>
      <c r="I3">
        <v>0.49360251708912317</v>
      </c>
    </row>
    <row r="4" spans="1:9" x14ac:dyDescent="0.2">
      <c r="A4" t="s">
        <v>119</v>
      </c>
      <c r="B4">
        <v>46.236145957261222</v>
      </c>
      <c r="C4">
        <v>44.173508309952062</v>
      </c>
      <c r="D4">
        <f>TableMUN[[#This Row],[ARIMAPP]]*$I$2+TableMUN[[#This Row],[LSTMPP]]*$I$3</f>
        <v>44.780183558001696</v>
      </c>
      <c r="E4">
        <v>32</v>
      </c>
      <c r="F4">
        <f>ABS(TableMUN[[#This Row],[PP]]-TableMUN[[#This Row],[AP]])</f>
        <v>12.780183558001696</v>
      </c>
    </row>
    <row r="5" spans="1:9" x14ac:dyDescent="0.2">
      <c r="A5" t="s">
        <v>120</v>
      </c>
      <c r="B5">
        <v>24.333333333333339</v>
      </c>
      <c r="C5">
        <v>27.34375</v>
      </c>
      <c r="D5">
        <f>TableMUN[[#This Row],[ARIMAPP]]*$I$2+TableMUN[[#This Row],[LSTMPP]]*$I$3</f>
        <v>25.588854877385597</v>
      </c>
      <c r="E5">
        <v>36</v>
      </c>
      <c r="F5">
        <f>ABS(TableMUN[[#This Row],[PP]]-TableMUN[[#This Row],[AP]])</f>
        <v>10.411145122614403</v>
      </c>
      <c r="H5" t="s">
        <v>2</v>
      </c>
      <c r="I5" cm="1">
        <f t="array" ref="I5">(SUM(TableMUN[PP]-TableMUN[AP]))^2</f>
        <v>6.1846694969327326E-28</v>
      </c>
    </row>
    <row r="6" spans="1:9" x14ac:dyDescent="0.2">
      <c r="A6" t="s">
        <v>121</v>
      </c>
      <c r="B6">
        <v>30.570758125035081</v>
      </c>
      <c r="C6">
        <v>30.70754716981132</v>
      </c>
      <c r="D6">
        <f>TableMUN[[#This Row],[ARIMAPP]]*$I$2+TableMUN[[#This Row],[LSTMPP]]*$I$3</f>
        <v>30.348783727390288</v>
      </c>
      <c r="E6">
        <v>35</v>
      </c>
      <c r="F6">
        <f>ABS(TableMUN[[#This Row],[PP]]-TableMUN[[#This Row],[AP]])</f>
        <v>4.6512162726097124</v>
      </c>
    </row>
    <row r="7" spans="1:9" x14ac:dyDescent="0.2">
      <c r="A7" t="s">
        <v>122</v>
      </c>
      <c r="B7">
        <v>31.140350877193001</v>
      </c>
      <c r="C7">
        <v>32.032967032967044</v>
      </c>
      <c r="D7">
        <f>TableMUN[[#This Row],[ARIMAPP]]*$I$2+TableMUN[[#This Row],[LSTMPP]]*$I$3</f>
        <v>31.28606081054664</v>
      </c>
      <c r="E7">
        <v>31</v>
      </c>
      <c r="F7">
        <f>ABS(TableMUN[[#This Row],[PP]]-TableMUN[[#This Row],[AP]])</f>
        <v>0.28606081054664045</v>
      </c>
      <c r="H7" t="s">
        <v>3</v>
      </c>
      <c r="I7">
        <f>AVERAGE(TableMUN[DIFF])/10</f>
        <v>0.56477752551142923</v>
      </c>
    </row>
    <row r="8" spans="1:9" x14ac:dyDescent="0.2">
      <c r="A8" t="s">
        <v>123</v>
      </c>
      <c r="B8">
        <v>34.210526315789487</v>
      </c>
      <c r="C8">
        <v>32.491415735061643</v>
      </c>
      <c r="D8">
        <f>TableMUN[[#This Row],[ARIMAPP]]*$I$2+TableMUN[[#This Row],[LSTMPP]]*$I$3</f>
        <v>33.038007927979145</v>
      </c>
      <c r="E8">
        <v>29</v>
      </c>
      <c r="F8">
        <f>ABS(TableMUN[[#This Row],[PP]]-TableMUN[[#This Row],[AP]])</f>
        <v>4.0380079279791445</v>
      </c>
    </row>
    <row r="9" spans="1:9" x14ac:dyDescent="0.2">
      <c r="A9" t="s">
        <v>124</v>
      </c>
      <c r="B9">
        <v>42.647058823529413</v>
      </c>
      <c r="C9">
        <v>41.811666006530103</v>
      </c>
      <c r="D9">
        <f>TableMUN[[#This Row],[ARIMAPP]]*$I$2+TableMUN[[#This Row],[LSTMPP]]*$I$3</f>
        <v>41.83085489421282</v>
      </c>
      <c r="E9">
        <v>51</v>
      </c>
      <c r="F9">
        <f>ABS(TableMUN[[#This Row],[PP]]-TableMUN[[#This Row],[AP]])</f>
        <v>9.1691451057871802</v>
      </c>
    </row>
    <row r="10" spans="1:9" x14ac:dyDescent="0.2">
      <c r="A10" t="s">
        <v>125</v>
      </c>
      <c r="B10">
        <v>37.200000000000003</v>
      </c>
      <c r="C10">
        <v>36.682595535747957</v>
      </c>
      <c r="D10">
        <f>TableMUN[[#This Row],[ARIMAPP]]*$I$2+TableMUN[[#This Row],[LSTMPP]]*$I$3</f>
        <v>36.592337561882147</v>
      </c>
      <c r="E10">
        <v>37</v>
      </c>
      <c r="F10">
        <f>ABS(TableMUN[[#This Row],[PP]]-TableMUN[[#This Row],[AP]])</f>
        <v>0.4076624381178533</v>
      </c>
    </row>
    <row r="11" spans="1:9" x14ac:dyDescent="0.2">
      <c r="A11" t="s">
        <v>126</v>
      </c>
      <c r="B11">
        <v>26.08695652173914</v>
      </c>
      <c r="C11">
        <v>27.222222222222221</v>
      </c>
      <c r="D11">
        <f>TableMUN[[#This Row],[ARIMAPP]]*$I$2+TableMUN[[#This Row],[LSTMPP]]*$I$3</f>
        <v>26.4002926635577</v>
      </c>
      <c r="E11">
        <v>30</v>
      </c>
      <c r="F11">
        <f>ABS(TableMUN[[#This Row],[PP]]-TableMUN[[#This Row],[AP]])</f>
        <v>3.5997073364423002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127</v>
      </c>
      <c r="B2">
        <v>45.985401459854018</v>
      </c>
      <c r="C2">
        <v>44.522851187167163</v>
      </c>
      <c r="D2">
        <f>TableNEW[[#This Row],[ARIMAPP]]*$I$2+TableNEW[[#This Row],[LSTMPP]]*$I$3</f>
        <v>51.799694844190732</v>
      </c>
      <c r="E2">
        <v>46</v>
      </c>
      <c r="F2">
        <f>ABS(TableNEW[[#This Row],[PP]]-TableNEW[[#This Row],[AP]])</f>
        <v>5.7996948441907321</v>
      </c>
      <c r="H2" t="s">
        <v>0</v>
      </c>
      <c r="I2">
        <v>0.58282396327663888</v>
      </c>
    </row>
    <row r="3" spans="1:9" x14ac:dyDescent="0.2">
      <c r="A3" t="s">
        <v>128</v>
      </c>
      <c r="B3">
        <v>41.547151278843018</v>
      </c>
      <c r="C3">
        <v>41.816800366207687</v>
      </c>
      <c r="D3">
        <f>TableNEW[[#This Row],[ARIMAPP]]*$I$2+TableNEW[[#This Row],[LSTMPP]]*$I$3</f>
        <v>47.69360654649865</v>
      </c>
      <c r="E3">
        <v>65</v>
      </c>
      <c r="F3">
        <f>ABS(TableNEW[[#This Row],[PP]]-TableNEW[[#This Row],[AP]])</f>
        <v>17.30639345350135</v>
      </c>
      <c r="H3" t="s">
        <v>1</v>
      </c>
      <c r="I3">
        <v>0.56147125006442866</v>
      </c>
    </row>
    <row r="4" spans="1:9" x14ac:dyDescent="0.2">
      <c r="A4" t="s">
        <v>129</v>
      </c>
      <c r="B4">
        <v>34.049240459169987</v>
      </c>
      <c r="C4">
        <v>30.154639175257731</v>
      </c>
      <c r="D4">
        <f>TableNEW[[#This Row],[ARIMAPP]]*$I$2+TableNEW[[#This Row],[LSTMPP]]*$I$3</f>
        <v>36.77567622394649</v>
      </c>
      <c r="E4">
        <v>40</v>
      </c>
      <c r="F4">
        <f>ABS(TableNEW[[#This Row],[PP]]-TableNEW[[#This Row],[AP]])</f>
        <v>3.2243237760535095</v>
      </c>
    </row>
    <row r="5" spans="1:9" x14ac:dyDescent="0.2">
      <c r="A5" t="s">
        <v>130</v>
      </c>
      <c r="B5">
        <v>22.522522522522539</v>
      </c>
      <c r="C5">
        <v>25.51136363636364</v>
      </c>
      <c r="D5">
        <f>TableNEW[[#This Row],[ARIMAPP]]*$I$2+TableNEW[[#This Row],[LSTMPP]]*$I$3</f>
        <v>27.450563071321248</v>
      </c>
      <c r="E5">
        <v>35</v>
      </c>
      <c r="F5">
        <f>ABS(TableNEW[[#This Row],[PP]]-TableNEW[[#This Row],[AP]])</f>
        <v>7.5494369286787517</v>
      </c>
      <c r="H5" t="s">
        <v>2</v>
      </c>
      <c r="I5" cm="1">
        <f t="array" ref="I5">(SUM(TableNEW[PP]-TableNEW[AP]))^2</f>
        <v>2.473867798773093E-27</v>
      </c>
    </row>
    <row r="6" spans="1:9" x14ac:dyDescent="0.2">
      <c r="A6" t="s">
        <v>131</v>
      </c>
      <c r="B6">
        <v>39.328358208955201</v>
      </c>
      <c r="C6">
        <v>39.44792296807087</v>
      </c>
      <c r="D6">
        <f>TableNEW[[#This Row],[ARIMAPP]]*$I$2+TableNEW[[#This Row],[LSTMPP]]*$I$3</f>
        <v>45.070384221834644</v>
      </c>
      <c r="E6">
        <v>38</v>
      </c>
      <c r="F6">
        <f>ABS(TableNEW[[#This Row],[PP]]-TableNEW[[#This Row],[AP]])</f>
        <v>7.0703842218346438</v>
      </c>
    </row>
    <row r="7" spans="1:9" x14ac:dyDescent="0.2">
      <c r="A7" t="s">
        <v>132</v>
      </c>
      <c r="B7">
        <v>29.10569105691059</v>
      </c>
      <c r="C7">
        <v>29.030612244897959</v>
      </c>
      <c r="D7">
        <f>TableNEW[[#This Row],[ARIMAPP]]*$I$2+TableNEW[[#This Row],[LSTMPP]]*$I$3</f>
        <v>33.263348362972621</v>
      </c>
      <c r="E7">
        <v>35</v>
      </c>
      <c r="F7">
        <f>ABS(TableNEW[[#This Row],[PP]]-TableNEW[[#This Row],[AP]])</f>
        <v>1.7366516370273786</v>
      </c>
      <c r="H7" t="s">
        <v>3</v>
      </c>
      <c r="I7">
        <f>AVERAGE(TableNEW[DIFF])/10</f>
        <v>0.96052984690815824</v>
      </c>
    </row>
    <row r="8" spans="1:9" x14ac:dyDescent="0.2">
      <c r="A8" t="s">
        <v>133</v>
      </c>
      <c r="B8">
        <v>38.042071016543531</v>
      </c>
      <c r="C8">
        <v>26.333333333333329</v>
      </c>
      <c r="D8">
        <f>TableNEW[[#This Row],[ARIMAPP]]*$I$2+TableNEW[[#This Row],[LSTMPP]]*$I$3</f>
        <v>36.95724018614321</v>
      </c>
      <c r="E8">
        <v>24</v>
      </c>
      <c r="F8">
        <f>ABS(TableNEW[[#This Row],[PP]]-TableNEW[[#This Row],[AP]])</f>
        <v>12.95724018614321</v>
      </c>
    </row>
    <row r="9" spans="1:9" x14ac:dyDescent="0.2">
      <c r="A9" t="s">
        <v>134</v>
      </c>
      <c r="B9">
        <v>41.343283582089541</v>
      </c>
      <c r="C9">
        <v>35.514018691588802</v>
      </c>
      <c r="D9">
        <f>TableNEW[[#This Row],[ARIMAPP]]*$I$2+TableNEW[[#This Row],[LSTMPP]]*$I$3</f>
        <v>44.035956861761271</v>
      </c>
      <c r="E9">
        <v>41</v>
      </c>
      <c r="F9">
        <f>ABS(TableNEW[[#This Row],[PP]]-TableNEW[[#This Row],[AP]])</f>
        <v>3.0359568617612709</v>
      </c>
    </row>
    <row r="10" spans="1:9" x14ac:dyDescent="0.2">
      <c r="A10" t="s">
        <v>135</v>
      </c>
      <c r="B10">
        <v>24.04428426012938</v>
      </c>
      <c r="C10">
        <v>27</v>
      </c>
      <c r="D10">
        <f>TableNEW[[#This Row],[ARIMAPP]]*$I$2+TableNEW[[#This Row],[LSTMPP]]*$I$3</f>
        <v>29.173308798378287</v>
      </c>
      <c r="E10">
        <v>52</v>
      </c>
      <c r="F10">
        <f>ABS(TableNEW[[#This Row],[PP]]-TableNEW[[#This Row],[AP]])</f>
        <v>22.826691201621713</v>
      </c>
    </row>
    <row r="11" spans="1:9" x14ac:dyDescent="0.2">
      <c r="A11" t="s">
        <v>136</v>
      </c>
      <c r="B11">
        <v>10.95238094850794</v>
      </c>
      <c r="C11">
        <v>17.5</v>
      </c>
      <c r="D11">
        <f>TableNEW[[#This Row],[ARIMAPP]]*$I$2+TableNEW[[#This Row],[LSTMPP]]*$I$3</f>
        <v>16.209056947852453</v>
      </c>
      <c r="E11">
        <v>26</v>
      </c>
      <c r="F11">
        <f>ABS(TableNEW[[#This Row],[PP]]-TableNEW[[#This Row],[AP]])</f>
        <v>9.7909430521475471</v>
      </c>
    </row>
    <row r="12" spans="1:9" x14ac:dyDescent="0.2">
      <c r="A12" t="s">
        <v>137</v>
      </c>
      <c r="B12">
        <v>34.444444444444443</v>
      </c>
      <c r="C12">
        <v>32.083333333333329</v>
      </c>
      <c r="D12">
        <f>TableNEW[[#This Row],[ARIMAPP]]*$I$2+TableNEW[[#This Row],[LSTMPP]]*$I$3</f>
        <v>38.088916896873535</v>
      </c>
      <c r="E12">
        <v>31</v>
      </c>
      <c r="F12">
        <f>ABS(TableNEW[[#This Row],[PP]]-TableNEW[[#This Row],[AP]])</f>
        <v>7.0889168968735348</v>
      </c>
    </row>
    <row r="13" spans="1:9" x14ac:dyDescent="0.2">
      <c r="A13" t="s">
        <v>138</v>
      </c>
      <c r="B13">
        <v>42.482951707120158</v>
      </c>
      <c r="C13">
        <v>45.643313086953214</v>
      </c>
      <c r="D13">
        <f>TableNEW[[#This Row],[ARIMAPP]]*$I$2+TableNEW[[#This Row],[LSTMPP]]*$I$3</f>
        <v>50.387490341647535</v>
      </c>
      <c r="E13">
        <v>30</v>
      </c>
      <c r="F13">
        <f>ABS(TableNEW[[#This Row],[PP]]-TableNEW[[#This Row],[AP]])</f>
        <v>20.387490341647535</v>
      </c>
    </row>
    <row r="14" spans="1:9" x14ac:dyDescent="0.2">
      <c r="A14" t="s">
        <v>139</v>
      </c>
      <c r="B14">
        <v>49.999999999999993</v>
      </c>
      <c r="C14">
        <v>42.6621283458392</v>
      </c>
      <c r="D14">
        <f>TableNEW[[#This Row],[ARIMAPP]]*$I$2+TableNEW[[#This Row],[LSTMPP]]*$I$3</f>
        <v>53.094756696579374</v>
      </c>
      <c r="E14">
        <v>47</v>
      </c>
      <c r="F14">
        <f>ABS(TableNEW[[#This Row],[PP]]-TableNEW[[#This Row],[AP]])</f>
        <v>6.094756696579374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140</v>
      </c>
      <c r="B2">
        <v>33.708009683436067</v>
      </c>
      <c r="C2">
        <v>33.44</v>
      </c>
      <c r="D2">
        <f>TableNFO[[#This Row],[ARIMAPP]]*$I$2+TableNFO[[#This Row],[LSTMPP]]*$I$3</f>
        <v>34.810420537546086</v>
      </c>
      <c r="E2">
        <v>29</v>
      </c>
      <c r="F2">
        <f>ABS(TableNFO[[#This Row],[PP]]-TableNFO[[#This Row],[AP]])</f>
        <v>5.8104205375460865</v>
      </c>
      <c r="H2" t="s">
        <v>0</v>
      </c>
      <c r="I2">
        <v>0.52676480558955407</v>
      </c>
    </row>
    <row r="3" spans="1:9" x14ac:dyDescent="0.2">
      <c r="A3" t="s">
        <v>141</v>
      </c>
      <c r="B3">
        <v>41.288041128768661</v>
      </c>
      <c r="C3">
        <v>25.757575757575751</v>
      </c>
      <c r="D3">
        <f>TableNFO[[#This Row],[ARIMAPP]]*$I$2+TableNFO[[#This Row],[LSTMPP]]*$I$3</f>
        <v>34.885317624205996</v>
      </c>
      <c r="E3">
        <v>29</v>
      </c>
      <c r="F3">
        <f>ABS(TableNFO[[#This Row],[PP]]-TableNFO[[#This Row],[AP]])</f>
        <v>5.8853176242059959</v>
      </c>
      <c r="H3" t="s">
        <v>1</v>
      </c>
      <c r="I3">
        <v>0.50999483761483499</v>
      </c>
    </row>
    <row r="4" spans="1:9" x14ac:dyDescent="0.2">
      <c r="A4" t="s">
        <v>142</v>
      </c>
      <c r="B4">
        <v>35.476190476190467</v>
      </c>
      <c r="C4">
        <v>34.81268536004734</v>
      </c>
      <c r="D4">
        <f>TableNFO[[#This Row],[ARIMAPP]]*$I$2+TableNFO[[#This Row],[LSTMPP]]*$I$3</f>
        <v>36.441898396382143</v>
      </c>
      <c r="E4">
        <v>24</v>
      </c>
      <c r="F4">
        <f>ABS(TableNFO[[#This Row],[PP]]-TableNFO[[#This Row],[AP]])</f>
        <v>12.441898396382143</v>
      </c>
    </row>
    <row r="5" spans="1:9" x14ac:dyDescent="0.2">
      <c r="A5" t="s">
        <v>143</v>
      </c>
      <c r="B5">
        <v>34.123711340206171</v>
      </c>
      <c r="C5">
        <v>33.421287466350627</v>
      </c>
      <c r="D5">
        <f>TableNFO[[#This Row],[ARIMAPP]]*$I$2+TableNFO[[#This Row],[LSTMPP]]*$I$3</f>
        <v>35.019854244397976</v>
      </c>
      <c r="E5">
        <v>35</v>
      </c>
      <c r="F5">
        <f>ABS(TableNFO[[#This Row],[PP]]-TableNFO[[#This Row],[AP]])</f>
        <v>1.9854244397976117E-2</v>
      </c>
      <c r="H5" t="s">
        <v>2</v>
      </c>
      <c r="I5" cm="1">
        <f t="array" ref="I5">(SUM(TableNFO[PP]-TableNFO[AP]))^2</f>
        <v>8.0779356694631609E-28</v>
      </c>
    </row>
    <row r="6" spans="1:9" x14ac:dyDescent="0.2">
      <c r="A6" t="s">
        <v>144</v>
      </c>
      <c r="B6">
        <v>14.73699719067405</v>
      </c>
      <c r="C6">
        <v>25.862068965517238</v>
      </c>
      <c r="D6">
        <f>TableNFO[[#This Row],[ARIMAPP]]*$I$2+TableNFO[[#This Row],[LSTMPP]]*$I$3</f>
        <v>20.952453122571846</v>
      </c>
      <c r="E6">
        <v>34</v>
      </c>
      <c r="F6">
        <f>ABS(TableNFO[[#This Row],[PP]]-TableNFO[[#This Row],[AP]])</f>
        <v>13.047546877428154</v>
      </c>
    </row>
    <row r="7" spans="1:9" x14ac:dyDescent="0.2">
      <c r="A7" t="s">
        <v>145</v>
      </c>
      <c r="B7">
        <v>18.148148148148149</v>
      </c>
      <c r="C7">
        <v>22.142857142857149</v>
      </c>
      <c r="D7">
        <f>TableNFO[[#This Row],[ARIMAPP]]*$I$2+TableNFO[[#This Row],[LSTMPP]]*$I$3</f>
        <v>20.852548563969606</v>
      </c>
      <c r="E7">
        <v>25</v>
      </c>
      <c r="F7">
        <f>ABS(TableNFO[[#This Row],[PP]]-TableNFO[[#This Row],[AP]])</f>
        <v>4.1474514360303942</v>
      </c>
      <c r="H7" t="s">
        <v>3</v>
      </c>
      <c r="I7">
        <f>AVERAGE(TableNFO[DIFF])/10</f>
        <v>0.61825152921939142</v>
      </c>
    </row>
    <row r="8" spans="1:9" x14ac:dyDescent="0.2">
      <c r="A8" t="s">
        <v>146</v>
      </c>
      <c r="B8">
        <v>38.076923076923073</v>
      </c>
      <c r="C8">
        <v>28.25</v>
      </c>
      <c r="D8">
        <f>TableNFO[[#This Row],[ARIMAPP]]*$I$2+TableNFO[[#This Row],[LSTMPP]]*$I$3</f>
        <v>34.464937144682878</v>
      </c>
      <c r="E8">
        <v>42</v>
      </c>
      <c r="F8">
        <f>ABS(TableNFO[[#This Row],[PP]]-TableNFO[[#This Row],[AP]])</f>
        <v>7.5350628553171219</v>
      </c>
    </row>
    <row r="9" spans="1:9" x14ac:dyDescent="0.2">
      <c r="A9" t="s">
        <v>147</v>
      </c>
      <c r="B9">
        <v>19.615384615384599</v>
      </c>
      <c r="C9">
        <v>24</v>
      </c>
      <c r="D9">
        <f>TableNFO[[#This Row],[ARIMAPP]]*$I$2+TableNFO[[#This Row],[LSTMPP]]*$I$3</f>
        <v>22.57257036624344</v>
      </c>
      <c r="E9">
        <v>22</v>
      </c>
      <c r="F9">
        <f>ABS(TableNFO[[#This Row],[PP]]-TableNFO[[#This Row],[AP]])</f>
        <v>0.57257036624343982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148</v>
      </c>
      <c r="B2">
        <v>20.023617555983929</v>
      </c>
      <c r="C2">
        <v>26.27272727272728</v>
      </c>
      <c r="D2">
        <f>TableSHU[[#This Row],[ARIMAPP]]*$I$2+TableSHU[[#This Row],[LSTMPP]]*$I$3</f>
        <v>24.073438335124475</v>
      </c>
      <c r="E2">
        <v>24</v>
      </c>
      <c r="F2">
        <f>ABS(TableSHU[[#This Row],[PP]]-TableSHU[[#This Row],[AP]])</f>
        <v>7.3438335124475174E-2</v>
      </c>
      <c r="H2" t="s">
        <v>0</v>
      </c>
      <c r="I2">
        <v>0.46621633415783426</v>
      </c>
    </row>
    <row r="3" spans="1:9" x14ac:dyDescent="0.2">
      <c r="A3" t="s">
        <v>149</v>
      </c>
      <c r="B3">
        <v>24.666666666666671</v>
      </c>
      <c r="C3">
        <v>27.5</v>
      </c>
      <c r="D3">
        <f>TableSHU[[#This Row],[ARIMAPP]]*$I$2+TableSHU[[#This Row],[LSTMPP]]*$I$3</f>
        <v>26.926561664875525</v>
      </c>
      <c r="E3">
        <v>27</v>
      </c>
      <c r="F3">
        <f>ABS(TableSHU[[#This Row],[PP]]-TableSHU[[#This Row],[AP]])</f>
        <v>7.3438335124475174E-2</v>
      </c>
      <c r="H3" t="s">
        <v>1</v>
      </c>
      <c r="I3">
        <v>0.5609657729326889</v>
      </c>
    </row>
    <row r="5" spans="1:9" x14ac:dyDescent="0.2">
      <c r="H5" t="s">
        <v>2</v>
      </c>
      <c r="I5" cm="1">
        <f t="array" ref="I5">(SUM(TableSHU[PP]-TableSHU[AP]))^2</f>
        <v>0</v>
      </c>
    </row>
    <row r="7" spans="1:9" x14ac:dyDescent="0.2">
      <c r="H7" t="s">
        <v>3</v>
      </c>
      <c r="I7">
        <f>AVERAGE(TableSHU[DIFF])/10</f>
        <v>7.3438335124475177E-3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150</v>
      </c>
      <c r="B2">
        <v>43.451991934040016</v>
      </c>
      <c r="C2">
        <v>41.882057849444202</v>
      </c>
      <c r="D2">
        <f>TableTOT[[#This Row],[ARIMAPP]]*$I$2+TableTOT[[#This Row],[LSTMPP]]*$I$3</f>
        <v>49.491729784437894</v>
      </c>
      <c r="E2">
        <v>54</v>
      </c>
      <c r="F2">
        <f>ABS(TableTOT[[#This Row],[PP]]-TableTOT[[#This Row],[AP]])</f>
        <v>4.5082702155621064</v>
      </c>
      <c r="H2" t="s">
        <v>0</v>
      </c>
      <c r="I2">
        <v>0.58718647397193402</v>
      </c>
    </row>
    <row r="3" spans="1:9" x14ac:dyDescent="0.2">
      <c r="A3" t="s">
        <v>151</v>
      </c>
      <c r="B3">
        <v>25.80893802691509</v>
      </c>
      <c r="C3">
        <v>40.867725038115843</v>
      </c>
      <c r="D3">
        <f>TableTOT[[#This Row],[ARIMAPP]]*$I$2+TableTOT[[#This Row],[LSTMPP]]*$I$3</f>
        <v>38.551265759747679</v>
      </c>
      <c r="E3">
        <v>30</v>
      </c>
      <c r="F3">
        <f>ABS(TableTOT[[#This Row],[PP]]-TableTOT[[#This Row],[AP]])</f>
        <v>8.5512657597476789</v>
      </c>
      <c r="H3" t="s">
        <v>1</v>
      </c>
      <c r="I3">
        <v>0.57249593465117221</v>
      </c>
    </row>
    <row r="4" spans="1:9" x14ac:dyDescent="0.2">
      <c r="A4" t="s">
        <v>152</v>
      </c>
      <c r="B4">
        <v>28.723404255319139</v>
      </c>
      <c r="C4">
        <v>28.513513513513509</v>
      </c>
      <c r="D4">
        <f>TableTOT[[#This Row],[ARIMAPP]]*$I$2+TableTOT[[#This Row],[LSTMPP]]*$I$3</f>
        <v>33.189865034259036</v>
      </c>
      <c r="E4">
        <v>37</v>
      </c>
      <c r="F4">
        <f>ABS(TableTOT[[#This Row],[PP]]-TableTOT[[#This Row],[AP]])</f>
        <v>3.8101349657409642</v>
      </c>
    </row>
    <row r="5" spans="1:9" x14ac:dyDescent="0.2">
      <c r="A5" t="s">
        <v>153</v>
      </c>
      <c r="B5">
        <v>30</v>
      </c>
      <c r="C5">
        <v>43.997728836559403</v>
      </c>
      <c r="D5">
        <f>TableTOT[[#This Row],[ARIMAPP]]*$I$2+TableTOT[[#This Row],[LSTMPP]]*$I$3</f>
        <v>42.804115111972926</v>
      </c>
      <c r="E5">
        <v>41</v>
      </c>
      <c r="F5">
        <f>ABS(TableTOT[[#This Row],[PP]]-TableTOT[[#This Row],[AP]])</f>
        <v>1.8041151119729264</v>
      </c>
      <c r="H5" t="s">
        <v>2</v>
      </c>
      <c r="I5" cm="1">
        <f t="array" ref="I5">(SUM(TableTOT[PP]-TableTOT[AP]))^2</f>
        <v>8.0779356694631609E-28</v>
      </c>
    </row>
    <row r="6" spans="1:9" x14ac:dyDescent="0.2">
      <c r="A6" t="s">
        <v>154</v>
      </c>
      <c r="B6">
        <v>31.388888888888889</v>
      </c>
      <c r="C6">
        <v>31.071428571428569</v>
      </c>
      <c r="D6">
        <f>TableTOT[[#This Row],[ARIMAPP]]*$I$2+TableTOT[[#This Row],[LSTMPP]]*$I$3</f>
        <v>36.219397529510616</v>
      </c>
      <c r="E6">
        <v>25</v>
      </c>
      <c r="F6">
        <f>ABS(TableTOT[[#This Row],[PP]]-TableTOT[[#This Row],[AP]])</f>
        <v>11.219397529510616</v>
      </c>
    </row>
    <row r="7" spans="1:9" x14ac:dyDescent="0.2">
      <c r="A7" t="s">
        <v>155</v>
      </c>
      <c r="B7">
        <v>41.891891891891923</v>
      </c>
      <c r="C7">
        <v>42.625911243333327</v>
      </c>
      <c r="D7">
        <f>TableTOT[[#This Row],[ARIMAPP]]*$I$2+TableTOT[[#This Row],[LSTMPP]]*$I$3</f>
        <v>49.001513185623494</v>
      </c>
      <c r="E7">
        <v>77</v>
      </c>
      <c r="F7">
        <f>ABS(TableTOT[[#This Row],[PP]]-TableTOT[[#This Row],[AP]])</f>
        <v>27.998486814376506</v>
      </c>
      <c r="H7" t="s">
        <v>3</v>
      </c>
      <c r="I7">
        <f>AVERAGE(TableTOT[DIFF])/10</f>
        <v>0.90792229989198903</v>
      </c>
    </row>
    <row r="8" spans="1:9" x14ac:dyDescent="0.2">
      <c r="A8" t="s">
        <v>156</v>
      </c>
      <c r="B8">
        <v>42.214845699876022</v>
      </c>
      <c r="C8">
        <v>19</v>
      </c>
      <c r="D8">
        <f>TableTOT[[#This Row],[ARIMAPP]]*$I$2+TableTOT[[#This Row],[LSTMPP]]*$I$3</f>
        <v>35.665409154151732</v>
      </c>
      <c r="E8">
        <v>25</v>
      </c>
      <c r="F8">
        <f>ABS(TableTOT[[#This Row],[PP]]-TableTOT[[#This Row],[AP]])</f>
        <v>10.665409154151732</v>
      </c>
    </row>
    <row r="9" spans="1:9" x14ac:dyDescent="0.2">
      <c r="A9" t="s">
        <v>157</v>
      </c>
      <c r="B9">
        <v>42.893029044213478</v>
      </c>
      <c r="C9">
        <v>31.25</v>
      </c>
      <c r="D9">
        <f>TableTOT[[#This Row],[ARIMAPP]]*$I$2+TableTOT[[#This Row],[LSTMPP]]*$I$3</f>
        <v>43.076704440296595</v>
      </c>
      <c r="E9">
        <v>39</v>
      </c>
      <c r="F9">
        <f>ABS(TableTOT[[#This Row],[PP]]-TableTOT[[#This Row],[AP]])</f>
        <v>4.0767044402965951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158</v>
      </c>
      <c r="B2">
        <v>37.133333333333383</v>
      </c>
      <c r="C2">
        <v>39.862096763002228</v>
      </c>
      <c r="D2">
        <f>TableWHU[[#This Row],[ARIMAPP]]*$I$2+TableWHU[[#This Row],[LSTMPP]]*$I$3</f>
        <v>39.649647742588741</v>
      </c>
      <c r="E2">
        <v>28</v>
      </c>
      <c r="F2">
        <f>ABS(TableWHU[[#This Row],[PP]]-TableWHU[[#This Row],[AP]])</f>
        <v>11.649647742588741</v>
      </c>
      <c r="H2" t="s">
        <v>0</v>
      </c>
      <c r="I2">
        <v>0.51499412951609524</v>
      </c>
    </row>
    <row r="3" spans="1:9" x14ac:dyDescent="0.2">
      <c r="A3" t="s">
        <v>159</v>
      </c>
      <c r="B3">
        <v>39.146724833092762</v>
      </c>
      <c r="C3">
        <v>37.222769877108853</v>
      </c>
      <c r="D3">
        <f>TableWHU[[#This Row],[ARIMAPP]]*$I$2+TableWHU[[#This Row],[LSTMPP]]*$I$3</f>
        <v>39.327463317698246</v>
      </c>
      <c r="E3">
        <v>45</v>
      </c>
      <c r="F3">
        <f>ABS(TableWHU[[#This Row],[PP]]-TableWHU[[#This Row],[AP]])</f>
        <v>5.6725366823017538</v>
      </c>
      <c r="H3" t="s">
        <v>1</v>
      </c>
      <c r="I3">
        <v>0.51493024033820978</v>
      </c>
    </row>
    <row r="4" spans="1:9" x14ac:dyDescent="0.2">
      <c r="A4" t="s">
        <v>160</v>
      </c>
      <c r="B4">
        <v>32.900763358778633</v>
      </c>
      <c r="C4">
        <v>31.49038461538461</v>
      </c>
      <c r="D4">
        <f>TableWHU[[#This Row],[ARIMAPP]]*$I$2+TableWHU[[#This Row],[LSTMPP]]*$I$3</f>
        <v>33.159051304711902</v>
      </c>
      <c r="E4">
        <v>27</v>
      </c>
      <c r="F4">
        <f>ABS(TableWHU[[#This Row],[PP]]-TableWHU[[#This Row],[AP]])</f>
        <v>6.1590513047119018</v>
      </c>
    </row>
    <row r="5" spans="1:9" x14ac:dyDescent="0.2">
      <c r="A5" t="s">
        <v>161</v>
      </c>
      <c r="B5">
        <v>42.920445972224087</v>
      </c>
      <c r="C5">
        <v>43.718687534083863</v>
      </c>
      <c r="D5">
        <f>TableWHU[[#This Row],[ARIMAPP]]*$I$2+TableWHU[[#This Row],[LSTMPP]]*$I$3</f>
        <v>44.615851991105039</v>
      </c>
      <c r="E5">
        <v>64</v>
      </c>
      <c r="F5">
        <f>ABS(TableWHU[[#This Row],[PP]]-TableWHU[[#This Row],[AP]])</f>
        <v>19.384148008894961</v>
      </c>
      <c r="H5" t="s">
        <v>2</v>
      </c>
      <c r="I5" cm="1">
        <f t="array" ref="I5">(SUM(TableWHU[PP]-TableWHU[AP]))^2</f>
        <v>2.0194839173657902E-28</v>
      </c>
    </row>
    <row r="6" spans="1:9" x14ac:dyDescent="0.2">
      <c r="A6" t="s">
        <v>162</v>
      </c>
      <c r="B6">
        <v>31.951219512195131</v>
      </c>
      <c r="C6">
        <v>31.875</v>
      </c>
      <c r="D6">
        <f>TableWHU[[#This Row],[ARIMAPP]]*$I$2+TableWHU[[#This Row],[LSTMPP]]*$I$3</f>
        <v>32.86809189044105</v>
      </c>
      <c r="E6">
        <v>27</v>
      </c>
      <c r="F6">
        <f>ABS(TableWHU[[#This Row],[PP]]-TableWHU[[#This Row],[AP]])</f>
        <v>5.8680918904410504</v>
      </c>
    </row>
    <row r="7" spans="1:9" x14ac:dyDescent="0.2">
      <c r="A7" t="s">
        <v>163</v>
      </c>
      <c r="B7">
        <v>19.999999999999989</v>
      </c>
      <c r="C7">
        <v>23.478260869565219</v>
      </c>
      <c r="D7">
        <f>TableWHU[[#This Row],[ARIMAPP]]*$I$2+TableWHU[[#This Row],[LSTMPP]]*$I$3</f>
        <v>22.389549102610303</v>
      </c>
      <c r="E7">
        <v>21</v>
      </c>
      <c r="F7">
        <f>ABS(TableWHU[[#This Row],[PP]]-TableWHU[[#This Row],[AP]])</f>
        <v>1.3895491026103031</v>
      </c>
      <c r="H7" t="s">
        <v>3</v>
      </c>
      <c r="I7">
        <f>AVERAGE(TableWHU[DIFF])/10</f>
        <v>0.71618114401005684</v>
      </c>
    </row>
    <row r="8" spans="1:9" x14ac:dyDescent="0.2">
      <c r="A8" t="s">
        <v>164</v>
      </c>
      <c r="B8">
        <v>34.814814814814817</v>
      </c>
      <c r="C8">
        <v>31.1904761904762</v>
      </c>
      <c r="D8">
        <f>TableWHU[[#This Row],[ARIMAPP]]*$I$2+TableWHU[[#This Row],[LSTMPP]]*$I$3</f>
        <v>33.990344650844733</v>
      </c>
      <c r="E8">
        <v>34</v>
      </c>
      <c r="F8">
        <f>ABS(TableWHU[[#This Row],[PP]]-TableWHU[[#This Row],[AP]])</f>
        <v>9.6553491552668902E-3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165</v>
      </c>
      <c r="B2">
        <v>19.218639133832031</v>
      </c>
      <c r="C2">
        <v>25.192307692307701</v>
      </c>
      <c r="D2">
        <f>TableWOL[[#This Row],[ARIMAPP]]*$I$2+TableWOL[[#This Row],[LSTMPP]]*$I$3</f>
        <v>32.906919021054122</v>
      </c>
      <c r="E2">
        <v>30</v>
      </c>
      <c r="F2">
        <f>ABS(TableWOL[[#This Row],[PP]]-TableWOL[[#This Row],[AP]])</f>
        <v>2.9069190210541223</v>
      </c>
      <c r="H2" t="s">
        <v>0</v>
      </c>
      <c r="I2">
        <v>0.71950873586753128</v>
      </c>
    </row>
    <row r="3" spans="1:9" x14ac:dyDescent="0.2">
      <c r="A3" t="s">
        <v>37</v>
      </c>
      <c r="B3">
        <v>25.758689774265239</v>
      </c>
      <c r="C3">
        <v>28.91304347826086</v>
      </c>
      <c r="D3">
        <f>TableWOL[[#This Row],[ARIMAPP]]*$I$2+TableWOL[[#This Row],[LSTMPP]]*$I$3</f>
        <v>40.430374790786331</v>
      </c>
      <c r="E3">
        <v>52</v>
      </c>
      <c r="F3">
        <f>ABS(TableWOL[[#This Row],[PP]]-TableWOL[[#This Row],[AP]])</f>
        <v>11.569625209213669</v>
      </c>
      <c r="H3" t="s">
        <v>1</v>
      </c>
      <c r="I3">
        <v>0.75733198029341309</v>
      </c>
    </row>
    <row r="4" spans="1:9" x14ac:dyDescent="0.2">
      <c r="A4" t="s">
        <v>166</v>
      </c>
      <c r="B4">
        <v>41.501849193888347</v>
      </c>
      <c r="C4">
        <v>34.464285714285722</v>
      </c>
      <c r="D4">
        <f>TableWOL[[#This Row],[ARIMAPP]]*$I$2+TableWOL[[#This Row],[LSTMPP]]*$I$3</f>
        <v>55.96184879905752</v>
      </c>
      <c r="E4">
        <v>33</v>
      </c>
      <c r="F4">
        <f>ABS(TableWOL[[#This Row],[PP]]-TableWOL[[#This Row],[AP]])</f>
        <v>22.96184879905752</v>
      </c>
    </row>
    <row r="5" spans="1:9" x14ac:dyDescent="0.2">
      <c r="A5" t="s">
        <v>167</v>
      </c>
      <c r="B5">
        <v>22.75862068965516</v>
      </c>
      <c r="C5">
        <v>24.565217391304341</v>
      </c>
      <c r="D5">
        <f>TableWOL[[#This Row],[ARIMAPP]]*$I$2+TableWOL[[#This Row],[LSTMPP]]*$I$3</f>
        <v>34.979051135797135</v>
      </c>
      <c r="E5">
        <v>50</v>
      </c>
      <c r="F5">
        <f>ABS(TableWOL[[#This Row],[PP]]-TableWOL[[#This Row],[AP]])</f>
        <v>15.020948864202865</v>
      </c>
      <c r="H5" t="s">
        <v>2</v>
      </c>
      <c r="I5" cm="1">
        <f t="array" ref="I5">(SUM(TableWOL[PP]-TableWOL[AP]))^2</f>
        <v>0</v>
      </c>
    </row>
    <row r="6" spans="1:9" x14ac:dyDescent="0.2">
      <c r="A6" t="s">
        <v>168</v>
      </c>
      <c r="B6">
        <v>22.631578947368421</v>
      </c>
      <c r="C6">
        <v>25.666666666666671</v>
      </c>
      <c r="D6">
        <f>TableWOL[[#This Row],[ARIMAPP]]*$I$2+TableWOL[[#This Row],[LSTMPP]]*$I$3</f>
        <v>35.721806253304891</v>
      </c>
      <c r="E6">
        <v>35</v>
      </c>
      <c r="F6">
        <f>ABS(TableWOL[[#This Row],[PP]]-TableWOL[[#This Row],[AP]])</f>
        <v>0.72180625330489079</v>
      </c>
    </row>
    <row r="7" spans="1:9" x14ac:dyDescent="0.2">
      <c r="H7" t="s">
        <v>3</v>
      </c>
      <c r="I7">
        <f>AVERAGE(TableWOL[DIFF])/10</f>
        <v>1.0636229629366614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ARS</vt:lpstr>
      <vt:lpstr>AVL</vt:lpstr>
      <vt:lpstr>BOU</vt:lpstr>
      <vt:lpstr>BRE</vt:lpstr>
      <vt:lpstr>BHA</vt:lpstr>
      <vt:lpstr>BUR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SHU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2023-11-24T00:52:46Z</dcterms:created>
  <dcterms:modified xsi:type="dcterms:W3CDTF">2023-11-24T01:05:15Z</dcterms:modified>
</cp:coreProperties>
</file>