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5-26/"/>
    </mc:Choice>
  </mc:AlternateContent>
  <xr:revisionPtr revIDLastSave="0" documentId="13_ncr:1_{C63998DD-0119-1049-ACF9-C2573512FE75}" xr6:coauthVersionLast="47" xr6:coauthVersionMax="47" xr10:uidLastSave="{00000000-0000-0000-0000-000000000000}"/>
  <bookViews>
    <workbookView xWindow="240" yWindow="760" windowWidth="34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" i="1" l="1"/>
  <c r="AH11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22" i="1"/>
  <c r="AH22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03" i="1"/>
  <c r="AH103" i="1"/>
  <c r="AI124" i="1"/>
  <c r="AH124" i="1"/>
  <c r="AI43" i="1"/>
  <c r="AH4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96" i="1"/>
  <c r="AH9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37" i="1"/>
  <c r="AH37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125" i="1"/>
  <c r="AH125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159" i="1"/>
  <c r="AH159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14" i="1"/>
  <c r="AH14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68" i="1"/>
  <c r="AH68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13" i="1"/>
  <c r="AH13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4" i="1"/>
  <c r="AH4" i="1"/>
  <c r="AI116" i="1"/>
  <c r="AH116" i="1"/>
  <c r="AO12" i="1"/>
  <c r="AO15" i="1" s="1"/>
  <c r="AI12" i="1"/>
  <c r="AH12" i="1"/>
  <c r="AH167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123" i="1"/>
  <c r="AH123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<sst xmlns="http://schemas.openxmlformats.org/spreadsheetml/2006/main" count="900" uniqueCount="394">
  <si>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</si>
  <si>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</si>
  <si>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</si>
  <si>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</si>
  <si>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</si>
  <si>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</si>
  <si>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</si>
  <si>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</si>
  <si>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</si>
  <si>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</si>
  <si>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</si>
  <si>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</si>
  <si>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</si>
  <si>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</si>
  <si>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BUR</t>
  </si>
  <si>
    <t>BOU</t>
  </si>
  <si>
    <t>BRE</t>
  </si>
  <si>
    <t>BHA</t>
  </si>
  <si>
    <t>CHE</t>
  </si>
  <si>
    <t>CRY</t>
  </si>
  <si>
    <t>EVE</t>
  </si>
  <si>
    <t>FUL</t>
  </si>
  <si>
    <t>LEE</t>
  </si>
  <si>
    <t>LIV</t>
  </si>
  <si>
    <t>MCI</t>
  </si>
  <si>
    <t>MUN</t>
  </si>
  <si>
    <t>NEW</t>
  </si>
  <si>
    <t>NFO</t>
  </si>
  <si>
    <t>SUN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</si>
  <si>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</si>
  <si>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</si>
  <si>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</si>
  <si>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</si>
  <si>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</si>
  <si>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</si>
  <si>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</si>
  <si>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</si>
  <si>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</si>
  <si>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</si>
  <si>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</si>
  <si>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</si>
  <si>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</si>
  <si>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</si>
  <si>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</si>
  <si>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</si>
  <si>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</si>
  <si>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</si>
  <si>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William</t>
  </si>
  <si>
    <t>Saliba</t>
  </si>
  <si>
    <t>Jurriën</t>
  </si>
  <si>
    <t>Timber</t>
  </si>
  <si>
    <t>J.Timber</t>
  </si>
  <si>
    <t>Martin</t>
  </si>
  <si>
    <t>Ødegaard</t>
  </si>
  <si>
    <t>Noni</t>
  </si>
  <si>
    <t>Madueke</t>
  </si>
  <si>
    <t>Martinelli Silva</t>
  </si>
  <si>
    <t>Martinelli</t>
  </si>
  <si>
    <t>Leandro</t>
  </si>
  <si>
    <t>Trossard</t>
  </si>
  <si>
    <t>Declan</t>
  </si>
  <si>
    <t>Rice</t>
  </si>
  <si>
    <t>Christian</t>
  </si>
  <si>
    <t>Nørgaard</t>
  </si>
  <si>
    <t>Emiliano</t>
  </si>
  <si>
    <t>Martínez Romero</t>
  </si>
  <si>
    <t>Martinez</t>
  </si>
  <si>
    <t>Lucas</t>
  </si>
  <si>
    <t>Digne</t>
  </si>
  <si>
    <t>Ezri</t>
  </si>
  <si>
    <t>Konsa Ngoyo</t>
  </si>
  <si>
    <t>Konsa</t>
  </si>
  <si>
    <t>Ian</t>
  </si>
  <si>
    <t>Maatsen</t>
  </si>
  <si>
    <t>Morgan</t>
  </si>
  <si>
    <t>Rogers</t>
  </si>
  <si>
    <t>Youri</t>
  </si>
  <si>
    <t>Tielemans</t>
  </si>
  <si>
    <t>Jacob</t>
  </si>
  <si>
    <t>Ramsey</t>
  </si>
  <si>
    <t>J.Ramsey</t>
  </si>
  <si>
    <t>John</t>
  </si>
  <si>
    <t>McGinn</t>
  </si>
  <si>
    <t>Ollie</t>
  </si>
  <si>
    <t>Watkins</t>
  </si>
  <si>
    <t>Illia</t>
  </si>
  <si>
    <t>Zabarnyi</t>
  </si>
  <si>
    <t>Justin</t>
  </si>
  <si>
    <t>Kluivert</t>
  </si>
  <si>
    <t>Antoine</t>
  </si>
  <si>
    <t>Semenyo</t>
  </si>
  <si>
    <t>Dango</t>
  </si>
  <si>
    <t>Ouattara</t>
  </si>
  <si>
    <t>O.Dango</t>
  </si>
  <si>
    <t>Marcus</t>
  </si>
  <si>
    <t>Tavernier</t>
  </si>
  <si>
    <t>Tyler</t>
  </si>
  <si>
    <t>Adams</t>
  </si>
  <si>
    <t>David</t>
  </si>
  <si>
    <t>Brooks</t>
  </si>
  <si>
    <t>Ryan</t>
  </si>
  <si>
    <t>Christie</t>
  </si>
  <si>
    <t>Lewis</t>
  </si>
  <si>
    <t>Cook</t>
  </si>
  <si>
    <t>Francisco Evanilson</t>
  </si>
  <si>
    <t>de Lima Barbosa</t>
  </si>
  <si>
    <t>Evanilson</t>
  </si>
  <si>
    <t>Nathan</t>
  </si>
  <si>
    <t>Collins</t>
  </si>
  <si>
    <t>Keane</t>
  </si>
  <si>
    <t>Lewis-Potter</t>
  </si>
  <si>
    <t>Sepp</t>
  </si>
  <si>
    <t>van den Berg</t>
  </si>
  <si>
    <t>Van den Berg</t>
  </si>
  <si>
    <t>Kevin</t>
  </si>
  <si>
    <t>Schade</t>
  </si>
  <si>
    <t>Mikkel</t>
  </si>
  <si>
    <t>Damsgaard</t>
  </si>
  <si>
    <t>Vitaly</t>
  </si>
  <si>
    <t>Janelt</t>
  </si>
  <si>
    <t>Yehor</t>
  </si>
  <si>
    <t>Yarmoliuk</t>
  </si>
  <si>
    <t>Yoane</t>
  </si>
  <si>
    <t>Wissa</t>
  </si>
  <si>
    <t>Bart</t>
  </si>
  <si>
    <t>Verbruggen</t>
  </si>
  <si>
    <t>Jan Paul</t>
  </si>
  <si>
    <t>van Hecke</t>
  </si>
  <si>
    <t>Van Hecke</t>
  </si>
  <si>
    <t>Mitoma</t>
  </si>
  <si>
    <t>Kaoru</t>
  </si>
  <si>
    <t>Georginio</t>
  </si>
  <si>
    <t>Rutter</t>
  </si>
  <si>
    <t>Yankuba</t>
  </si>
  <si>
    <t>Minteh</t>
  </si>
  <si>
    <t>Yasin</t>
  </si>
  <si>
    <t>Ayari</t>
  </si>
  <si>
    <t>Carlos</t>
  </si>
  <si>
    <t>Baleba</t>
  </si>
  <si>
    <t>Facundo</t>
  </si>
  <si>
    <t>Buonanotte</t>
  </si>
  <si>
    <t>Danny</t>
  </si>
  <si>
    <t>Welbeck</t>
  </si>
  <si>
    <t>Marc</t>
  </si>
  <si>
    <t>Cucurella Saseta</t>
  </si>
  <si>
    <t>Cucurella</t>
  </si>
  <si>
    <t>Malo</t>
  </si>
  <si>
    <t>Gusto</t>
  </si>
  <si>
    <t>Cole</t>
  </si>
  <si>
    <t>Palmer</t>
  </si>
  <si>
    <t>Pedro</t>
  </si>
  <si>
    <t>Lomba Neto</t>
  </si>
  <si>
    <t>Neto</t>
  </si>
  <si>
    <t>Enzo</t>
  </si>
  <si>
    <t>Fernández</t>
  </si>
  <si>
    <t>Christopher</t>
  </si>
  <si>
    <t>Nkunku</t>
  </si>
  <si>
    <t>Moisés</t>
  </si>
  <si>
    <t>Caicedo Corozo</t>
  </si>
  <si>
    <t>Caicedo</t>
  </si>
  <si>
    <t>João Pedro</t>
  </si>
  <si>
    <t>Junqueira de Jesus</t>
  </si>
  <si>
    <t>Liam</t>
  </si>
  <si>
    <t>Delap</t>
  </si>
  <si>
    <t>Nicolas</t>
  </si>
  <si>
    <t>Jackson</t>
  </si>
  <si>
    <t>N.Jackson</t>
  </si>
  <si>
    <t>Dean</t>
  </si>
  <si>
    <t>Henderson</t>
  </si>
  <si>
    <t>Maxence</t>
  </si>
  <si>
    <t>Lacroix</t>
  </si>
  <si>
    <t>Tyrick</t>
  </si>
  <si>
    <t>Mitchell</t>
  </si>
  <si>
    <t>Guéhi</t>
  </si>
  <si>
    <t>Eberechi</t>
  </si>
  <si>
    <t>Eze</t>
  </si>
  <si>
    <t>Ismaïla</t>
  </si>
  <si>
    <t>Sarr</t>
  </si>
  <si>
    <t>Will</t>
  </si>
  <si>
    <t>Hughes</t>
  </si>
  <si>
    <t>Daichi</t>
  </si>
  <si>
    <t>Kamada</t>
  </si>
  <si>
    <t>Jefferson</t>
  </si>
  <si>
    <t>Lerma Solís</t>
  </si>
  <si>
    <t>Lerma</t>
  </si>
  <si>
    <t>Jean-Philippe</t>
  </si>
  <si>
    <t>Mateta</t>
  </si>
  <si>
    <t>Eddie</t>
  </si>
  <si>
    <t>Nketiah</t>
  </si>
  <si>
    <t>Jordan</t>
  </si>
  <si>
    <t>Pickford</t>
  </si>
  <si>
    <t>Jarrad</t>
  </si>
  <si>
    <t>Branthwaite</t>
  </si>
  <si>
    <t>James</t>
  </si>
  <si>
    <t>Tarkowski</t>
  </si>
  <si>
    <t>Vitalii</t>
  </si>
  <si>
    <t>Mykolenko</t>
  </si>
  <si>
    <t>Iliman</t>
  </si>
  <si>
    <t>Ndiaye</t>
  </si>
  <si>
    <t>Norberto Bercique</t>
  </si>
  <si>
    <t>Gomes Betuncal</t>
  </si>
  <si>
    <t>Beto</t>
  </si>
  <si>
    <t>Bernd</t>
  </si>
  <si>
    <t>Leno</t>
  </si>
  <si>
    <t>Antonee</t>
  </si>
  <si>
    <t>Robinson</t>
  </si>
  <si>
    <t>Joachim</t>
  </si>
  <si>
    <t>Andersen</t>
  </si>
  <si>
    <t>Calvin</t>
  </si>
  <si>
    <t>Bassey</t>
  </si>
  <si>
    <t>Alex</t>
  </si>
  <si>
    <t>Iwobi</t>
  </si>
  <si>
    <t>Emile</t>
  </si>
  <si>
    <t>Smith Rowe</t>
  </si>
  <si>
    <t>Andreas</t>
  </si>
  <si>
    <t>Hoelgebaum Pereira</t>
  </si>
  <si>
    <t>Sander</t>
  </si>
  <si>
    <t>Berge</t>
  </si>
  <si>
    <t>Saša</t>
  </si>
  <si>
    <t>Lukić</t>
  </si>
  <si>
    <t>Rodrigo</t>
  </si>
  <si>
    <t>Muniz Carvalho</t>
  </si>
  <si>
    <t>Muniz</t>
  </si>
  <si>
    <t>Jack</t>
  </si>
  <si>
    <t>Harrison</t>
  </si>
  <si>
    <t>Milos</t>
  </si>
  <si>
    <t>Kerkez</t>
  </si>
  <si>
    <t>Andrew</t>
  </si>
  <si>
    <t>Robertson</t>
  </si>
  <si>
    <t>Virgil</t>
  </si>
  <si>
    <t>van Dijk</t>
  </si>
  <si>
    <t>Ibrahima</t>
  </si>
  <si>
    <t>Konaté</t>
  </si>
  <si>
    <t>Mohamed</t>
  </si>
  <si>
    <t>Salah</t>
  </si>
  <si>
    <t>M.Salah</t>
  </si>
  <si>
    <t>Cody</t>
  </si>
  <si>
    <t>Gakpo</t>
  </si>
  <si>
    <t>Alexis</t>
  </si>
  <si>
    <t>Mac Allister</t>
  </si>
  <si>
    <t>Dominik</t>
  </si>
  <si>
    <t>Szoboszlai</t>
  </si>
  <si>
    <t>Curtis</t>
  </si>
  <si>
    <t>Jones</t>
  </si>
  <si>
    <t>C.Jones</t>
  </si>
  <si>
    <t>Gravenberch</t>
  </si>
  <si>
    <t>Darwin</t>
  </si>
  <si>
    <t>Núñez Ribeiro</t>
  </si>
  <si>
    <t>Rayan</t>
  </si>
  <si>
    <t>Aït-Nouri</t>
  </si>
  <si>
    <t>Joško</t>
  </si>
  <si>
    <t>Gvardiol</t>
  </si>
  <si>
    <t>Rico</t>
  </si>
  <si>
    <t>Phil</t>
  </si>
  <si>
    <t>Foden</t>
  </si>
  <si>
    <t>Jérémy</t>
  </si>
  <si>
    <t>Doku</t>
  </si>
  <si>
    <t>Mateo</t>
  </si>
  <si>
    <t>Kovačić</t>
  </si>
  <si>
    <t>Erling</t>
  </si>
  <si>
    <t>Haaland</t>
  </si>
  <si>
    <t>Bryan</t>
  </si>
  <si>
    <t>Mbeumo</t>
  </si>
  <si>
    <t>André</t>
  </si>
  <si>
    <t>Onana</t>
  </si>
  <si>
    <t>Matthijs</t>
  </si>
  <si>
    <t>de Ligt</t>
  </si>
  <si>
    <t>De Ligt</t>
  </si>
  <si>
    <t>Noussair</t>
  </si>
  <si>
    <t>Mazraoui</t>
  </si>
  <si>
    <t>Diogo</t>
  </si>
  <si>
    <t>Dalot Teixeira</t>
  </si>
  <si>
    <t>Dalot</t>
  </si>
  <si>
    <t>Harry</t>
  </si>
  <si>
    <t>Maguire</t>
  </si>
  <si>
    <t>Bruno</t>
  </si>
  <si>
    <t>Borges Fernandes</t>
  </si>
  <si>
    <t>B.Fernandes</t>
  </si>
  <si>
    <t>Amad</t>
  </si>
  <si>
    <t>Diallo</t>
  </si>
  <si>
    <t>Jadon</t>
  </si>
  <si>
    <t>Sancho</t>
  </si>
  <si>
    <t>Rasmus</t>
  </si>
  <si>
    <t>Højlund</t>
  </si>
  <si>
    <t>Joshua</t>
  </si>
  <si>
    <t>Zirkzee</t>
  </si>
  <si>
    <t>Nick</t>
  </si>
  <si>
    <t>Pope</t>
  </si>
  <si>
    <t>Hall</t>
  </si>
  <si>
    <t>Fabian</t>
  </si>
  <si>
    <t>Schär</t>
  </si>
  <si>
    <t>Dan</t>
  </si>
  <si>
    <t>Burn</t>
  </si>
  <si>
    <t>Tino</t>
  </si>
  <si>
    <t>Livramento</t>
  </si>
  <si>
    <t>Anthony</t>
  </si>
  <si>
    <t>Gordon</t>
  </si>
  <si>
    <t>Elanga</t>
  </si>
  <si>
    <t>Harvey</t>
  </si>
  <si>
    <t>Barnes</t>
  </si>
  <si>
    <t>Guimarães Rodriguez Moura</t>
  </si>
  <si>
    <t>Bruno G.</t>
  </si>
  <si>
    <t>Murphy</t>
  </si>
  <si>
    <t>J.Murphy</t>
  </si>
  <si>
    <t>Joelinton Cássio</t>
  </si>
  <si>
    <t>Apolinário de Lira</t>
  </si>
  <si>
    <t>Joelinton</t>
  </si>
  <si>
    <t>Sandro</t>
  </si>
  <si>
    <t>Tonali</t>
  </si>
  <si>
    <t>Joe</t>
  </si>
  <si>
    <t>Willock</t>
  </si>
  <si>
    <t>Alexander</t>
  </si>
  <si>
    <t>Isak</t>
  </si>
  <si>
    <t>Matz</t>
  </si>
  <si>
    <t>Sels</t>
  </si>
  <si>
    <t>Nikola</t>
  </si>
  <si>
    <t>Milenković</t>
  </si>
  <si>
    <t>Ola</t>
  </si>
  <si>
    <t>Aina</t>
  </si>
  <si>
    <t>Neco</t>
  </si>
  <si>
    <t>Williams</t>
  </si>
  <si>
    <t>N.Williams</t>
  </si>
  <si>
    <t>Gibbs-White</t>
  </si>
  <si>
    <t>Callum</t>
  </si>
  <si>
    <t>Hudson-Odoi</t>
  </si>
  <si>
    <t>Elliot</t>
  </si>
  <si>
    <t>Anderson</t>
  </si>
  <si>
    <t>Nicolás</t>
  </si>
  <si>
    <t>Domínguez</t>
  </si>
  <si>
    <t>Dominguez</t>
  </si>
  <si>
    <t>Yates</t>
  </si>
  <si>
    <t>Chris</t>
  </si>
  <si>
    <t>Wood</t>
  </si>
  <si>
    <t>Taiwo</t>
  </si>
  <si>
    <t>Awoniyi</t>
  </si>
  <si>
    <t>Simon</t>
  </si>
  <si>
    <t>Adingra</t>
  </si>
  <si>
    <t>Son</t>
  </si>
  <si>
    <t>Heung-min</t>
  </si>
  <si>
    <t>Brennan</t>
  </si>
  <si>
    <t>Johnson</t>
  </si>
  <si>
    <t>Maddison</t>
  </si>
  <si>
    <t>Mohammed</t>
  </si>
  <si>
    <t>Kudus</t>
  </si>
  <si>
    <t>Dejan</t>
  </si>
  <si>
    <t>Kulusevski</t>
  </si>
  <si>
    <t>Bentancur</t>
  </si>
  <si>
    <t>Bergvall</t>
  </si>
  <si>
    <t>Yves</t>
  </si>
  <si>
    <t>Bissouma</t>
  </si>
  <si>
    <t>Archie</t>
  </si>
  <si>
    <t>Gray</t>
  </si>
  <si>
    <t>Pape Matar</t>
  </si>
  <si>
    <t>P.M.Sarr</t>
  </si>
  <si>
    <t>Dominic</t>
  </si>
  <si>
    <t>Solanke-Mitchell</t>
  </si>
  <si>
    <t>Solanke</t>
  </si>
  <si>
    <t>Alphonse</t>
  </si>
  <si>
    <t>Areola</t>
  </si>
  <si>
    <t>Emerson</t>
  </si>
  <si>
    <t>Palmieri dos Santos</t>
  </si>
  <si>
    <t>Konstantinos</t>
  </si>
  <si>
    <t>Mavropanos</t>
  </si>
  <si>
    <t>Jean-Clair</t>
  </si>
  <si>
    <t>Todibo</t>
  </si>
  <si>
    <t>Aaron</t>
  </si>
  <si>
    <t>Wan-Bissaka</t>
  </si>
  <si>
    <t>Tolentino Coelho de Lima</t>
  </si>
  <si>
    <t>L.Paquetá</t>
  </si>
  <si>
    <t>Tomáš</t>
  </si>
  <si>
    <t>Souček</t>
  </si>
  <si>
    <t>Edson</t>
  </si>
  <si>
    <t>Álvarez Velázquez</t>
  </si>
  <si>
    <t>Álvarez</t>
  </si>
  <si>
    <t>Jarrod</t>
  </si>
  <si>
    <t>Bowen</t>
  </si>
  <si>
    <t>Kyle</t>
  </si>
  <si>
    <t>Walker-Peters</t>
  </si>
  <si>
    <t>José</t>
  </si>
  <si>
    <t>Malheiro de Sá</t>
  </si>
  <si>
    <t>José Sá</t>
  </si>
  <si>
    <t>Matt</t>
  </si>
  <si>
    <t>Doherty</t>
  </si>
  <si>
    <t>Trindade da Costa Neto</t>
  </si>
  <si>
    <t>Jean-Ricner</t>
  </si>
  <si>
    <t>Bellegarde</t>
  </si>
  <si>
    <t>João Victor</t>
  </si>
  <si>
    <t>Gomes da Silva</t>
  </si>
  <si>
    <t>Gomes</t>
  </si>
  <si>
    <t>Gonçalo Manuel</t>
  </si>
  <si>
    <t>Ganchinho Guedes</t>
  </si>
  <si>
    <t>Guedes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</si>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</sst>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67" totalsRowShown="0">
  <autoFilter ref="A1:AL167" xr:uid="{00000000-0009-0000-0100-000001000000}">
    <filterColumn colId="37">
      <filters>
        <filter val="1"/>
      </filters>
    </filterColumn>
  </autoFilter>
  <sortState xmlns:xlrd2="http://schemas.microsoft.com/office/spreadsheetml/2017/richdata2" ref="A4:AL167">
    <sortCondition descending="1" ref="AI1:AI167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UR"/>
    <tableColumn id="13" xr3:uid="{00000000-0010-0000-0000-00000D000000}" name="BOU"/>
    <tableColumn id="14" xr3:uid="{00000000-0010-0000-0000-00000E000000}" name="BRE"/>
    <tableColumn id="15" xr3:uid="{00000000-0010-0000-0000-00000F000000}" name="BHA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EE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UN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7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4</v>
      </c>
      <c r="AF2">
        <v>151.48969373963729</v>
      </c>
      <c r="AG2">
        <v>133.1352806428155</v>
      </c>
      <c r="AH2">
        <f>95.773840242261*1</f>
        <v>95.773840242261002</v>
      </c>
      <c r="AI2">
        <f>2.35185057875173*1</f>
        <v>2.3518505787517299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2844.7448220023389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5</v>
      </c>
      <c r="AF3">
        <v>153.9791666666666</v>
      </c>
      <c r="AG3">
        <v>174.41983579225729</v>
      </c>
      <c r="AH3">
        <f>63.5802999806941*1</f>
        <v>63.5802999806941</v>
      </c>
      <c r="AI3">
        <f>1.72994406257345*1</f>
        <v>1.7299440625734499</v>
      </c>
      <c r="AJ3">
        <v>1</v>
      </c>
      <c r="AK3">
        <v>0</v>
      </c>
      <c r="AL3">
        <v>0</v>
      </c>
    </row>
    <row r="4" spans="1:43" x14ac:dyDescent="0.2">
      <c r="A4" t="s">
        <v>72</v>
      </c>
      <c r="B4" t="s">
        <v>73</v>
      </c>
      <c r="C4" t="s">
        <v>73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13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4.5</v>
      </c>
      <c r="AE4">
        <v>40</v>
      </c>
      <c r="AF4">
        <v>106.5753681287305</v>
      </c>
      <c r="AG4">
        <v>41.032492573357537</v>
      </c>
      <c r="AH4">
        <f>230.516034395033*1</f>
        <v>230.51603439503299</v>
      </c>
      <c r="AI4">
        <f>7.93710061412568*1</f>
        <v>7.9371006141256801</v>
      </c>
      <c r="AJ4">
        <v>1</v>
      </c>
      <c r="AK4">
        <v>0</v>
      </c>
      <c r="AL4">
        <v>1</v>
      </c>
      <c r="AN4" t="s">
        <v>2</v>
      </c>
      <c r="AO4">
        <f>SUMPRODUCT(Table1[Selected],Table1[Cost])</f>
        <v>90.5</v>
      </c>
      <c r="AP4">
        <v>100</v>
      </c>
    </row>
    <row r="5" spans="1:43" hidden="1" x14ac:dyDescent="0.2">
      <c r="A5" t="s">
        <v>52</v>
      </c>
      <c r="B5" t="s">
        <v>53</v>
      </c>
      <c r="C5" t="s">
        <v>53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16</v>
      </c>
      <c r="AF5">
        <v>173.11111111111089</v>
      </c>
      <c r="AG5">
        <v>191.18834972748789</v>
      </c>
      <c r="AH5">
        <f>106.375134116449*1</f>
        <v>106.375134116449</v>
      </c>
      <c r="AI5">
        <f>2.74727708826571*1</f>
        <v>2.7472770882657098</v>
      </c>
      <c r="AJ5">
        <v>1</v>
      </c>
      <c r="AK5">
        <v>0</v>
      </c>
      <c r="AL5">
        <v>0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</v>
      </c>
      <c r="AE6">
        <v>17</v>
      </c>
      <c r="AF6">
        <v>123.5</v>
      </c>
      <c r="AG6">
        <v>146.8781257592498</v>
      </c>
      <c r="AH6">
        <f>62.6834210175654*1</f>
        <v>62.683421017565401</v>
      </c>
      <c r="AI6">
        <f>1.55181695642931*1</f>
        <v>1.5518169564293101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45</v>
      </c>
      <c r="B7" t="s">
        <v>56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18</v>
      </c>
      <c r="AF7">
        <v>131.68610914383871</v>
      </c>
      <c r="AG7">
        <v>196.98008641835099</v>
      </c>
      <c r="AH7">
        <f>58.1042919009771*1</f>
        <v>58.104291900977103</v>
      </c>
      <c r="AI7">
        <f>1.57873116193561*1</f>
        <v>1.5787311619356099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7</v>
      </c>
      <c r="AE8">
        <v>19</v>
      </c>
      <c r="AF8">
        <v>147.10891089108929</v>
      </c>
      <c r="AG8">
        <v>158.1137021714344</v>
      </c>
      <c r="AH8">
        <f>110.031146067339*1</f>
        <v>110.03114606733899</v>
      </c>
      <c r="AI8">
        <f>2.83985523945148*1</f>
        <v>2.83985523945148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20</v>
      </c>
      <c r="AF9">
        <v>145.21513070175959</v>
      </c>
      <c r="AG9">
        <v>105.890075312631</v>
      </c>
      <c r="AH9">
        <f>143.043022994747*1</f>
        <v>143.04302299474699</v>
      </c>
      <c r="AI9">
        <f>3.80056621101951*1</f>
        <v>3.8005662110195102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5.5</v>
      </c>
      <c r="AE10">
        <v>23</v>
      </c>
      <c r="AF10">
        <v>111.7264957264958</v>
      </c>
      <c r="AG10">
        <v>97.978811722856008</v>
      </c>
      <c r="AH10">
        <f>99.1240203840836*1</f>
        <v>99.124020384083593</v>
      </c>
      <c r="AI10">
        <f>2.589049384334*1</f>
        <v>2.5890493843339999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x14ac:dyDescent="0.2">
      <c r="A11" t="s">
        <v>392</v>
      </c>
      <c r="B11" t="s">
        <v>393</v>
      </c>
      <c r="C11" t="s">
        <v>393</v>
      </c>
      <c r="D11" t="s">
        <v>6</v>
      </c>
      <c r="E11">
        <v>0</v>
      </c>
      <c r="F11">
        <v>0</v>
      </c>
      <c r="G11">
        <v>0</v>
      </c>
      <c r="H11">
        <v>1</v>
      </c>
      <c r="I11" t="s">
        <v>31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6.5</v>
      </c>
      <c r="AE11">
        <v>662</v>
      </c>
      <c r="AF11">
        <v>157.4285714285713</v>
      </c>
      <c r="AG11">
        <v>133.79780328033371</v>
      </c>
      <c r="AH11">
        <f>270.247475648019*1</f>
        <v>270.24747564801902</v>
      </c>
      <c r="AI11">
        <f>7.43249247328705*1</f>
        <v>7.4324924732870503</v>
      </c>
      <c r="AJ11">
        <v>1</v>
      </c>
      <c r="AK11">
        <v>0</v>
      </c>
      <c r="AL11">
        <v>1</v>
      </c>
    </row>
    <row r="12" spans="1:43" hidden="1" x14ac:dyDescent="0.2">
      <c r="A12" t="s">
        <v>67</v>
      </c>
      <c r="B12" t="s">
        <v>68</v>
      </c>
      <c r="C12" t="s">
        <v>68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38</v>
      </c>
      <c r="AF12">
        <v>101.3282741674179</v>
      </c>
      <c r="AG12">
        <v>124.9239787058244</v>
      </c>
      <c r="AH12">
        <f>71.7068843686678*1</f>
        <v>71.706884368667801</v>
      </c>
      <c r="AI12">
        <f>1.66533889179902*1</f>
        <v>1.6653388917990199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15</v>
      </c>
    </row>
    <row r="13" spans="1:43" x14ac:dyDescent="0.2">
      <c r="A13" t="s">
        <v>89</v>
      </c>
      <c r="B13" t="s">
        <v>90</v>
      </c>
      <c r="C13" t="s">
        <v>90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15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</v>
      </c>
      <c r="AE13">
        <v>120</v>
      </c>
      <c r="AF13">
        <v>181.35045664991171</v>
      </c>
      <c r="AG13">
        <v>108.6485524588854</v>
      </c>
      <c r="AH13">
        <f>242.856091441017*1</f>
        <v>242.85609144101701</v>
      </c>
      <c r="AI13">
        <f>6.70871852950946*1</f>
        <v>6.7087185295094596</v>
      </c>
      <c r="AJ13">
        <v>1</v>
      </c>
      <c r="AK13">
        <v>0</v>
      </c>
      <c r="AL13">
        <v>1</v>
      </c>
      <c r="AN13" t="s">
        <v>9</v>
      </c>
      <c r="AO13">
        <v>15</v>
      </c>
    </row>
    <row r="14" spans="1:43" x14ac:dyDescent="0.2">
      <c r="A14" t="s">
        <v>135</v>
      </c>
      <c r="B14" t="s">
        <v>136</v>
      </c>
      <c r="C14" t="s">
        <v>136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17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203</v>
      </c>
      <c r="AF14">
        <v>176.92748903987231</v>
      </c>
      <c r="AG14">
        <v>70.063080676917167</v>
      </c>
      <c r="AH14">
        <f>201.485850146091*1</f>
        <v>201.485850146091</v>
      </c>
      <c r="AI14">
        <f>6.46324206412379*1</f>
        <v>6.46324206412379</v>
      </c>
      <c r="AJ14">
        <v>1</v>
      </c>
      <c r="AK14">
        <v>0</v>
      </c>
      <c r="AL14">
        <v>1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</v>
      </c>
      <c r="AE15">
        <v>48</v>
      </c>
      <c r="AF15">
        <v>155.30434782608691</v>
      </c>
      <c r="AG15">
        <v>110.8441412491062</v>
      </c>
      <c r="AH15">
        <f>87.6957389123504*1</f>
        <v>87.695738912350393</v>
      </c>
      <c r="AI15">
        <f>2.27558436283527*1</f>
        <v>2.2755843628352701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77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</v>
      </c>
      <c r="AE16">
        <v>49</v>
      </c>
      <c r="AF16">
        <v>122.42452830188699</v>
      </c>
      <c r="AG16">
        <v>116.9235483683081</v>
      </c>
      <c r="AH16">
        <f>97.2119079818461*1</f>
        <v>97.211907981846096</v>
      </c>
      <c r="AI16">
        <f>2.53688689889306*1</f>
        <v>2.53688689889306</v>
      </c>
      <c r="AJ16">
        <v>1</v>
      </c>
      <c r="AK16">
        <v>0</v>
      </c>
      <c r="AL16">
        <v>0</v>
      </c>
    </row>
    <row r="17" spans="1:42" hidden="1" x14ac:dyDescent="0.2">
      <c r="A17" t="s">
        <v>78</v>
      </c>
      <c r="B17" t="s">
        <v>79</v>
      </c>
      <c r="C17" t="s">
        <v>80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5.5</v>
      </c>
      <c r="AE17">
        <v>53</v>
      </c>
      <c r="AF17">
        <v>104.203125</v>
      </c>
      <c r="AG17">
        <v>122.9001473478539</v>
      </c>
      <c r="AH17">
        <f>61.7162041612743*1</f>
        <v>61.716204161274298</v>
      </c>
      <c r="AI17">
        <f>1.54474492896183*1</f>
        <v>1.54474492896183</v>
      </c>
      <c r="AJ17">
        <v>1</v>
      </c>
      <c r="AK17">
        <v>0</v>
      </c>
      <c r="AL17">
        <v>0</v>
      </c>
      <c r="AN17" t="s">
        <v>11</v>
      </c>
      <c r="AO17">
        <f>AO2-AO15*38</f>
        <v>2844.7448220023389</v>
      </c>
    </row>
    <row r="18" spans="1:42" hidden="1" x14ac:dyDescent="0.2">
      <c r="A18" t="s">
        <v>81</v>
      </c>
      <c r="B18" t="s">
        <v>82</v>
      </c>
      <c r="C18" t="s">
        <v>82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55</v>
      </c>
      <c r="AF18">
        <v>110.67010309278341</v>
      </c>
      <c r="AG18">
        <v>119.13830251842469</v>
      </c>
      <c r="AH18">
        <f>71.5129954925294*1</f>
        <v>71.512995492529399</v>
      </c>
      <c r="AI18">
        <f>1.85400283617468*1</f>
        <v>1.8540028361746801</v>
      </c>
      <c r="AJ18">
        <v>1</v>
      </c>
      <c r="AK18">
        <v>0</v>
      </c>
      <c r="AL18">
        <v>0</v>
      </c>
    </row>
    <row r="19" spans="1:42" hidden="1" x14ac:dyDescent="0.2">
      <c r="A19" t="s">
        <v>83</v>
      </c>
      <c r="B19" t="s">
        <v>84</v>
      </c>
      <c r="C19" t="s">
        <v>84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</v>
      </c>
      <c r="AE19">
        <v>65</v>
      </c>
      <c r="AF19">
        <v>180.28409090909099</v>
      </c>
      <c r="AG19">
        <v>198.04452900678569</v>
      </c>
      <c r="AH19">
        <f>104.635670753796*1</f>
        <v>104.63567075379601</v>
      </c>
      <c r="AI19">
        <f>2.69532030015282*1</f>
        <v>2.6953203001528201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1</v>
      </c>
      <c r="AP19">
        <v>3</v>
      </c>
    </row>
    <row r="20" spans="1:42" hidden="1" x14ac:dyDescent="0.2">
      <c r="A20" t="s">
        <v>85</v>
      </c>
      <c r="B20" t="s">
        <v>86</v>
      </c>
      <c r="C20" t="s">
        <v>86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15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</v>
      </c>
      <c r="AE20">
        <v>109</v>
      </c>
      <c r="AF20">
        <v>91.999999999999929</v>
      </c>
      <c r="AG20">
        <v>91.740170364639354</v>
      </c>
      <c r="AH20">
        <f>99.2339040261981*1</f>
        <v>99.233904026198104</v>
      </c>
      <c r="AI20">
        <f>2.49239490964196*1</f>
        <v>2.49239490964196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3</v>
      </c>
      <c r="AP20">
        <v>3</v>
      </c>
    </row>
    <row r="21" spans="1:42" hidden="1" x14ac:dyDescent="0.2">
      <c r="A21" t="s">
        <v>87</v>
      </c>
      <c r="B21" t="s">
        <v>88</v>
      </c>
      <c r="C21" t="s">
        <v>88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15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7</v>
      </c>
      <c r="AE21">
        <v>119</v>
      </c>
      <c r="AF21">
        <v>148.98991860708429</v>
      </c>
      <c r="AG21">
        <v>192.38901171449609</v>
      </c>
      <c r="AH21">
        <f>68.9598233694497*1</f>
        <v>68.959823369449694</v>
      </c>
      <c r="AI21">
        <f>1.83099699968817*1</f>
        <v>1.8309969996881701</v>
      </c>
      <c r="AJ21">
        <v>1</v>
      </c>
      <c r="AK21">
        <v>0</v>
      </c>
      <c r="AL21">
        <v>0</v>
      </c>
      <c r="AN21" t="s">
        <v>14</v>
      </c>
      <c r="AO21">
        <f>SUMPRODUCT(Table1[Selected],Table1[BUR])</f>
        <v>0</v>
      </c>
      <c r="AP21">
        <v>3</v>
      </c>
    </row>
    <row r="22" spans="1:42" x14ac:dyDescent="0.2">
      <c r="A22" t="s">
        <v>374</v>
      </c>
      <c r="B22" t="s">
        <v>375</v>
      </c>
      <c r="C22" t="s">
        <v>375</v>
      </c>
      <c r="D22" t="s">
        <v>6</v>
      </c>
      <c r="E22">
        <v>0</v>
      </c>
      <c r="F22">
        <v>0</v>
      </c>
      <c r="G22">
        <v>0</v>
      </c>
      <c r="H22">
        <v>1</v>
      </c>
      <c r="I22" t="s">
        <v>30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8</v>
      </c>
      <c r="AE22">
        <v>631</v>
      </c>
      <c r="AF22">
        <v>218.12469950766959</v>
      </c>
      <c r="AG22">
        <v>179.12977017900491</v>
      </c>
      <c r="AH22">
        <f>228.893590287157*1</f>
        <v>228.893590287157</v>
      </c>
      <c r="AI22">
        <f>5.81740501528596*1</f>
        <v>5.81740501528596</v>
      </c>
      <c r="AJ22">
        <v>1</v>
      </c>
      <c r="AK22">
        <v>0</v>
      </c>
      <c r="AL22">
        <v>1</v>
      </c>
      <c r="AN22" t="s">
        <v>15</v>
      </c>
      <c r="AO22">
        <f>SUMPRODUCT(Table1[Selected],Table1[BOU])</f>
        <v>1</v>
      </c>
      <c r="AP22">
        <v>3</v>
      </c>
    </row>
    <row r="23" spans="1:42" hidden="1" x14ac:dyDescent="0.2">
      <c r="A23" t="s">
        <v>91</v>
      </c>
      <c r="B23" t="s">
        <v>92</v>
      </c>
      <c r="C23" t="s">
        <v>93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15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</v>
      </c>
      <c r="AE23">
        <v>121</v>
      </c>
      <c r="AF23">
        <v>97.282908524964057</v>
      </c>
      <c r="AG23">
        <v>74.490297668023814</v>
      </c>
      <c r="AH23">
        <f>21.6344688194203*1</f>
        <v>21.634468819420299</v>
      </c>
      <c r="AI23">
        <f>0.554415165079079*1</f>
        <v>0.55441516507907895</v>
      </c>
      <c r="AJ23">
        <v>1</v>
      </c>
      <c r="AK23">
        <v>0</v>
      </c>
      <c r="AL23">
        <v>0</v>
      </c>
      <c r="AN23" t="s">
        <v>16</v>
      </c>
      <c r="AO23">
        <f>SUMPRODUCT(Table1[Selected],Table1[BRE])</f>
        <v>1</v>
      </c>
      <c r="AP23">
        <v>3</v>
      </c>
    </row>
    <row r="24" spans="1:42" hidden="1" x14ac:dyDescent="0.2">
      <c r="A24" t="s">
        <v>94</v>
      </c>
      <c r="B24" t="s">
        <v>95</v>
      </c>
      <c r="C24" t="s">
        <v>95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15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5.5</v>
      </c>
      <c r="AE24">
        <v>122</v>
      </c>
      <c r="AF24">
        <v>123.97499999999999</v>
      </c>
      <c r="AG24">
        <v>138.47831607692029</v>
      </c>
      <c r="AH24">
        <f>54.5754047739344*1</f>
        <v>54.575404773934402</v>
      </c>
      <c r="AI24">
        <f>1.44437773924658*1</f>
        <v>1.44437773924658</v>
      </c>
      <c r="AJ24">
        <v>1</v>
      </c>
      <c r="AK24">
        <v>0</v>
      </c>
      <c r="AL24">
        <v>0</v>
      </c>
      <c r="AN24" t="s">
        <v>17</v>
      </c>
      <c r="AO24">
        <f>SUMPRODUCT(Table1[Selected],Table1[BHA])</f>
        <v>1</v>
      </c>
      <c r="AP24">
        <v>3</v>
      </c>
    </row>
    <row r="25" spans="1:42" hidden="1" x14ac:dyDescent="0.2">
      <c r="A25" t="s">
        <v>96</v>
      </c>
      <c r="B25" t="s">
        <v>97</v>
      </c>
      <c r="C25" t="s">
        <v>97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15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123</v>
      </c>
      <c r="AF25">
        <v>76.207296680484987</v>
      </c>
      <c r="AG25">
        <v>81.573263301997571</v>
      </c>
      <c r="AH25">
        <f>53.8219634438689*1</f>
        <v>53.821963443868903</v>
      </c>
      <c r="AI25">
        <f>1.55784673312889*1</f>
        <v>1.5578467331288901</v>
      </c>
      <c r="AJ25">
        <v>1</v>
      </c>
      <c r="AK25">
        <v>0</v>
      </c>
      <c r="AL25">
        <v>0</v>
      </c>
      <c r="AN25" t="s">
        <v>18</v>
      </c>
      <c r="AO25">
        <f>SUMPRODUCT(Table1[Selected],Table1[CHE])</f>
        <v>0</v>
      </c>
      <c r="AP25">
        <v>3</v>
      </c>
    </row>
    <row r="26" spans="1:42" hidden="1" x14ac:dyDescent="0.2">
      <c r="A26" t="s">
        <v>98</v>
      </c>
      <c r="B26" t="s">
        <v>99</v>
      </c>
      <c r="C26" t="s">
        <v>99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15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124</v>
      </c>
      <c r="AF26">
        <v>49.396038124873343</v>
      </c>
      <c r="AG26">
        <v>109.81769496712469</v>
      </c>
      <c r="AH26">
        <f>18.9120132532998*1</f>
        <v>18.912013253299801</v>
      </c>
      <c r="AI26">
        <f>0.46364001665944*1</f>
        <v>0.46364001665943999</v>
      </c>
      <c r="AJ26">
        <v>1</v>
      </c>
      <c r="AK26">
        <v>0</v>
      </c>
      <c r="AL26">
        <v>0</v>
      </c>
      <c r="AN26" t="s">
        <v>19</v>
      </c>
      <c r="AO26">
        <f>SUMPRODUCT(Table1[Selected],Table1[CRY])</f>
        <v>0</v>
      </c>
      <c r="AP26">
        <v>3</v>
      </c>
    </row>
    <row r="27" spans="1:42" hidden="1" x14ac:dyDescent="0.2">
      <c r="A27" t="s">
        <v>100</v>
      </c>
      <c r="B27" t="s">
        <v>101</v>
      </c>
      <c r="C27" t="s">
        <v>101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125</v>
      </c>
      <c r="AF27">
        <v>86.8</v>
      </c>
      <c r="AG27">
        <v>79.494219634076487</v>
      </c>
      <c r="AH27">
        <f>75.366806729926*1</f>
        <v>75.366806729925997</v>
      </c>
      <c r="AI27">
        <f>2.02193452964307*1</f>
        <v>2.0219345296430702</v>
      </c>
      <c r="AJ27">
        <v>1</v>
      </c>
      <c r="AK27">
        <v>0</v>
      </c>
      <c r="AL27">
        <v>0</v>
      </c>
      <c r="AN27" t="s">
        <v>20</v>
      </c>
      <c r="AO27">
        <f>SUMPRODUCT(Table1[Selected],Table1[EVE])</f>
        <v>1</v>
      </c>
      <c r="AP27">
        <v>3</v>
      </c>
    </row>
    <row r="28" spans="1:42" hidden="1" x14ac:dyDescent="0.2">
      <c r="A28" t="s">
        <v>102</v>
      </c>
      <c r="B28" t="s">
        <v>103</v>
      </c>
      <c r="C28" t="s">
        <v>103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126</v>
      </c>
      <c r="AF28">
        <v>74.34302388489678</v>
      </c>
      <c r="AG28">
        <v>79.997828215357544</v>
      </c>
      <c r="AH28">
        <f>50.652100770047*1</f>
        <v>50.652100770046999</v>
      </c>
      <c r="AI28">
        <f>1.35887580527821*1</f>
        <v>1.3588758052782099</v>
      </c>
      <c r="AJ28">
        <v>1</v>
      </c>
      <c r="AK28">
        <v>0</v>
      </c>
      <c r="AL28">
        <v>0</v>
      </c>
      <c r="AN28" t="s">
        <v>21</v>
      </c>
      <c r="AO28">
        <f>SUMPRODUCT(Table1[Selected],Table1[FUL])</f>
        <v>0</v>
      </c>
      <c r="AP28">
        <v>3</v>
      </c>
    </row>
    <row r="29" spans="1:42" hidden="1" x14ac:dyDescent="0.2">
      <c r="A29" t="s">
        <v>104</v>
      </c>
      <c r="B29" t="s">
        <v>105</v>
      </c>
      <c r="C29" t="s">
        <v>106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</v>
      </c>
      <c r="AE29">
        <v>135</v>
      </c>
      <c r="AF29">
        <v>156.9032258064515</v>
      </c>
      <c r="AG29">
        <v>199.82700937558479</v>
      </c>
      <c r="AH29">
        <f>101.794731551611*1</f>
        <v>101.79473155161099</v>
      </c>
      <c r="AI29">
        <f>3.01169688101503*1</f>
        <v>3.01169688101503</v>
      </c>
      <c r="AJ29">
        <v>1</v>
      </c>
      <c r="AK29">
        <v>0</v>
      </c>
      <c r="AL29">
        <v>0</v>
      </c>
      <c r="AN29" t="s">
        <v>22</v>
      </c>
      <c r="AO29">
        <f>SUMPRODUCT(Table1[Selected],Table1[LEE])</f>
        <v>0</v>
      </c>
      <c r="AP29">
        <v>3</v>
      </c>
    </row>
    <row r="30" spans="1:42" hidden="1" x14ac:dyDescent="0.2">
      <c r="A30" t="s">
        <v>107</v>
      </c>
      <c r="B30" t="s">
        <v>108</v>
      </c>
      <c r="C30" t="s">
        <v>108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16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144</v>
      </c>
      <c r="AF30">
        <v>104.5840707964602</v>
      </c>
      <c r="AG30">
        <v>98.703260480587474</v>
      </c>
      <c r="AH30">
        <f>115.894226207648*1</f>
        <v>115.894226207648</v>
      </c>
      <c r="AI30">
        <f>2.99112205632177*1</f>
        <v>2.9911220563217702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0</v>
      </c>
      <c r="AP30">
        <v>3</v>
      </c>
    </row>
    <row r="31" spans="1:42" hidden="1" x14ac:dyDescent="0.2">
      <c r="A31" t="s">
        <v>109</v>
      </c>
      <c r="B31" t="s">
        <v>110</v>
      </c>
      <c r="C31" t="s">
        <v>110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16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145</v>
      </c>
      <c r="AF31">
        <v>88.831168831168796</v>
      </c>
      <c r="AG31">
        <v>104.5524529723034</v>
      </c>
      <c r="AH31">
        <f>57.6892719384977*1</f>
        <v>57.689271938497697</v>
      </c>
      <c r="AI31">
        <f>1.59482123721967*1</f>
        <v>1.59482123721967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1</v>
      </c>
      <c r="AP31">
        <v>3</v>
      </c>
    </row>
    <row r="32" spans="1:42" hidden="1" x14ac:dyDescent="0.2">
      <c r="A32" t="s">
        <v>111</v>
      </c>
      <c r="B32" t="s">
        <v>112</v>
      </c>
      <c r="C32" t="s">
        <v>113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16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151</v>
      </c>
      <c r="AF32">
        <v>77.475203384070326</v>
      </c>
      <c r="AG32">
        <v>64.438224814254397</v>
      </c>
      <c r="AH32">
        <f>80.4953692451095*1</f>
        <v>80.495369245109501</v>
      </c>
      <c r="AI32">
        <f>2.33194412128069*1</f>
        <v>2.33194412128069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114</v>
      </c>
      <c r="B33" t="s">
        <v>115</v>
      </c>
      <c r="C33" t="s">
        <v>115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16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</v>
      </c>
      <c r="AE33">
        <v>157</v>
      </c>
      <c r="AF33">
        <v>166.43492710261779</v>
      </c>
      <c r="AG33">
        <v>87.112821066521192</v>
      </c>
      <c r="AH33">
        <f>171.297049721622*1</f>
        <v>171.29704972162199</v>
      </c>
      <c r="AI33">
        <f>4.49332304634537*1</f>
        <v>4.4933230463453704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3</v>
      </c>
      <c r="AP33">
        <v>3</v>
      </c>
    </row>
    <row r="34" spans="1:42" hidden="1" x14ac:dyDescent="0.2">
      <c r="A34" t="s">
        <v>116</v>
      </c>
      <c r="B34" t="s">
        <v>117</v>
      </c>
      <c r="C34" t="s">
        <v>117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16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</v>
      </c>
      <c r="AE34">
        <v>158</v>
      </c>
      <c r="AF34">
        <v>111.4652739769767</v>
      </c>
      <c r="AG34">
        <v>90.678428018991042</v>
      </c>
      <c r="AH34">
        <f>61.5204693734809*1</f>
        <v>61.5204693734809</v>
      </c>
      <c r="AI34">
        <f>1.68110826492669*1</f>
        <v>1.68110826492669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0</v>
      </c>
      <c r="AP34">
        <v>3</v>
      </c>
    </row>
    <row r="35" spans="1:42" hidden="1" x14ac:dyDescent="0.2">
      <c r="A35" t="s">
        <v>118</v>
      </c>
      <c r="B35" t="s">
        <v>119</v>
      </c>
      <c r="C35" t="s">
        <v>119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162</v>
      </c>
      <c r="AF35">
        <v>96.151515151515142</v>
      </c>
      <c r="AG35">
        <v>85.352590808379915</v>
      </c>
      <c r="AH35">
        <f>36.3536758145479*1</f>
        <v>36.353675814547898</v>
      </c>
      <c r="AI35">
        <f>0.953338476672489*1</f>
        <v>0.95333847667248905</v>
      </c>
      <c r="AJ35">
        <v>1</v>
      </c>
      <c r="AK35">
        <v>0</v>
      </c>
      <c r="AL35">
        <v>0</v>
      </c>
      <c r="AN35" t="s">
        <v>28</v>
      </c>
      <c r="AO35">
        <f>SUMPRODUCT(Table1[Selected],Table1[SUN])</f>
        <v>0</v>
      </c>
      <c r="AP35">
        <v>3</v>
      </c>
    </row>
    <row r="36" spans="1:42" hidden="1" x14ac:dyDescent="0.2">
      <c r="A36" t="s">
        <v>120</v>
      </c>
      <c r="B36" t="s">
        <v>121</v>
      </c>
      <c r="C36" t="s">
        <v>121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166</v>
      </c>
      <c r="AF36">
        <v>64.742392546892646</v>
      </c>
      <c r="AG36">
        <v>49.989914057351598</v>
      </c>
      <c r="AH36">
        <f>46.6613697543496*1</f>
        <v>46.6613697543496</v>
      </c>
      <c r="AI36">
        <f>1.24845206036442*1</f>
        <v>1.24845206036442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x14ac:dyDescent="0.2">
      <c r="A37" t="s">
        <v>261</v>
      </c>
      <c r="B37" t="s">
        <v>262</v>
      </c>
      <c r="C37" t="s">
        <v>262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25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8</v>
      </c>
      <c r="AE37">
        <v>437</v>
      </c>
      <c r="AF37">
        <v>222.5081771794195</v>
      </c>
      <c r="AG37">
        <v>167.48772003800579</v>
      </c>
      <c r="AH37">
        <f>212.609687120405*1</f>
        <v>212.609687120405</v>
      </c>
      <c r="AI37">
        <f>5.59586713079236*1</f>
        <v>5.5958671307923602</v>
      </c>
      <c r="AJ37">
        <v>1</v>
      </c>
      <c r="AK37">
        <v>0</v>
      </c>
      <c r="AL37">
        <v>1</v>
      </c>
      <c r="AN37" t="s">
        <v>30</v>
      </c>
      <c r="AO37">
        <f>SUMPRODUCT(Table1[Selected],Table1[WHU])</f>
        <v>1</v>
      </c>
      <c r="AP37">
        <v>3</v>
      </c>
    </row>
    <row r="38" spans="1:42" hidden="1" x14ac:dyDescent="0.2">
      <c r="A38" t="s">
        <v>124</v>
      </c>
      <c r="B38" t="s">
        <v>125</v>
      </c>
      <c r="C38" t="s">
        <v>125</v>
      </c>
      <c r="D38" t="s">
        <v>3</v>
      </c>
      <c r="E38">
        <v>1</v>
      </c>
      <c r="F38">
        <v>0</v>
      </c>
      <c r="G38">
        <v>0</v>
      </c>
      <c r="H38">
        <v>0</v>
      </c>
      <c r="I38" t="s">
        <v>17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</v>
      </c>
      <c r="AE38">
        <v>176</v>
      </c>
      <c r="AF38">
        <v>112.6428571428571</v>
      </c>
      <c r="AG38">
        <v>117.9582563564373</v>
      </c>
      <c r="AH38">
        <f>45.0137485844312*1</f>
        <v>45.013748584431198</v>
      </c>
      <c r="AI38">
        <f>1.28078135034338*1</f>
        <v>1.28078135034338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1</v>
      </c>
      <c r="AP38">
        <v>3</v>
      </c>
    </row>
    <row r="39" spans="1:42" hidden="1" x14ac:dyDescent="0.2">
      <c r="A39" t="s">
        <v>126</v>
      </c>
      <c r="B39" t="s">
        <v>127</v>
      </c>
      <c r="C39" t="s">
        <v>128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188</v>
      </c>
      <c r="AF39">
        <v>84.260869565217448</v>
      </c>
      <c r="AG39">
        <v>70.038906296978851</v>
      </c>
      <c r="AH39">
        <f>54.4915227327587*1</f>
        <v>54.491522732758703</v>
      </c>
      <c r="AI39">
        <f>1.48156003831521*1</f>
        <v>1.4815600383152101</v>
      </c>
      <c r="AJ39">
        <v>1</v>
      </c>
      <c r="AK39">
        <v>0</v>
      </c>
      <c r="AL39">
        <v>0</v>
      </c>
    </row>
    <row r="40" spans="1:42" hidden="1" x14ac:dyDescent="0.2">
      <c r="A40" t="s">
        <v>129</v>
      </c>
      <c r="B40" t="s">
        <v>130</v>
      </c>
      <c r="C40" t="s">
        <v>129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6.5</v>
      </c>
      <c r="AE40">
        <v>194</v>
      </c>
      <c r="AF40">
        <v>150.29541477168721</v>
      </c>
      <c r="AG40">
        <v>214.01802257802859</v>
      </c>
      <c r="AH40">
        <f>99.7008145715533*1</f>
        <v>99.700814571553295</v>
      </c>
      <c r="AI40">
        <f>1.60800046674485*1</f>
        <v>1.60800046674485</v>
      </c>
      <c r="AJ40">
        <v>1</v>
      </c>
      <c r="AK40">
        <v>0</v>
      </c>
      <c r="AL40">
        <v>0</v>
      </c>
    </row>
    <row r="41" spans="1:42" hidden="1" x14ac:dyDescent="0.2">
      <c r="A41" t="s">
        <v>131</v>
      </c>
      <c r="B41" t="s">
        <v>132</v>
      </c>
      <c r="C41" t="s">
        <v>131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</v>
      </c>
      <c r="AE41">
        <v>195</v>
      </c>
      <c r="AF41">
        <v>110.68276737551</v>
      </c>
      <c r="AG41">
        <v>149.25145122372291</v>
      </c>
      <c r="AH41">
        <f>104.575266488234*1</f>
        <v>104.57526648823401</v>
      </c>
      <c r="AI41">
        <f>3.07186337131131*1</f>
        <v>3.0718633713113102</v>
      </c>
      <c r="AJ41">
        <v>1</v>
      </c>
      <c r="AK41">
        <v>0</v>
      </c>
      <c r="AL41">
        <v>0</v>
      </c>
    </row>
    <row r="42" spans="1:42" hidden="1" x14ac:dyDescent="0.2">
      <c r="A42" t="s">
        <v>133</v>
      </c>
      <c r="B42" t="s">
        <v>134</v>
      </c>
      <c r="C42" t="s">
        <v>134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</v>
      </c>
      <c r="AE42">
        <v>197</v>
      </c>
      <c r="AF42">
        <v>121.125</v>
      </c>
      <c r="AG42">
        <v>154.1126024568176</v>
      </c>
      <c r="AH42">
        <f>93.929355047747*1</f>
        <v>93.929355047746995</v>
      </c>
      <c r="AI42">
        <f>2.37162695817182*1</f>
        <v>2.3716269581718201</v>
      </c>
      <c r="AJ42">
        <v>1</v>
      </c>
      <c r="AK42">
        <v>0</v>
      </c>
      <c r="AL42">
        <v>0</v>
      </c>
    </row>
    <row r="43" spans="1:42" x14ac:dyDescent="0.2">
      <c r="A43" t="s">
        <v>78</v>
      </c>
      <c r="B43" t="s">
        <v>302</v>
      </c>
      <c r="C43" t="s">
        <v>303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26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6.5</v>
      </c>
      <c r="AE43">
        <v>496</v>
      </c>
      <c r="AF43">
        <v>194.00822965865461</v>
      </c>
      <c r="AG43">
        <v>88.345816397033417</v>
      </c>
      <c r="AH43">
        <f>233.385585226093*1</f>
        <v>233.38558522609301</v>
      </c>
      <c r="AI43">
        <f>5.27791256045538*1</f>
        <v>5.2779125604553796</v>
      </c>
      <c r="AJ43">
        <v>1</v>
      </c>
      <c r="AK43">
        <v>0</v>
      </c>
      <c r="AL43">
        <v>1</v>
      </c>
    </row>
    <row r="44" spans="1:42" hidden="1" x14ac:dyDescent="0.2">
      <c r="A44" t="s">
        <v>137</v>
      </c>
      <c r="B44" t="s">
        <v>138</v>
      </c>
      <c r="C44" t="s">
        <v>138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204</v>
      </c>
      <c r="AF44">
        <v>76.000000000000014</v>
      </c>
      <c r="AG44">
        <v>60.368795388985347</v>
      </c>
      <c r="AH44">
        <f>73.8948774386641*1</f>
        <v>73.894877438664096</v>
      </c>
      <c r="AI44">
        <f>1.95797379481937*1</f>
        <v>1.9579737948193701</v>
      </c>
      <c r="AJ44">
        <v>1</v>
      </c>
      <c r="AK44">
        <v>0</v>
      </c>
      <c r="AL44">
        <v>0</v>
      </c>
    </row>
    <row r="45" spans="1:42" hidden="1" x14ac:dyDescent="0.2">
      <c r="A45" t="s">
        <v>139</v>
      </c>
      <c r="B45" t="s">
        <v>140</v>
      </c>
      <c r="C45" t="s">
        <v>140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</v>
      </c>
      <c r="AE45">
        <v>205</v>
      </c>
      <c r="AF45">
        <v>87.343283582089597</v>
      </c>
      <c r="AG45">
        <v>119.21100095117789</v>
      </c>
      <c r="AH45">
        <f>37.9040682826162*1</f>
        <v>37.904068282616201</v>
      </c>
      <c r="AI45">
        <f>0.963767138376439*1</f>
        <v>0.96376713837643901</v>
      </c>
      <c r="AJ45">
        <v>1</v>
      </c>
      <c r="AK45">
        <v>0</v>
      </c>
      <c r="AL45">
        <v>0</v>
      </c>
    </row>
    <row r="46" spans="1:42" hidden="1" x14ac:dyDescent="0.2">
      <c r="A46" t="s">
        <v>141</v>
      </c>
      <c r="B46" t="s">
        <v>142</v>
      </c>
      <c r="C46" t="s">
        <v>142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6.5</v>
      </c>
      <c r="AE46">
        <v>215</v>
      </c>
      <c r="AF46">
        <v>122.731179028993</v>
      </c>
      <c r="AG46">
        <v>101.92897052449941</v>
      </c>
      <c r="AH46">
        <f>101.290449675309*1</f>
        <v>101.29044967530901</v>
      </c>
      <c r="AI46">
        <f>2.8209921688842*1</f>
        <v>2.8209921688841999</v>
      </c>
      <c r="AJ46">
        <v>1</v>
      </c>
      <c r="AK46">
        <v>0</v>
      </c>
      <c r="AL46">
        <v>0</v>
      </c>
    </row>
    <row r="47" spans="1:42" hidden="1" x14ac:dyDescent="0.2">
      <c r="A47" t="s">
        <v>143</v>
      </c>
      <c r="B47" t="s">
        <v>144</v>
      </c>
      <c r="C47" t="s">
        <v>145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</v>
      </c>
      <c r="AE47">
        <v>223</v>
      </c>
      <c r="AF47">
        <v>117.948051948052</v>
      </c>
      <c r="AG47">
        <v>98.271910236936094</v>
      </c>
      <c r="AH47">
        <f>115.016607032304*1</f>
        <v>115.01660703230399</v>
      </c>
      <c r="AI47">
        <f>2.96472410919071*1</f>
        <v>2.9647241091907102</v>
      </c>
      <c r="AJ47">
        <v>1</v>
      </c>
      <c r="AK47">
        <v>0</v>
      </c>
      <c r="AL47">
        <v>0</v>
      </c>
    </row>
    <row r="48" spans="1:42" hidden="1" x14ac:dyDescent="0.2">
      <c r="A48" t="s">
        <v>146</v>
      </c>
      <c r="B48" t="s">
        <v>147</v>
      </c>
      <c r="C48" t="s">
        <v>147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</v>
      </c>
      <c r="AE48">
        <v>227</v>
      </c>
      <c r="AF48">
        <v>87.137931034482747</v>
      </c>
      <c r="AG48">
        <v>83.216024891606224</v>
      </c>
      <c r="AH48">
        <f>55.4588390853048*1</f>
        <v>55.458839085304803</v>
      </c>
      <c r="AI48">
        <f>1.4467829192419*1</f>
        <v>1.4467829192418999</v>
      </c>
      <c r="AJ48">
        <v>1</v>
      </c>
      <c r="AK48">
        <v>0</v>
      </c>
      <c r="AL48">
        <v>0</v>
      </c>
    </row>
    <row r="49" spans="1:38" hidden="1" x14ac:dyDescent="0.2">
      <c r="A49" t="s">
        <v>148</v>
      </c>
      <c r="B49" t="s">
        <v>149</v>
      </c>
      <c r="C49" t="s">
        <v>149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10.5</v>
      </c>
      <c r="AE49">
        <v>234</v>
      </c>
      <c r="AF49">
        <v>139.7246378394741</v>
      </c>
      <c r="AG49">
        <v>302.6553953682174</v>
      </c>
      <c r="AH49">
        <f>69.9080771026216*1</f>
        <v>69.908077102621604</v>
      </c>
      <c r="AI49">
        <f>1.46332348344499*1</f>
        <v>1.46332348344499</v>
      </c>
      <c r="AJ49">
        <v>1</v>
      </c>
      <c r="AK49">
        <v>0</v>
      </c>
      <c r="AL49">
        <v>0</v>
      </c>
    </row>
    <row r="50" spans="1:38" hidden="1" x14ac:dyDescent="0.2">
      <c r="A50" t="s">
        <v>150</v>
      </c>
      <c r="B50" t="s">
        <v>151</v>
      </c>
      <c r="C50" t="s">
        <v>152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</v>
      </c>
      <c r="AE50">
        <v>235</v>
      </c>
      <c r="AF50">
        <v>115.2029328720805</v>
      </c>
      <c r="AG50">
        <v>110.28460628020041</v>
      </c>
      <c r="AH50">
        <f>90.9892039516955*1</f>
        <v>90.989203951695501</v>
      </c>
      <c r="AI50">
        <f>2.57730481168203*1</f>
        <v>2.5773048116820299</v>
      </c>
      <c r="AJ50">
        <v>1</v>
      </c>
      <c r="AK50">
        <v>0</v>
      </c>
      <c r="AL50">
        <v>0</v>
      </c>
    </row>
    <row r="51" spans="1:38" hidden="1" x14ac:dyDescent="0.2">
      <c r="A51" t="s">
        <v>153</v>
      </c>
      <c r="B51" t="s">
        <v>154</v>
      </c>
      <c r="C51" t="s">
        <v>153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6.5</v>
      </c>
      <c r="AE51">
        <v>236</v>
      </c>
      <c r="AF51">
        <v>119.6403551267981</v>
      </c>
      <c r="AG51">
        <v>83.452801943146468</v>
      </c>
      <c r="AH51">
        <f>128.086588989936*1</f>
        <v>128.08658898993599</v>
      </c>
      <c r="AI51">
        <f>3.26760417819159*1</f>
        <v>3.2676041781915899</v>
      </c>
      <c r="AJ51">
        <v>1</v>
      </c>
      <c r="AK51">
        <v>0</v>
      </c>
      <c r="AL51">
        <v>0</v>
      </c>
    </row>
    <row r="52" spans="1:38" hidden="1" x14ac:dyDescent="0.2">
      <c r="A52" t="s">
        <v>155</v>
      </c>
      <c r="B52" t="s">
        <v>156</v>
      </c>
      <c r="C52" t="s">
        <v>156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</v>
      </c>
      <c r="AE52">
        <v>239</v>
      </c>
      <c r="AF52">
        <v>90.378378378378486</v>
      </c>
      <c r="AG52">
        <v>67.338434092994817</v>
      </c>
      <c r="AH52">
        <f>84.1632257003463*1</f>
        <v>84.163225700346302</v>
      </c>
      <c r="AI52">
        <f>2.21935738062836*1</f>
        <v>2.21935738062836</v>
      </c>
      <c r="AJ52">
        <v>1</v>
      </c>
      <c r="AK52">
        <v>0</v>
      </c>
      <c r="AL52">
        <v>0</v>
      </c>
    </row>
    <row r="53" spans="1:38" hidden="1" x14ac:dyDescent="0.2">
      <c r="A53" t="s">
        <v>157</v>
      </c>
      <c r="B53" t="s">
        <v>158</v>
      </c>
      <c r="C53" t="s">
        <v>159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5.5</v>
      </c>
      <c r="AE53">
        <v>240</v>
      </c>
      <c r="AF53">
        <v>89.786520828481713</v>
      </c>
      <c r="AG53">
        <v>94.298008101398068</v>
      </c>
      <c r="AH53">
        <f>65.0019867959078*1</f>
        <v>65.001986795907797</v>
      </c>
      <c r="AI53">
        <f>1.77586106921779*1</f>
        <v>1.7758610692177901</v>
      </c>
      <c r="AJ53">
        <v>1</v>
      </c>
      <c r="AK53">
        <v>0</v>
      </c>
      <c r="AL53">
        <v>0</v>
      </c>
    </row>
    <row r="54" spans="1:38" hidden="1" x14ac:dyDescent="0.2">
      <c r="A54" t="s">
        <v>160</v>
      </c>
      <c r="B54" t="s">
        <v>161</v>
      </c>
      <c r="C54" t="s">
        <v>160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7.5</v>
      </c>
      <c r="AE54">
        <v>248</v>
      </c>
      <c r="AF54">
        <v>166.72517414967871</v>
      </c>
      <c r="AG54">
        <v>100.9798235310592</v>
      </c>
      <c r="AH54">
        <f>162.593702328031*1</f>
        <v>162.59370232803099</v>
      </c>
      <c r="AI54">
        <f>4.15091884359414*1</f>
        <v>4.1509188435941402</v>
      </c>
      <c r="AJ54">
        <v>1</v>
      </c>
      <c r="AK54">
        <v>0</v>
      </c>
      <c r="AL54">
        <v>0</v>
      </c>
    </row>
    <row r="55" spans="1:38" hidden="1" x14ac:dyDescent="0.2">
      <c r="A55" t="s">
        <v>162</v>
      </c>
      <c r="B55" t="s">
        <v>163</v>
      </c>
      <c r="C55" t="s">
        <v>163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6.5</v>
      </c>
      <c r="AE55">
        <v>249</v>
      </c>
      <c r="AF55">
        <v>130.56410256410251</v>
      </c>
      <c r="AG55">
        <v>145.28396586487409</v>
      </c>
      <c r="AH55">
        <f>55.1851832039856*1</f>
        <v>55.185183203985602</v>
      </c>
      <c r="AI55">
        <f>1.38779483205296*1</f>
        <v>1.3877948320529601</v>
      </c>
      <c r="AJ55">
        <v>1</v>
      </c>
      <c r="AK55">
        <v>0</v>
      </c>
      <c r="AL55">
        <v>0</v>
      </c>
    </row>
    <row r="56" spans="1:38" hidden="1" x14ac:dyDescent="0.2">
      <c r="A56" t="s">
        <v>164</v>
      </c>
      <c r="B56" t="s">
        <v>165</v>
      </c>
      <c r="C56" t="s">
        <v>166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6.5</v>
      </c>
      <c r="AE56">
        <v>250</v>
      </c>
      <c r="AF56">
        <v>154.41269841269829</v>
      </c>
      <c r="AG56">
        <v>196.84016456149519</v>
      </c>
      <c r="AH56">
        <f>38.9401159871642*1</f>
        <v>38.940115987164198</v>
      </c>
      <c r="AI56">
        <f>0.919321978243762*1</f>
        <v>0.91932197824376205</v>
      </c>
      <c r="AJ56">
        <v>1</v>
      </c>
      <c r="AK56">
        <v>0</v>
      </c>
      <c r="AL56">
        <v>0</v>
      </c>
    </row>
    <row r="57" spans="1:38" hidden="1" x14ac:dyDescent="0.2">
      <c r="A57" t="s">
        <v>167</v>
      </c>
      <c r="B57" t="s">
        <v>168</v>
      </c>
      <c r="C57" t="s">
        <v>168</v>
      </c>
      <c r="D57" t="s">
        <v>3</v>
      </c>
      <c r="E57">
        <v>1</v>
      </c>
      <c r="F57">
        <v>0</v>
      </c>
      <c r="G57">
        <v>0</v>
      </c>
      <c r="H57">
        <v>0</v>
      </c>
      <c r="I57" t="s">
        <v>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252</v>
      </c>
      <c r="AF57">
        <v>144.2144823369897</v>
      </c>
      <c r="AG57">
        <v>162.81600921136931</v>
      </c>
      <c r="AH57">
        <f>77.4873512530053*1</f>
        <v>77.487351253005301</v>
      </c>
      <c r="AI57">
        <f>1.93658178423346*1</f>
        <v>1.9365817842334601</v>
      </c>
      <c r="AJ57">
        <v>1</v>
      </c>
      <c r="AK57">
        <v>0</v>
      </c>
      <c r="AL57">
        <v>0</v>
      </c>
    </row>
    <row r="58" spans="1:38" hidden="1" x14ac:dyDescent="0.2">
      <c r="A58" t="s">
        <v>169</v>
      </c>
      <c r="B58" t="s">
        <v>170</v>
      </c>
      <c r="C58" t="s">
        <v>170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</v>
      </c>
      <c r="AE58">
        <v>256</v>
      </c>
      <c r="AF58">
        <v>125.5151515151514</v>
      </c>
      <c r="AG58">
        <v>94.425206462952374</v>
      </c>
      <c r="AH58">
        <f>54.8140074757926*1</f>
        <v>54.8140074757926</v>
      </c>
      <c r="AI58">
        <f>1.5551812679101*1</f>
        <v>1.5551812679101</v>
      </c>
      <c r="AJ58">
        <v>1</v>
      </c>
      <c r="AK58">
        <v>0</v>
      </c>
      <c r="AL58">
        <v>0</v>
      </c>
    </row>
    <row r="59" spans="1:38" hidden="1" x14ac:dyDescent="0.2">
      <c r="A59" t="s">
        <v>171</v>
      </c>
      <c r="B59" t="s">
        <v>172</v>
      </c>
      <c r="C59" t="s">
        <v>172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257</v>
      </c>
      <c r="AF59">
        <v>114.7080745341615</v>
      </c>
      <c r="AG59">
        <v>110.63168408197851</v>
      </c>
      <c r="AH59">
        <f>95.9431228540723*1</f>
        <v>95.9431228540723</v>
      </c>
      <c r="AI59">
        <f>2.54991364210009*1</f>
        <v>2.5499136421000901</v>
      </c>
      <c r="AJ59">
        <v>1</v>
      </c>
      <c r="AK59">
        <v>0</v>
      </c>
      <c r="AL59">
        <v>0</v>
      </c>
    </row>
    <row r="60" spans="1:38" hidden="1" x14ac:dyDescent="0.2">
      <c r="A60" t="s">
        <v>143</v>
      </c>
      <c r="B60" t="s">
        <v>173</v>
      </c>
      <c r="C60" t="s">
        <v>173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4.5</v>
      </c>
      <c r="AE60">
        <v>259</v>
      </c>
      <c r="AF60">
        <v>114.6228286736047</v>
      </c>
      <c r="AG60">
        <v>101.02210309849499</v>
      </c>
      <c r="AH60">
        <f>62.0497218387391*1</f>
        <v>62.049721838739103</v>
      </c>
      <c r="AI60">
        <f>1.97312224681478*1</f>
        <v>1.97312224681478</v>
      </c>
      <c r="AJ60">
        <v>1</v>
      </c>
      <c r="AK60">
        <v>0</v>
      </c>
      <c r="AL60">
        <v>0</v>
      </c>
    </row>
    <row r="61" spans="1:38" hidden="1" x14ac:dyDescent="0.2">
      <c r="A61" t="s">
        <v>174</v>
      </c>
      <c r="B61" t="s">
        <v>175</v>
      </c>
      <c r="C61" t="s">
        <v>175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7.5</v>
      </c>
      <c r="AE61">
        <v>265</v>
      </c>
      <c r="AF61">
        <v>153.92753623188401</v>
      </c>
      <c r="AG61">
        <v>154.76682073334109</v>
      </c>
      <c r="AH61">
        <f>177.424788662332*1</f>
        <v>177.42478866233199</v>
      </c>
      <c r="AI61">
        <f>4.7887784987057*1</f>
        <v>4.7887784987056996</v>
      </c>
      <c r="AJ61">
        <v>1</v>
      </c>
      <c r="AK61">
        <v>0</v>
      </c>
      <c r="AL61">
        <v>0</v>
      </c>
    </row>
    <row r="62" spans="1:38" hidden="1" x14ac:dyDescent="0.2">
      <c r="A62" t="s">
        <v>176</v>
      </c>
      <c r="B62" t="s">
        <v>177</v>
      </c>
      <c r="C62" t="s">
        <v>177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6.5</v>
      </c>
      <c r="AE62">
        <v>266</v>
      </c>
      <c r="AF62">
        <v>147.84375</v>
      </c>
      <c r="AG62">
        <v>133.7603536123375</v>
      </c>
      <c r="AH62">
        <f>130.126159959657*1</f>
        <v>130.126159959657</v>
      </c>
      <c r="AI62">
        <f>3.48744040486369*1</f>
        <v>3.48744040486369</v>
      </c>
      <c r="AJ62">
        <v>1</v>
      </c>
      <c r="AK62">
        <v>0</v>
      </c>
      <c r="AL62">
        <v>0</v>
      </c>
    </row>
    <row r="63" spans="1:38" hidden="1" x14ac:dyDescent="0.2">
      <c r="A63" t="s">
        <v>178</v>
      </c>
      <c r="B63" t="s">
        <v>179</v>
      </c>
      <c r="C63" t="s">
        <v>179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269</v>
      </c>
      <c r="AF63">
        <v>79.753086419753203</v>
      </c>
      <c r="AG63">
        <v>85.80681848140263</v>
      </c>
      <c r="AH63">
        <f>42.7203219943038*1</f>
        <v>42.720321994303802</v>
      </c>
      <c r="AI63">
        <f>1.23942869632814*1</f>
        <v>1.23942869632814</v>
      </c>
      <c r="AJ63">
        <v>1</v>
      </c>
      <c r="AK63">
        <v>0</v>
      </c>
      <c r="AL63">
        <v>0</v>
      </c>
    </row>
    <row r="64" spans="1:38" hidden="1" x14ac:dyDescent="0.2">
      <c r="A64" t="s">
        <v>180</v>
      </c>
      <c r="B64" t="s">
        <v>181</v>
      </c>
      <c r="C64" t="s">
        <v>181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270</v>
      </c>
      <c r="AF64">
        <v>51.062499997773003</v>
      </c>
      <c r="AG64">
        <v>66.206226583379447</v>
      </c>
      <c r="AH64">
        <f>28.7206066015951*1</f>
        <v>28.720606601595101</v>
      </c>
      <c r="AI64">
        <f>0.777295316030356*1</f>
        <v>0.77729531603035595</v>
      </c>
      <c r="AJ64">
        <v>1</v>
      </c>
      <c r="AK64">
        <v>0</v>
      </c>
      <c r="AL64">
        <v>0</v>
      </c>
    </row>
    <row r="65" spans="1:38" hidden="1" x14ac:dyDescent="0.2">
      <c r="A65" t="s">
        <v>182</v>
      </c>
      <c r="B65" t="s">
        <v>183</v>
      </c>
      <c r="C65" t="s">
        <v>184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271</v>
      </c>
      <c r="AF65">
        <v>88.399999999999963</v>
      </c>
      <c r="AG65">
        <v>89.769398051609542</v>
      </c>
      <c r="AH65">
        <f>58.7465881208954*1</f>
        <v>58.746588120895403</v>
      </c>
      <c r="AI65">
        <f>1.56634131392133*1</f>
        <v>1.56634131392133</v>
      </c>
      <c r="AJ65">
        <v>1</v>
      </c>
      <c r="AK65">
        <v>0</v>
      </c>
      <c r="AL65">
        <v>0</v>
      </c>
    </row>
    <row r="66" spans="1:38" hidden="1" x14ac:dyDescent="0.2">
      <c r="A66" t="s">
        <v>185</v>
      </c>
      <c r="B66" t="s">
        <v>186</v>
      </c>
      <c r="C66" t="s">
        <v>186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7.5</v>
      </c>
      <c r="AE66">
        <v>282</v>
      </c>
      <c r="AF66">
        <v>160.84001831285849</v>
      </c>
      <c r="AG66">
        <v>96.395464558490715</v>
      </c>
      <c r="AH66">
        <f>85.2714516646545*1</f>
        <v>85.271451664654506</v>
      </c>
      <c r="AI66">
        <f>2.31820341246305*1</f>
        <v>2.31820341246305</v>
      </c>
      <c r="AJ66">
        <v>1</v>
      </c>
      <c r="AK66">
        <v>0</v>
      </c>
      <c r="AL66">
        <v>0</v>
      </c>
    </row>
    <row r="67" spans="1:38" hidden="1" x14ac:dyDescent="0.2">
      <c r="A67" t="s">
        <v>187</v>
      </c>
      <c r="B67" t="s">
        <v>188</v>
      </c>
      <c r="C67" t="s">
        <v>188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5.5</v>
      </c>
      <c r="AE67">
        <v>283</v>
      </c>
      <c r="AF67">
        <v>83.783132530120554</v>
      </c>
      <c r="AG67">
        <v>96.961752002393183</v>
      </c>
      <c r="AH67">
        <f>45.6967253105053*1</f>
        <v>45.6967253105053</v>
      </c>
      <c r="AI67">
        <f>1.16066920949328*1</f>
        <v>1.16066920949328</v>
      </c>
      <c r="AJ67">
        <v>1</v>
      </c>
      <c r="AK67">
        <v>0</v>
      </c>
      <c r="AL67">
        <v>0</v>
      </c>
    </row>
    <row r="68" spans="1:38" x14ac:dyDescent="0.2">
      <c r="A68" t="s">
        <v>122</v>
      </c>
      <c r="B68" t="s">
        <v>123</v>
      </c>
      <c r="C68" t="s">
        <v>123</v>
      </c>
      <c r="D68" t="s">
        <v>6</v>
      </c>
      <c r="E68">
        <v>0</v>
      </c>
      <c r="F68">
        <v>0</v>
      </c>
      <c r="G68">
        <v>0</v>
      </c>
      <c r="H68">
        <v>1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7.5</v>
      </c>
      <c r="AE68">
        <v>172</v>
      </c>
      <c r="AF68">
        <v>195.0421352829718</v>
      </c>
      <c r="AG68">
        <v>116.21831616678389</v>
      </c>
      <c r="AH68">
        <f>184.985355694429*1</f>
        <v>184.98535569442899</v>
      </c>
      <c r="AI68">
        <f>4.81502739573296*1</f>
        <v>4.8150273957329599</v>
      </c>
      <c r="AJ68">
        <v>1</v>
      </c>
      <c r="AK68">
        <v>0</v>
      </c>
      <c r="AL68">
        <v>1</v>
      </c>
    </row>
    <row r="69" spans="1:38" hidden="1" x14ac:dyDescent="0.2">
      <c r="A69" t="s">
        <v>191</v>
      </c>
      <c r="B69" t="s">
        <v>192</v>
      </c>
      <c r="C69" t="s">
        <v>192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5.5</v>
      </c>
      <c r="AE69">
        <v>289</v>
      </c>
      <c r="AF69">
        <v>114</v>
      </c>
      <c r="AG69">
        <v>137.38403297532949</v>
      </c>
      <c r="AH69">
        <f>61.3779011658479*1</f>
        <v>61.377901165847902</v>
      </c>
      <c r="AI69">
        <f>1.47140281237215*1</f>
        <v>1.4714028123721501</v>
      </c>
      <c r="AJ69">
        <v>1</v>
      </c>
      <c r="AK69">
        <v>0</v>
      </c>
      <c r="AL69">
        <v>0</v>
      </c>
    </row>
    <row r="70" spans="1:38" hidden="1" x14ac:dyDescent="0.2">
      <c r="A70" t="s">
        <v>193</v>
      </c>
      <c r="B70" t="s">
        <v>194</v>
      </c>
      <c r="C70" t="s">
        <v>194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5.5</v>
      </c>
      <c r="AE70">
        <v>290</v>
      </c>
      <c r="AF70">
        <v>112.61933353226981</v>
      </c>
      <c r="AG70">
        <v>150.10231805833351</v>
      </c>
      <c r="AH70">
        <f>57.0272234411615*1</f>
        <v>57.027223441161503</v>
      </c>
      <c r="AI70">
        <f>1.37686281270688*1</f>
        <v>1.37686281270688</v>
      </c>
      <c r="AJ70">
        <v>1</v>
      </c>
      <c r="AK70">
        <v>0</v>
      </c>
      <c r="AL70">
        <v>0</v>
      </c>
    </row>
    <row r="71" spans="1:38" hidden="1" x14ac:dyDescent="0.2">
      <c r="A71" t="s">
        <v>195</v>
      </c>
      <c r="B71" t="s">
        <v>196</v>
      </c>
      <c r="C71" t="s">
        <v>196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291</v>
      </c>
      <c r="AF71">
        <v>117.24104711391119</v>
      </c>
      <c r="AG71">
        <v>106.45281876700641</v>
      </c>
      <c r="AH71">
        <f>116.752977095083*1</f>
        <v>116.752977095083</v>
      </c>
      <c r="AI71">
        <f>4.26031914568339*1</f>
        <v>4.2603191456833898</v>
      </c>
      <c r="AJ71">
        <v>1</v>
      </c>
      <c r="AK71">
        <v>0</v>
      </c>
      <c r="AL71">
        <v>0</v>
      </c>
    </row>
    <row r="72" spans="1:38" hidden="1" x14ac:dyDescent="0.2">
      <c r="A72" t="s">
        <v>197</v>
      </c>
      <c r="B72" t="s">
        <v>198</v>
      </c>
      <c r="C72" t="s">
        <v>198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6.5</v>
      </c>
      <c r="AE72">
        <v>298</v>
      </c>
      <c r="AF72">
        <v>121.4882881610592</v>
      </c>
      <c r="AG72">
        <v>166.7286628602026</v>
      </c>
      <c r="AH72">
        <f>113.751422992966*1</f>
        <v>113.751422992966</v>
      </c>
      <c r="AI72">
        <f>1.33451047687451*1</f>
        <v>1.33451047687451</v>
      </c>
      <c r="AJ72">
        <v>1</v>
      </c>
      <c r="AK72">
        <v>0</v>
      </c>
      <c r="AL72">
        <v>0</v>
      </c>
    </row>
    <row r="73" spans="1:38" hidden="1" x14ac:dyDescent="0.2">
      <c r="A73" t="s">
        <v>199</v>
      </c>
      <c r="B73" t="s">
        <v>200</v>
      </c>
      <c r="C73" t="s">
        <v>201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5.5</v>
      </c>
      <c r="AE73">
        <v>310</v>
      </c>
      <c r="AF73">
        <v>78.958538037697579</v>
      </c>
      <c r="AG73">
        <v>73.776469638683409</v>
      </c>
      <c r="AH73">
        <f>85.2320241360852*1</f>
        <v>85.232024136085201</v>
      </c>
      <c r="AI73">
        <f>2.06658922439714*1</f>
        <v>2.06658922439714</v>
      </c>
      <c r="AJ73">
        <v>1</v>
      </c>
      <c r="AK73">
        <v>0</v>
      </c>
      <c r="AL73">
        <v>0</v>
      </c>
    </row>
    <row r="74" spans="1:38" hidden="1" x14ac:dyDescent="0.2">
      <c r="A74" t="s">
        <v>202</v>
      </c>
      <c r="B74" t="s">
        <v>203</v>
      </c>
      <c r="C74" t="s">
        <v>203</v>
      </c>
      <c r="D74" t="s">
        <v>3</v>
      </c>
      <c r="E74">
        <v>1</v>
      </c>
      <c r="F74">
        <v>0</v>
      </c>
      <c r="G74">
        <v>0</v>
      </c>
      <c r="H74">
        <v>0</v>
      </c>
      <c r="I74" t="s">
        <v>21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</v>
      </c>
      <c r="AE74">
        <v>314</v>
      </c>
      <c r="AF74">
        <v>133.45049173070089</v>
      </c>
      <c r="AG74">
        <v>142.8581832598517</v>
      </c>
      <c r="AH74">
        <f>61.6206160440144*1</f>
        <v>61.620616044014398</v>
      </c>
      <c r="AI74">
        <f>1.70012634396416*1</f>
        <v>1.7001263439641601</v>
      </c>
      <c r="AJ74">
        <v>1</v>
      </c>
      <c r="AK74">
        <v>0</v>
      </c>
      <c r="AL74">
        <v>0</v>
      </c>
    </row>
    <row r="75" spans="1:38" hidden="1" x14ac:dyDescent="0.2">
      <c r="A75" t="s">
        <v>204</v>
      </c>
      <c r="B75" t="s">
        <v>205</v>
      </c>
      <c r="C75" t="s">
        <v>205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</v>
      </c>
      <c r="AE75">
        <v>316</v>
      </c>
      <c r="AF75">
        <v>100.5714285714286</v>
      </c>
      <c r="AG75">
        <v>99.737675269585949</v>
      </c>
      <c r="AH75">
        <f>41.2833207039543*1</f>
        <v>41.283320703954303</v>
      </c>
      <c r="AI75">
        <f>1.07501505289912*1</f>
        <v>1.07501505289912</v>
      </c>
      <c r="AJ75">
        <v>1</v>
      </c>
      <c r="AK75">
        <v>0</v>
      </c>
      <c r="AL75">
        <v>0</v>
      </c>
    </row>
    <row r="76" spans="1:38" hidden="1" x14ac:dyDescent="0.2">
      <c r="A76" t="s">
        <v>206</v>
      </c>
      <c r="B76" t="s">
        <v>207</v>
      </c>
      <c r="C76" t="s">
        <v>207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</v>
      </c>
      <c r="AE76">
        <v>317</v>
      </c>
      <c r="AF76">
        <v>103.7554769100531</v>
      </c>
      <c r="AG76">
        <v>133.78901626504</v>
      </c>
      <c r="AH76">
        <f>26.277746174772*1</f>
        <v>26.277746174771998</v>
      </c>
      <c r="AI76">
        <f>0.602645071028984*1</f>
        <v>0.60264507102898401</v>
      </c>
      <c r="AJ76">
        <v>1</v>
      </c>
      <c r="AK76">
        <v>0</v>
      </c>
      <c r="AL76">
        <v>0</v>
      </c>
    </row>
    <row r="77" spans="1:38" hidden="1" x14ac:dyDescent="0.2">
      <c r="A77" t="s">
        <v>208</v>
      </c>
      <c r="B77" t="s">
        <v>209</v>
      </c>
      <c r="C77" t="s">
        <v>209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318</v>
      </c>
      <c r="AF77">
        <v>83.718749999999986</v>
      </c>
      <c r="AG77">
        <v>88.242222900062671</v>
      </c>
      <c r="AH77">
        <f>45.0536365334932*1</f>
        <v>45.053636533493197</v>
      </c>
      <c r="AI77">
        <f>1.25340195911838*1</f>
        <v>1.25340195911838</v>
      </c>
      <c r="AJ77">
        <v>1</v>
      </c>
      <c r="AK77">
        <v>0</v>
      </c>
      <c r="AL77">
        <v>0</v>
      </c>
    </row>
    <row r="78" spans="1:38" hidden="1" x14ac:dyDescent="0.2">
      <c r="A78" t="s">
        <v>210</v>
      </c>
      <c r="B78" t="s">
        <v>211</v>
      </c>
      <c r="C78" t="s">
        <v>211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6.5</v>
      </c>
      <c r="AE78">
        <v>324</v>
      </c>
      <c r="AF78">
        <v>141.13038896959981</v>
      </c>
      <c r="AG78">
        <v>102.30970748927579</v>
      </c>
      <c r="AH78">
        <f>118.612089429081*1</f>
        <v>118.612089429081</v>
      </c>
      <c r="AI78">
        <f>3.13735835288056*1</f>
        <v>3.1373583528805602</v>
      </c>
      <c r="AJ78">
        <v>1</v>
      </c>
      <c r="AK78">
        <v>0</v>
      </c>
      <c r="AL78">
        <v>0</v>
      </c>
    </row>
    <row r="79" spans="1:38" hidden="1" x14ac:dyDescent="0.2">
      <c r="A79" t="s">
        <v>212</v>
      </c>
      <c r="B79" t="s">
        <v>213</v>
      </c>
      <c r="C79" t="s">
        <v>213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</v>
      </c>
      <c r="AE79">
        <v>325</v>
      </c>
      <c r="AF79">
        <v>120.56363636363631</v>
      </c>
      <c r="AG79">
        <v>130.77448478282969</v>
      </c>
      <c r="AH79">
        <f>53.5980266902132*1</f>
        <v>53.598026690213203</v>
      </c>
      <c r="AI79">
        <f>1.50866535113825*1</f>
        <v>1.50866535113825</v>
      </c>
      <c r="AJ79">
        <v>1</v>
      </c>
      <c r="AK79">
        <v>0</v>
      </c>
      <c r="AL79">
        <v>0</v>
      </c>
    </row>
    <row r="80" spans="1:38" hidden="1" x14ac:dyDescent="0.2">
      <c r="A80" t="s">
        <v>214</v>
      </c>
      <c r="B80" t="s">
        <v>215</v>
      </c>
      <c r="C80" t="s">
        <v>214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5.5</v>
      </c>
      <c r="AE80">
        <v>327</v>
      </c>
      <c r="AF80">
        <v>122.9411764705882</v>
      </c>
      <c r="AG80">
        <v>143.58109618503141</v>
      </c>
      <c r="AH80">
        <f>50.2503344888216*1</f>
        <v>50.250334488821601</v>
      </c>
      <c r="AI80">
        <f>1.31099888169957*1</f>
        <v>1.3109988816995699</v>
      </c>
      <c r="AJ80">
        <v>1</v>
      </c>
      <c r="AK80">
        <v>0</v>
      </c>
      <c r="AL80">
        <v>0</v>
      </c>
    </row>
    <row r="81" spans="1:38" hidden="1" x14ac:dyDescent="0.2">
      <c r="A81" t="s">
        <v>216</v>
      </c>
      <c r="B81" t="s">
        <v>217</v>
      </c>
      <c r="C81" t="s">
        <v>217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330</v>
      </c>
      <c r="AF81">
        <v>77.199999999999989</v>
      </c>
      <c r="AG81">
        <v>84.992789669632799</v>
      </c>
      <c r="AH81">
        <f>31.8588591037285*1</f>
        <v>31.858859103728498</v>
      </c>
      <c r="AI81">
        <f>0.823618157467553*1</f>
        <v>0.82361815746755296</v>
      </c>
      <c r="AJ81">
        <v>1</v>
      </c>
      <c r="AK81">
        <v>0</v>
      </c>
      <c r="AL81">
        <v>0</v>
      </c>
    </row>
    <row r="82" spans="1:38" hidden="1" x14ac:dyDescent="0.2">
      <c r="A82" t="s">
        <v>218</v>
      </c>
      <c r="B82" t="s">
        <v>219</v>
      </c>
      <c r="C82" t="s">
        <v>219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332</v>
      </c>
      <c r="AF82">
        <v>69.666666666666671</v>
      </c>
      <c r="AG82">
        <v>72.437891230831468</v>
      </c>
      <c r="AH82">
        <f>44.9625240712011*1</f>
        <v>44.962524071201102</v>
      </c>
      <c r="AI82">
        <f>1.18562682931258*1</f>
        <v>1.18562682931258</v>
      </c>
      <c r="AJ82">
        <v>1</v>
      </c>
      <c r="AK82">
        <v>0</v>
      </c>
      <c r="AL82">
        <v>0</v>
      </c>
    </row>
    <row r="83" spans="1:38" hidden="1" x14ac:dyDescent="0.2">
      <c r="A83" t="s">
        <v>220</v>
      </c>
      <c r="B83" t="s">
        <v>221</v>
      </c>
      <c r="C83" t="s">
        <v>222</v>
      </c>
      <c r="D83" t="s">
        <v>6</v>
      </c>
      <c r="E83">
        <v>0</v>
      </c>
      <c r="F83">
        <v>0</v>
      </c>
      <c r="G83">
        <v>0</v>
      </c>
      <c r="H83">
        <v>1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5.5</v>
      </c>
      <c r="AE83">
        <v>338</v>
      </c>
      <c r="AF83">
        <v>122.0000000000001</v>
      </c>
      <c r="AG83">
        <v>162.3612154133744</v>
      </c>
      <c r="AH83">
        <f>93.5376056824109*1</f>
        <v>93.537605682410899</v>
      </c>
      <c r="AI83">
        <f>2.17597566265315*1</f>
        <v>2.1759756626531499</v>
      </c>
      <c r="AJ83">
        <v>1</v>
      </c>
      <c r="AK83">
        <v>0</v>
      </c>
      <c r="AL83">
        <v>0</v>
      </c>
    </row>
    <row r="84" spans="1:38" hidden="1" x14ac:dyDescent="0.2">
      <c r="A84" t="s">
        <v>223</v>
      </c>
      <c r="B84" t="s">
        <v>224</v>
      </c>
      <c r="C84" t="s">
        <v>224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5.5</v>
      </c>
      <c r="AE84">
        <v>353</v>
      </c>
      <c r="AF84">
        <v>108.61537552091031</v>
      </c>
      <c r="AG84">
        <v>149.79975162069289</v>
      </c>
      <c r="AH84">
        <f>50.6335678803918*1</f>
        <v>50.633567880391801</v>
      </c>
      <c r="AI84">
        <f>1.27854088881572*1</f>
        <v>1.2785408888157199</v>
      </c>
      <c r="AJ84">
        <v>1</v>
      </c>
      <c r="AK84">
        <v>0</v>
      </c>
      <c r="AL84">
        <v>0</v>
      </c>
    </row>
    <row r="85" spans="1:38" hidden="1" x14ac:dyDescent="0.2">
      <c r="A85" t="s">
        <v>225</v>
      </c>
      <c r="B85" t="s">
        <v>226</v>
      </c>
      <c r="C85" t="s">
        <v>226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</v>
      </c>
      <c r="AE85">
        <v>375</v>
      </c>
      <c r="AF85">
        <v>131.50959000515641</v>
      </c>
      <c r="AG85">
        <v>106.7765698401937</v>
      </c>
      <c r="AH85">
        <f>93.4577101353048*1</f>
        <v>93.457710135304794</v>
      </c>
      <c r="AI85">
        <f>2.41527919603221*1</f>
        <v>2.41527919603221</v>
      </c>
      <c r="AJ85">
        <v>1</v>
      </c>
      <c r="AK85">
        <v>0</v>
      </c>
      <c r="AL85">
        <v>0</v>
      </c>
    </row>
    <row r="86" spans="1:38" hidden="1" x14ac:dyDescent="0.2">
      <c r="A86" t="s">
        <v>227</v>
      </c>
      <c r="B86" t="s">
        <v>228</v>
      </c>
      <c r="C86" t="s">
        <v>228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</v>
      </c>
      <c r="AE86">
        <v>376</v>
      </c>
      <c r="AF86">
        <v>97.452308152306571</v>
      </c>
      <c r="AG86">
        <v>175.40785432070621</v>
      </c>
      <c r="AH86">
        <f>48.007096761318*1</f>
        <v>48.007096761318003</v>
      </c>
      <c r="AI86">
        <f>0.974889939914778*1</f>
        <v>0.97488993991477801</v>
      </c>
      <c r="AJ86">
        <v>1</v>
      </c>
      <c r="AK86">
        <v>0</v>
      </c>
      <c r="AL86">
        <v>0</v>
      </c>
    </row>
    <row r="87" spans="1:38" hidden="1" x14ac:dyDescent="0.2">
      <c r="A87" t="s">
        <v>229</v>
      </c>
      <c r="B87" t="s">
        <v>230</v>
      </c>
      <c r="C87" t="s">
        <v>229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</v>
      </c>
      <c r="AE87">
        <v>377</v>
      </c>
      <c r="AF87">
        <v>146.04963210802771</v>
      </c>
      <c r="AG87">
        <v>185.60082175570341</v>
      </c>
      <c r="AH87">
        <f>88.4036458279882*1</f>
        <v>88.4036458279882</v>
      </c>
      <c r="AI87">
        <f>1.95953493406085*1</f>
        <v>1.9595349340608501</v>
      </c>
      <c r="AJ87">
        <v>1</v>
      </c>
      <c r="AK87">
        <v>0</v>
      </c>
      <c r="AL87">
        <v>0</v>
      </c>
    </row>
    <row r="88" spans="1:38" hidden="1" x14ac:dyDescent="0.2">
      <c r="A88" t="s">
        <v>231</v>
      </c>
      <c r="B88" t="s">
        <v>232</v>
      </c>
      <c r="C88" t="s">
        <v>232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5.5</v>
      </c>
      <c r="AE88">
        <v>378</v>
      </c>
      <c r="AF88">
        <v>116.2374881452718</v>
      </c>
      <c r="AG88">
        <v>101.1339189078422</v>
      </c>
      <c r="AH88">
        <f>78.4930570910242*1</f>
        <v>78.493057091024198</v>
      </c>
      <c r="AI88">
        <f>2.13741222067187*1</f>
        <v>2.13741222067187</v>
      </c>
      <c r="AJ88">
        <v>1</v>
      </c>
      <c r="AK88">
        <v>0</v>
      </c>
      <c r="AL88">
        <v>0</v>
      </c>
    </row>
    <row r="89" spans="1:38" hidden="1" x14ac:dyDescent="0.2">
      <c r="A89" t="s">
        <v>233</v>
      </c>
      <c r="B89" t="s">
        <v>234</v>
      </c>
      <c r="C89" t="s">
        <v>235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14.5</v>
      </c>
      <c r="AE89">
        <v>385</v>
      </c>
      <c r="AF89">
        <v>271.24686192468602</v>
      </c>
      <c r="AG89">
        <v>273.31738745972592</v>
      </c>
      <c r="AH89">
        <f>107.983453648513*1</f>
        <v>107.98345364851301</v>
      </c>
      <c r="AI89">
        <f>2.8418840950969*1</f>
        <v>2.8418840950969</v>
      </c>
      <c r="AJ89">
        <v>1</v>
      </c>
      <c r="AK89">
        <v>0</v>
      </c>
      <c r="AL89">
        <v>0</v>
      </c>
    </row>
    <row r="90" spans="1:38" hidden="1" x14ac:dyDescent="0.2">
      <c r="A90" t="s">
        <v>236</v>
      </c>
      <c r="B90" t="s">
        <v>237</v>
      </c>
      <c r="C90" t="s">
        <v>237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7.5</v>
      </c>
      <c r="AE90">
        <v>388</v>
      </c>
      <c r="AF90">
        <v>129.30412207196261</v>
      </c>
      <c r="AG90">
        <v>125.2570840509193</v>
      </c>
      <c r="AH90">
        <f>103.709517916696*1</f>
        <v>103.709517916696</v>
      </c>
      <c r="AI90">
        <f>2.40346094983641*1</f>
        <v>2.4034609498364099</v>
      </c>
      <c r="AJ90">
        <v>1</v>
      </c>
      <c r="AK90">
        <v>0</v>
      </c>
      <c r="AL90">
        <v>0</v>
      </c>
    </row>
    <row r="91" spans="1:38" hidden="1" x14ac:dyDescent="0.2">
      <c r="A91" t="s">
        <v>238</v>
      </c>
      <c r="B91" t="s">
        <v>239</v>
      </c>
      <c r="C91" t="s">
        <v>239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6.5</v>
      </c>
      <c r="AE91">
        <v>390</v>
      </c>
      <c r="AF91">
        <v>119.0251794348567</v>
      </c>
      <c r="AG91">
        <v>120.4954742532327</v>
      </c>
      <c r="AH91">
        <f>123.463777267623*1</f>
        <v>123.463777267623</v>
      </c>
      <c r="AI91">
        <f>3.04626211018184*1</f>
        <v>3.0462621101818401</v>
      </c>
      <c r="AJ91">
        <v>1</v>
      </c>
      <c r="AK91">
        <v>0</v>
      </c>
      <c r="AL91">
        <v>0</v>
      </c>
    </row>
    <row r="92" spans="1:38" hidden="1" x14ac:dyDescent="0.2">
      <c r="A92" t="s">
        <v>240</v>
      </c>
      <c r="B92" t="s">
        <v>241</v>
      </c>
      <c r="C92" t="s">
        <v>241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6.5</v>
      </c>
      <c r="AE92">
        <v>391</v>
      </c>
      <c r="AF92">
        <v>135.8787878787879</v>
      </c>
      <c r="AG92">
        <v>111.4672729599592</v>
      </c>
      <c r="AH92">
        <f>90.1517890030987*1</f>
        <v>90.151789003098699</v>
      </c>
      <c r="AI92">
        <f>2.44657013822195*1</f>
        <v>2.4465701382219498</v>
      </c>
      <c r="AJ92">
        <v>1</v>
      </c>
      <c r="AK92">
        <v>0</v>
      </c>
      <c r="AL92">
        <v>0</v>
      </c>
    </row>
    <row r="93" spans="1:38" hidden="1" x14ac:dyDescent="0.2">
      <c r="A93" t="s">
        <v>242</v>
      </c>
      <c r="B93" t="s">
        <v>243</v>
      </c>
      <c r="C93" t="s">
        <v>244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5.5</v>
      </c>
      <c r="AE93">
        <v>392</v>
      </c>
      <c r="AF93">
        <v>86.243478260869509</v>
      </c>
      <c r="AG93">
        <v>92.82416371096852</v>
      </c>
      <c r="AH93">
        <f>54.5793709037158*1</f>
        <v>54.579370903715798</v>
      </c>
      <c r="AI93">
        <f>1.45159278379399*1</f>
        <v>1.4515927837939899</v>
      </c>
      <c r="AJ93">
        <v>1</v>
      </c>
      <c r="AK93">
        <v>0</v>
      </c>
      <c r="AL93">
        <v>0</v>
      </c>
    </row>
    <row r="94" spans="1:38" hidden="1" x14ac:dyDescent="0.2">
      <c r="A94" t="s">
        <v>100</v>
      </c>
      <c r="B94" t="s">
        <v>245</v>
      </c>
      <c r="C94" t="s">
        <v>245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5.5</v>
      </c>
      <c r="AE94">
        <v>394</v>
      </c>
      <c r="AF94">
        <v>83.600000000000065</v>
      </c>
      <c r="AG94">
        <v>61.193872841968457</v>
      </c>
      <c r="AH94">
        <f>63.6786637084161*1</f>
        <v>63.678663708416103</v>
      </c>
      <c r="AI94">
        <f>1.70145089293713*1</f>
        <v>1.7014508929371299</v>
      </c>
      <c r="AJ94">
        <v>1</v>
      </c>
      <c r="AK94">
        <v>0</v>
      </c>
      <c r="AL94">
        <v>0</v>
      </c>
    </row>
    <row r="95" spans="1:38" hidden="1" x14ac:dyDescent="0.2">
      <c r="A95" t="s">
        <v>246</v>
      </c>
      <c r="B95" t="s">
        <v>247</v>
      </c>
      <c r="C95" t="s">
        <v>246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6.5</v>
      </c>
      <c r="AE95">
        <v>401</v>
      </c>
      <c r="AF95">
        <v>94.43200574028333</v>
      </c>
      <c r="AG95">
        <v>161.79838811835711</v>
      </c>
      <c r="AH95">
        <f>35.8766078779354*1</f>
        <v>35.876607877935399</v>
      </c>
      <c r="AI95">
        <f>0.878729783332977*1</f>
        <v>0.87872978333297702</v>
      </c>
      <c r="AJ95">
        <v>1</v>
      </c>
      <c r="AK95">
        <v>0</v>
      </c>
      <c r="AL95">
        <v>0</v>
      </c>
    </row>
    <row r="96" spans="1:38" x14ac:dyDescent="0.2">
      <c r="A96" t="s">
        <v>289</v>
      </c>
      <c r="B96" t="s">
        <v>290</v>
      </c>
      <c r="C96" t="s">
        <v>290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5.5</v>
      </c>
      <c r="AE96">
        <v>481</v>
      </c>
      <c r="AF96">
        <v>125.5438720757551</v>
      </c>
      <c r="AG96">
        <v>114.50846652597041</v>
      </c>
      <c r="AH96">
        <f>141.129746730003*1</f>
        <v>141.12974673000301</v>
      </c>
      <c r="AI96">
        <f>4.63613339354782*1</f>
        <v>4.6361333935478202</v>
      </c>
      <c r="AJ96">
        <v>1</v>
      </c>
      <c r="AK96">
        <v>0</v>
      </c>
      <c r="AL96">
        <v>1</v>
      </c>
    </row>
    <row r="97" spans="1:38" hidden="1" x14ac:dyDescent="0.2">
      <c r="A97" t="s">
        <v>250</v>
      </c>
      <c r="B97" t="s">
        <v>251</v>
      </c>
      <c r="C97" t="s">
        <v>251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</v>
      </c>
      <c r="AE97">
        <v>409</v>
      </c>
      <c r="AF97">
        <v>150.1904761904762</v>
      </c>
      <c r="AG97">
        <v>141.33293870231859</v>
      </c>
      <c r="AH97">
        <f>112.0461705115*1</f>
        <v>112.04617051149999</v>
      </c>
      <c r="AI97">
        <f>2.94270981728417*1</f>
        <v>2.9427098172841699</v>
      </c>
      <c r="AJ97">
        <v>1</v>
      </c>
      <c r="AK97">
        <v>0</v>
      </c>
      <c r="AL97">
        <v>0</v>
      </c>
    </row>
    <row r="98" spans="1:38" hidden="1" x14ac:dyDescent="0.2">
      <c r="A98" t="s">
        <v>252</v>
      </c>
      <c r="B98" t="s">
        <v>102</v>
      </c>
      <c r="C98" t="s">
        <v>102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416</v>
      </c>
      <c r="AF98">
        <v>93.999999999999986</v>
      </c>
      <c r="AG98">
        <v>109.7745672816412</v>
      </c>
      <c r="AH98">
        <f>52.167180551461*1</f>
        <v>52.167180551461001</v>
      </c>
      <c r="AI98">
        <f>1.28170448002449*1</f>
        <v>1.2817044800244899</v>
      </c>
      <c r="AJ98">
        <v>1</v>
      </c>
      <c r="AK98">
        <v>0</v>
      </c>
      <c r="AL98">
        <v>0</v>
      </c>
    </row>
    <row r="99" spans="1:38" hidden="1" x14ac:dyDescent="0.2">
      <c r="A99" t="s">
        <v>253</v>
      </c>
      <c r="B99" t="s">
        <v>254</v>
      </c>
      <c r="C99" t="s">
        <v>254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8</v>
      </c>
      <c r="AE99">
        <v>420</v>
      </c>
      <c r="AF99">
        <v>172.83519010955271</v>
      </c>
      <c r="AG99">
        <v>196.47972115508759</v>
      </c>
      <c r="AH99">
        <f>39.528709857241*1</f>
        <v>39.528709857240997</v>
      </c>
      <c r="AI99">
        <f>0.884988995926973*1</f>
        <v>0.884988995926973</v>
      </c>
      <c r="AJ99">
        <v>1</v>
      </c>
      <c r="AK99">
        <v>0</v>
      </c>
      <c r="AL99">
        <v>0</v>
      </c>
    </row>
    <row r="100" spans="1:38" hidden="1" x14ac:dyDescent="0.2">
      <c r="A100" t="s">
        <v>255</v>
      </c>
      <c r="B100" t="s">
        <v>256</v>
      </c>
      <c r="C100" t="s">
        <v>256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6.5</v>
      </c>
      <c r="AE100">
        <v>424</v>
      </c>
      <c r="AF100">
        <v>125.74545454545451</v>
      </c>
      <c r="AG100">
        <v>137.74798191894939</v>
      </c>
      <c r="AH100">
        <f>54.9239383263366*1</f>
        <v>54.923938326336597</v>
      </c>
      <c r="AI100">
        <f>1.37009506878457*1</f>
        <v>1.3700950687845701</v>
      </c>
      <c r="AJ100">
        <v>1</v>
      </c>
      <c r="AK100">
        <v>0</v>
      </c>
      <c r="AL100">
        <v>0</v>
      </c>
    </row>
    <row r="101" spans="1:38" hidden="1" x14ac:dyDescent="0.2">
      <c r="A101" t="s">
        <v>257</v>
      </c>
      <c r="B101" t="s">
        <v>258</v>
      </c>
      <c r="C101" t="s">
        <v>258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</v>
      </c>
      <c r="AE101">
        <v>428</v>
      </c>
      <c r="AF101">
        <v>102.4067796610169</v>
      </c>
      <c r="AG101">
        <v>135.84254890608571</v>
      </c>
      <c r="AH101">
        <f>89.6772193486094*1</f>
        <v>89.677219348609398</v>
      </c>
      <c r="AI101">
        <f>2.34459524124474*1</f>
        <v>2.3445952412447402</v>
      </c>
      <c r="AJ101">
        <v>1</v>
      </c>
      <c r="AK101">
        <v>0</v>
      </c>
      <c r="AL101">
        <v>0</v>
      </c>
    </row>
    <row r="102" spans="1:38" hidden="1" x14ac:dyDescent="0.2">
      <c r="A102" t="s">
        <v>259</v>
      </c>
      <c r="B102" t="s">
        <v>260</v>
      </c>
      <c r="C102" t="s">
        <v>260</v>
      </c>
      <c r="D102" t="s">
        <v>6</v>
      </c>
      <c r="E102">
        <v>0</v>
      </c>
      <c r="F102">
        <v>0</v>
      </c>
      <c r="G102">
        <v>0</v>
      </c>
      <c r="H102">
        <v>1</v>
      </c>
      <c r="I102" t="s">
        <v>24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14</v>
      </c>
      <c r="AE102">
        <v>436</v>
      </c>
      <c r="AF102">
        <v>271.84615384615381</v>
      </c>
      <c r="AG102">
        <v>352.87225963421088</v>
      </c>
      <c r="AH102">
        <f>102.436246111629*1</f>
        <v>102.436246111629</v>
      </c>
      <c r="AI102">
        <f>2.17672102104484*1</f>
        <v>2.1767210210448402</v>
      </c>
      <c r="AJ102">
        <v>1</v>
      </c>
      <c r="AK102">
        <v>0</v>
      </c>
      <c r="AL102">
        <v>0</v>
      </c>
    </row>
    <row r="103" spans="1:38" x14ac:dyDescent="0.2">
      <c r="A103" t="s">
        <v>307</v>
      </c>
      <c r="B103" t="s">
        <v>308</v>
      </c>
      <c r="C103" t="s">
        <v>308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5.5</v>
      </c>
      <c r="AE103">
        <v>498</v>
      </c>
      <c r="AF103">
        <v>138.91585040894211</v>
      </c>
      <c r="AG103">
        <v>77.359071543798152</v>
      </c>
      <c r="AH103">
        <f>207.624647106992*1</f>
        <v>207.624647106992</v>
      </c>
      <c r="AI103">
        <f>4.15676867344174*1</f>
        <v>4.1567686734417402</v>
      </c>
      <c r="AJ103">
        <v>1</v>
      </c>
      <c r="AK103">
        <v>0</v>
      </c>
      <c r="AL103">
        <v>1</v>
      </c>
    </row>
    <row r="104" spans="1:38" hidden="1" x14ac:dyDescent="0.2">
      <c r="A104" t="s">
        <v>263</v>
      </c>
      <c r="B104" t="s">
        <v>264</v>
      </c>
      <c r="C104" t="s">
        <v>264</v>
      </c>
      <c r="D104" t="s">
        <v>3</v>
      </c>
      <c r="E104">
        <v>1</v>
      </c>
      <c r="F104">
        <v>0</v>
      </c>
      <c r="G104">
        <v>0</v>
      </c>
      <c r="H104">
        <v>0</v>
      </c>
      <c r="I104" t="s">
        <v>25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</v>
      </c>
      <c r="AE104">
        <v>439</v>
      </c>
      <c r="AF104">
        <v>133.80281690140839</v>
      </c>
      <c r="AG104">
        <v>136.7851803752865</v>
      </c>
      <c r="AH104">
        <f>81.3957683147462*1</f>
        <v>81.395768314746206</v>
      </c>
      <c r="AI104">
        <f>2.03239906750768*1</f>
        <v>2.0323990675076802</v>
      </c>
      <c r="AJ104">
        <v>1</v>
      </c>
      <c r="AK104">
        <v>0</v>
      </c>
      <c r="AL104">
        <v>0</v>
      </c>
    </row>
    <row r="105" spans="1:38" hidden="1" x14ac:dyDescent="0.2">
      <c r="A105" t="s">
        <v>265</v>
      </c>
      <c r="B105" t="s">
        <v>266</v>
      </c>
      <c r="C105" t="s">
        <v>267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</v>
      </c>
      <c r="AE105">
        <v>443</v>
      </c>
      <c r="AF105">
        <v>89.103448275861993</v>
      </c>
      <c r="AG105">
        <v>57.81069019364277</v>
      </c>
      <c r="AH105">
        <f>86.330825603219*1</f>
        <v>86.330825603218997</v>
      </c>
      <c r="AI105">
        <f>2.12368392173443*1</f>
        <v>2.1236839217344299</v>
      </c>
      <c r="AJ105">
        <v>1</v>
      </c>
      <c r="AK105">
        <v>0</v>
      </c>
      <c r="AL105">
        <v>0</v>
      </c>
    </row>
    <row r="106" spans="1:38" hidden="1" x14ac:dyDescent="0.2">
      <c r="A106" t="s">
        <v>268</v>
      </c>
      <c r="B106" t="s">
        <v>269</v>
      </c>
      <c r="C106" t="s">
        <v>269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25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</v>
      </c>
      <c r="AE106">
        <v>445</v>
      </c>
      <c r="AF106">
        <v>90.378378378378486</v>
      </c>
      <c r="AG106">
        <v>82.257723088618349</v>
      </c>
      <c r="AH106">
        <f>68.6564832074803*1</f>
        <v>68.656483207480306</v>
      </c>
      <c r="AI106">
        <f>1.8518635334547*1</f>
        <v>1.8518635334547</v>
      </c>
      <c r="AJ106">
        <v>1</v>
      </c>
      <c r="AK106">
        <v>0</v>
      </c>
      <c r="AL106">
        <v>0</v>
      </c>
    </row>
    <row r="107" spans="1:38" hidden="1" x14ac:dyDescent="0.2">
      <c r="A107" t="s">
        <v>270</v>
      </c>
      <c r="B107" t="s">
        <v>271</v>
      </c>
      <c r="C107" t="s">
        <v>272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4.5</v>
      </c>
      <c r="AE107">
        <v>447</v>
      </c>
      <c r="AF107">
        <v>122.2608695652175</v>
      </c>
      <c r="AG107">
        <v>145.69641237428681</v>
      </c>
      <c r="AH107">
        <f>106.54880555735*1</f>
        <v>106.54880555734999</v>
      </c>
      <c r="AI107">
        <f>2.95867756477215*1</f>
        <v>2.9586775647721502</v>
      </c>
      <c r="AJ107">
        <v>1</v>
      </c>
      <c r="AK107">
        <v>0</v>
      </c>
      <c r="AL107">
        <v>0</v>
      </c>
    </row>
    <row r="108" spans="1:38" hidden="1" x14ac:dyDescent="0.2">
      <c r="A108" t="s">
        <v>273</v>
      </c>
      <c r="B108" t="s">
        <v>274</v>
      </c>
      <c r="C108" t="s">
        <v>274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</v>
      </c>
      <c r="AE108">
        <v>449</v>
      </c>
      <c r="AF108">
        <v>108.319587628866</v>
      </c>
      <c r="AG108">
        <v>115.6246587393406</v>
      </c>
      <c r="AH108">
        <f>59.3672014921311*1</f>
        <v>59.367201492131102</v>
      </c>
      <c r="AI108">
        <f>1.5675648088121*1</f>
        <v>1.5675648088120999</v>
      </c>
      <c r="AJ108">
        <v>1</v>
      </c>
      <c r="AK108">
        <v>0</v>
      </c>
      <c r="AL108">
        <v>0</v>
      </c>
    </row>
    <row r="109" spans="1:38" hidden="1" x14ac:dyDescent="0.2">
      <c r="A109" t="s">
        <v>275</v>
      </c>
      <c r="B109" t="s">
        <v>276</v>
      </c>
      <c r="C109" t="s">
        <v>277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9</v>
      </c>
      <c r="AE109">
        <v>456</v>
      </c>
      <c r="AF109">
        <v>177.81679813638661</v>
      </c>
      <c r="AG109">
        <v>177.53480053220471</v>
      </c>
      <c r="AH109">
        <f>125.908995547081*1</f>
        <v>125.90899554708101</v>
      </c>
      <c r="AI109">
        <f>3.39487181451025*1</f>
        <v>3.3948718145102501</v>
      </c>
      <c r="AJ109">
        <v>1</v>
      </c>
      <c r="AK109">
        <v>0</v>
      </c>
      <c r="AL109">
        <v>0</v>
      </c>
    </row>
    <row r="110" spans="1:38" hidden="1" x14ac:dyDescent="0.2">
      <c r="A110" t="s">
        <v>278</v>
      </c>
      <c r="B110" t="s">
        <v>279</v>
      </c>
      <c r="C110" t="s">
        <v>278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6.5</v>
      </c>
      <c r="AE110">
        <v>459</v>
      </c>
      <c r="AF110">
        <v>162.27027027027029</v>
      </c>
      <c r="AG110">
        <v>156.03731811975351</v>
      </c>
      <c r="AH110">
        <f>126.116307403158*1</f>
        <v>126.116307403158</v>
      </c>
      <c r="AI110">
        <f>3.24748314664841*1</f>
        <v>3.2474831466484102</v>
      </c>
      <c r="AJ110">
        <v>1</v>
      </c>
      <c r="AK110">
        <v>0</v>
      </c>
      <c r="AL110">
        <v>0</v>
      </c>
    </row>
    <row r="111" spans="1:38" hidden="1" x14ac:dyDescent="0.2">
      <c r="A111" t="s">
        <v>280</v>
      </c>
      <c r="B111" t="s">
        <v>281</v>
      </c>
      <c r="C111" t="s">
        <v>281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</v>
      </c>
      <c r="AE111">
        <v>463</v>
      </c>
      <c r="AF111">
        <v>120.78571428571431</v>
      </c>
      <c r="AG111">
        <v>164.0310920731491</v>
      </c>
      <c r="AH111">
        <f>52.3729683309569*1</f>
        <v>52.372968330956901</v>
      </c>
      <c r="AI111">
        <f>1.29978501281854*1</f>
        <v>1.29978501281854</v>
      </c>
      <c r="AJ111">
        <v>1</v>
      </c>
      <c r="AK111">
        <v>0</v>
      </c>
      <c r="AL111">
        <v>0</v>
      </c>
    </row>
    <row r="112" spans="1:38" hidden="1" x14ac:dyDescent="0.2">
      <c r="A112" t="s">
        <v>282</v>
      </c>
      <c r="B112" t="s">
        <v>283</v>
      </c>
      <c r="C112" t="s">
        <v>283</v>
      </c>
      <c r="D112" t="s">
        <v>6</v>
      </c>
      <c r="E112">
        <v>0</v>
      </c>
      <c r="F112">
        <v>0</v>
      </c>
      <c r="G112">
        <v>0</v>
      </c>
      <c r="H112">
        <v>1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6.5</v>
      </c>
      <c r="AE112">
        <v>472</v>
      </c>
      <c r="AF112">
        <v>115.77173564936901</v>
      </c>
      <c r="AG112">
        <v>201.6573822719534</v>
      </c>
      <c r="AH112">
        <f>77.1190525102974*1</f>
        <v>77.119052510297394</v>
      </c>
      <c r="AI112">
        <f>1.60207299408575*1</f>
        <v>1.6020729940857501</v>
      </c>
      <c r="AJ112">
        <v>1</v>
      </c>
      <c r="AK112">
        <v>0</v>
      </c>
      <c r="AL112">
        <v>0</v>
      </c>
    </row>
    <row r="113" spans="1:38" hidden="1" x14ac:dyDescent="0.2">
      <c r="A113" t="s">
        <v>284</v>
      </c>
      <c r="B113" t="s">
        <v>285</v>
      </c>
      <c r="C113" t="s">
        <v>285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</v>
      </c>
      <c r="AE113">
        <v>473</v>
      </c>
      <c r="AF113">
        <v>76.000000000000014</v>
      </c>
      <c r="AG113">
        <v>71.886369370897086</v>
      </c>
      <c r="AH113">
        <f>33.7847788121877*1</f>
        <v>33.784778812187703</v>
      </c>
      <c r="AI113">
        <f>0.904094059632579*1</f>
        <v>0.90409405963257905</v>
      </c>
      <c r="AJ113">
        <v>1</v>
      </c>
      <c r="AK113">
        <v>0</v>
      </c>
      <c r="AL113">
        <v>0</v>
      </c>
    </row>
    <row r="114" spans="1:38" hidden="1" x14ac:dyDescent="0.2">
      <c r="A114" t="s">
        <v>286</v>
      </c>
      <c r="B114" t="s">
        <v>287</v>
      </c>
      <c r="C114" t="s">
        <v>287</v>
      </c>
      <c r="D114" t="s">
        <v>3</v>
      </c>
      <c r="E114">
        <v>1</v>
      </c>
      <c r="F114">
        <v>0</v>
      </c>
      <c r="G114">
        <v>0</v>
      </c>
      <c r="H114">
        <v>0</v>
      </c>
      <c r="I114" t="s">
        <v>26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</v>
      </c>
      <c r="AE114">
        <v>476</v>
      </c>
      <c r="AF114">
        <v>153.74712643678171</v>
      </c>
      <c r="AG114">
        <v>177.117623226115</v>
      </c>
      <c r="AH114">
        <f>116.663371003139*1</f>
        <v>116.66337100313901</v>
      </c>
      <c r="AI114">
        <f>3.1455528527859*1</f>
        <v>3.1455528527859</v>
      </c>
      <c r="AJ114">
        <v>1</v>
      </c>
      <c r="AK114">
        <v>0</v>
      </c>
      <c r="AL114">
        <v>0</v>
      </c>
    </row>
    <row r="115" spans="1:38" hidden="1" x14ac:dyDescent="0.2">
      <c r="A115" t="s">
        <v>102</v>
      </c>
      <c r="B115" t="s">
        <v>288</v>
      </c>
      <c r="C115" t="s">
        <v>288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5.5</v>
      </c>
      <c r="AE115">
        <v>480</v>
      </c>
      <c r="AF115">
        <v>115.4901960784312</v>
      </c>
      <c r="AG115">
        <v>108.2874542387068</v>
      </c>
      <c r="AH115">
        <f>115.725834484096*1</f>
        <v>115.725834484096</v>
      </c>
      <c r="AI115">
        <f>3.43004496194126*1</f>
        <v>3.4300449619412601</v>
      </c>
      <c r="AJ115">
        <v>1</v>
      </c>
      <c r="AK115">
        <v>0</v>
      </c>
      <c r="AL115">
        <v>0</v>
      </c>
    </row>
    <row r="116" spans="1:38" x14ac:dyDescent="0.2">
      <c r="A116" t="s">
        <v>69</v>
      </c>
      <c r="B116" t="s">
        <v>70</v>
      </c>
      <c r="C116" t="s">
        <v>71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13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4.5</v>
      </c>
      <c r="AE116">
        <v>39</v>
      </c>
      <c r="AF116">
        <v>108.2000000000001</v>
      </c>
      <c r="AG116">
        <v>102.84004126321069</v>
      </c>
      <c r="AH116">
        <f>143.805264288799*1</f>
        <v>143.80526428879901</v>
      </c>
      <c r="AI116">
        <f>3.84152430021414*1</f>
        <v>3.8415243002141399</v>
      </c>
      <c r="AJ116">
        <v>1</v>
      </c>
      <c r="AK116">
        <v>0</v>
      </c>
      <c r="AL116">
        <v>1</v>
      </c>
    </row>
    <row r="117" spans="1:38" hidden="1" x14ac:dyDescent="0.2">
      <c r="A117" t="s">
        <v>291</v>
      </c>
      <c r="B117" t="s">
        <v>292</v>
      </c>
      <c r="C117" t="s">
        <v>292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</v>
      </c>
      <c r="AE117">
        <v>483</v>
      </c>
      <c r="AF117">
        <v>112.8000000000001</v>
      </c>
      <c r="AG117">
        <v>99.412790479973893</v>
      </c>
      <c r="AH117">
        <f>108.590429364921*1</f>
        <v>108.59042936492099</v>
      </c>
      <c r="AI117">
        <f>2.73248846915641*1</f>
        <v>2.7324884691564102</v>
      </c>
      <c r="AJ117">
        <v>1</v>
      </c>
      <c r="AK117">
        <v>0</v>
      </c>
      <c r="AL117">
        <v>0</v>
      </c>
    </row>
    <row r="118" spans="1:38" hidden="1" x14ac:dyDescent="0.2">
      <c r="A118" t="s">
        <v>293</v>
      </c>
      <c r="B118" t="s">
        <v>294</v>
      </c>
      <c r="C118" t="s">
        <v>294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</v>
      </c>
      <c r="AE118">
        <v>484</v>
      </c>
      <c r="AF118">
        <v>96.402955916043297</v>
      </c>
      <c r="AG118">
        <v>77.814828368049831</v>
      </c>
      <c r="AH118">
        <f>83.0964121895508*1</f>
        <v>83.096412189550804</v>
      </c>
      <c r="AI118">
        <f>2.43412138860448*1</f>
        <v>2.4341213886044799</v>
      </c>
      <c r="AJ118">
        <v>1</v>
      </c>
      <c r="AK118">
        <v>0</v>
      </c>
      <c r="AL118">
        <v>0</v>
      </c>
    </row>
    <row r="119" spans="1:38" hidden="1" x14ac:dyDescent="0.2">
      <c r="A119" t="s">
        <v>295</v>
      </c>
      <c r="B119" t="s">
        <v>296</v>
      </c>
      <c r="C119" t="s">
        <v>296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7.5</v>
      </c>
      <c r="AE119">
        <v>492</v>
      </c>
      <c r="AF119">
        <v>79.928576936994091</v>
      </c>
      <c r="AG119">
        <v>129.14562275399859</v>
      </c>
      <c r="AH119">
        <f>25.0948724913341*1</f>
        <v>25.094872491334101</v>
      </c>
      <c r="AI119">
        <f>0.674636036531662*1</f>
        <v>0.67463603653166204</v>
      </c>
      <c r="AJ119">
        <v>1</v>
      </c>
      <c r="AK119">
        <v>0</v>
      </c>
      <c r="AL119">
        <v>0</v>
      </c>
    </row>
    <row r="120" spans="1:38" hidden="1" x14ac:dyDescent="0.2">
      <c r="A120" t="s">
        <v>295</v>
      </c>
      <c r="B120" t="s">
        <v>297</v>
      </c>
      <c r="C120" t="s">
        <v>297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</v>
      </c>
      <c r="AE120">
        <v>493</v>
      </c>
      <c r="AF120">
        <v>158.61863015229099</v>
      </c>
      <c r="AG120">
        <v>80.842636648053229</v>
      </c>
      <c r="AH120">
        <f>155.392098123488*1</f>
        <v>155.39209812348801</v>
      </c>
      <c r="AI120">
        <f>3.97632816869357*1</f>
        <v>3.9763281686935699</v>
      </c>
      <c r="AJ120">
        <v>1</v>
      </c>
      <c r="AK120">
        <v>0</v>
      </c>
      <c r="AL120">
        <v>0</v>
      </c>
    </row>
    <row r="121" spans="1:38" hidden="1" x14ac:dyDescent="0.2">
      <c r="A121" t="s">
        <v>298</v>
      </c>
      <c r="B121" t="s">
        <v>299</v>
      </c>
      <c r="C121" t="s">
        <v>299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6.5</v>
      </c>
      <c r="AE121">
        <v>494</v>
      </c>
      <c r="AF121">
        <v>145.39999999999989</v>
      </c>
      <c r="AG121">
        <v>139.85938610284111</v>
      </c>
      <c r="AH121">
        <f>109.663966336091*1</f>
        <v>109.66396633609099</v>
      </c>
      <c r="AI121">
        <f>2.9735128368742*1</f>
        <v>2.9735128368742001</v>
      </c>
      <c r="AJ121">
        <v>1</v>
      </c>
      <c r="AK121">
        <v>0</v>
      </c>
      <c r="AL121">
        <v>0</v>
      </c>
    </row>
    <row r="122" spans="1:38" hidden="1" x14ac:dyDescent="0.2">
      <c r="A122" t="s">
        <v>275</v>
      </c>
      <c r="B122" t="s">
        <v>300</v>
      </c>
      <c r="C122" t="s">
        <v>301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6.5</v>
      </c>
      <c r="AE122">
        <v>495</v>
      </c>
      <c r="AF122">
        <v>140.30769230769229</v>
      </c>
      <c r="AG122">
        <v>143.00982719161971</v>
      </c>
      <c r="AH122">
        <f>66.6206103679243*1</f>
        <v>66.6206103679243</v>
      </c>
      <c r="AI122">
        <f>1.73819229754803*1</f>
        <v>1.73819229754803</v>
      </c>
      <c r="AJ122">
        <v>1</v>
      </c>
      <c r="AK122">
        <v>0</v>
      </c>
      <c r="AL122">
        <v>0</v>
      </c>
    </row>
    <row r="123" spans="1:38" x14ac:dyDescent="0.2">
      <c r="A123" t="s">
        <v>49</v>
      </c>
      <c r="B123" t="s">
        <v>50</v>
      </c>
      <c r="C123" t="s">
        <v>51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12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5.5</v>
      </c>
      <c r="AE123">
        <v>7</v>
      </c>
      <c r="AF123">
        <v>135.32685977925661</v>
      </c>
      <c r="AG123">
        <v>121.4271444868665</v>
      </c>
      <c r="AH123">
        <f>173.189890779939*1</f>
        <v>173.18989077993899</v>
      </c>
      <c r="AI123">
        <f>3.56880678598398*1</f>
        <v>3.56880678598398</v>
      </c>
      <c r="AJ123">
        <v>1</v>
      </c>
      <c r="AK123">
        <v>0</v>
      </c>
      <c r="AL123">
        <v>1</v>
      </c>
    </row>
    <row r="124" spans="1:38" hidden="1" x14ac:dyDescent="0.2">
      <c r="A124" t="s">
        <v>304</v>
      </c>
      <c r="B124" t="s">
        <v>305</v>
      </c>
      <c r="C124" t="s">
        <v>306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</v>
      </c>
      <c r="AE124">
        <v>497</v>
      </c>
      <c r="AF124">
        <v>119.5276946468606</v>
      </c>
      <c r="AG124">
        <v>97.571347919602701</v>
      </c>
      <c r="AH124">
        <f>76.5233412463197*1</f>
        <v>76.523341246319703</v>
      </c>
      <c r="AI124">
        <f>2.03949875619002*1</f>
        <v>2.03949875619002</v>
      </c>
      <c r="AJ124">
        <v>1</v>
      </c>
      <c r="AK124">
        <v>0</v>
      </c>
      <c r="AL124">
        <v>0</v>
      </c>
    </row>
    <row r="125" spans="1:38" x14ac:dyDescent="0.2">
      <c r="A125" t="s">
        <v>248</v>
      </c>
      <c r="B125" t="s">
        <v>249</v>
      </c>
      <c r="C125" t="s">
        <v>249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</v>
      </c>
      <c r="AE125">
        <v>408</v>
      </c>
      <c r="AF125">
        <v>100.26260577663029</v>
      </c>
      <c r="AG125">
        <v>89.389456715465556</v>
      </c>
      <c r="AH125">
        <f>138.751350226727*1</f>
        <v>138.751350226727</v>
      </c>
      <c r="AI125">
        <f>2.98340176173425*1</f>
        <v>2.9834017617342501</v>
      </c>
      <c r="AJ125">
        <v>1</v>
      </c>
      <c r="AK125">
        <v>0</v>
      </c>
      <c r="AL125">
        <v>1</v>
      </c>
    </row>
    <row r="126" spans="1:38" hidden="1" x14ac:dyDescent="0.2">
      <c r="A126" t="s">
        <v>309</v>
      </c>
      <c r="B126" t="s">
        <v>310</v>
      </c>
      <c r="C126" t="s">
        <v>310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</v>
      </c>
      <c r="AE126">
        <v>500</v>
      </c>
      <c r="AF126">
        <v>54.602360730503108</v>
      </c>
      <c r="AG126">
        <v>133.48451016984481</v>
      </c>
      <c r="AH126">
        <f>17.7591390893192*1</f>
        <v>17.759139089319198</v>
      </c>
      <c r="AI126">
        <f>0.420634658156826*1</f>
        <v>0.42063465815682599</v>
      </c>
      <c r="AJ126">
        <v>1</v>
      </c>
      <c r="AK126">
        <v>0</v>
      </c>
      <c r="AL126">
        <v>0</v>
      </c>
    </row>
    <row r="127" spans="1:38" hidden="1" x14ac:dyDescent="0.2">
      <c r="A127" t="s">
        <v>311</v>
      </c>
      <c r="B127" t="s">
        <v>312</v>
      </c>
      <c r="C127" t="s">
        <v>312</v>
      </c>
      <c r="D127" t="s">
        <v>6</v>
      </c>
      <c r="E127">
        <v>0</v>
      </c>
      <c r="F127">
        <v>0</v>
      </c>
      <c r="G127">
        <v>0</v>
      </c>
      <c r="H127">
        <v>1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10.5</v>
      </c>
      <c r="AE127">
        <v>505</v>
      </c>
      <c r="AF127">
        <v>217.34146341463409</v>
      </c>
      <c r="AG127">
        <v>215.66610152106239</v>
      </c>
      <c r="AH127">
        <f>120.643217786286*1</f>
        <v>120.643217786286</v>
      </c>
      <c r="AI127">
        <f>3.16465070976367*1</f>
        <v>3.16465070976367</v>
      </c>
      <c r="AJ127">
        <v>1</v>
      </c>
      <c r="AK127">
        <v>0</v>
      </c>
      <c r="AL127">
        <v>0</v>
      </c>
    </row>
    <row r="128" spans="1:38" hidden="1" x14ac:dyDescent="0.2">
      <c r="A128" t="s">
        <v>313</v>
      </c>
      <c r="B128" t="s">
        <v>314</v>
      </c>
      <c r="C128" t="s">
        <v>314</v>
      </c>
      <c r="D128" t="s">
        <v>3</v>
      </c>
      <c r="E128">
        <v>1</v>
      </c>
      <c r="F128">
        <v>0</v>
      </c>
      <c r="G128">
        <v>0</v>
      </c>
      <c r="H128">
        <v>0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</v>
      </c>
      <c r="AE128">
        <v>508</v>
      </c>
      <c r="AF128">
        <v>129.48148148148141</v>
      </c>
      <c r="AG128">
        <v>146.13291812892439</v>
      </c>
      <c r="AH128">
        <f>66.0699792806057*1</f>
        <v>66.069979280605693</v>
      </c>
      <c r="AI128">
        <f>1.6329147220083*1</f>
        <v>1.6329147220083</v>
      </c>
      <c r="AJ128">
        <v>1</v>
      </c>
      <c r="AK128">
        <v>0</v>
      </c>
      <c r="AL128">
        <v>0</v>
      </c>
    </row>
    <row r="129" spans="1:38" hidden="1" x14ac:dyDescent="0.2">
      <c r="A129" t="s">
        <v>315</v>
      </c>
      <c r="B129" t="s">
        <v>316</v>
      </c>
      <c r="C129" t="s">
        <v>316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5.5</v>
      </c>
      <c r="AE129">
        <v>511</v>
      </c>
      <c r="AF129">
        <v>148.91891891891899</v>
      </c>
      <c r="AG129">
        <v>103.3741351542606</v>
      </c>
      <c r="AH129">
        <f>68.4526769260361*1</f>
        <v>68.452676926036105</v>
      </c>
      <c r="AI129">
        <f>2.0561151713312*1</f>
        <v>2.0561151713312</v>
      </c>
      <c r="AJ129">
        <v>1</v>
      </c>
      <c r="AK129">
        <v>0</v>
      </c>
      <c r="AL129">
        <v>0</v>
      </c>
    </row>
    <row r="130" spans="1:38" hidden="1" x14ac:dyDescent="0.2">
      <c r="A130" t="s">
        <v>317</v>
      </c>
      <c r="B130" t="s">
        <v>318</v>
      </c>
      <c r="C130" t="s">
        <v>318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</v>
      </c>
      <c r="AE130">
        <v>513</v>
      </c>
      <c r="AF130">
        <v>130.28571428571431</v>
      </c>
      <c r="AG130">
        <v>126.6839364791973</v>
      </c>
      <c r="AH130">
        <f>58.8313804631993*1</f>
        <v>58.831380463199302</v>
      </c>
      <c r="AI130">
        <f>1.50814679839232*1</f>
        <v>1.50814679839232</v>
      </c>
      <c r="AJ130">
        <v>1</v>
      </c>
      <c r="AK130">
        <v>0</v>
      </c>
      <c r="AL130">
        <v>0</v>
      </c>
    </row>
    <row r="131" spans="1:38" hidden="1" x14ac:dyDescent="0.2">
      <c r="A131" t="s">
        <v>319</v>
      </c>
      <c r="B131" t="s">
        <v>320</v>
      </c>
      <c r="C131" t="s">
        <v>321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5</v>
      </c>
      <c r="AE131">
        <v>514</v>
      </c>
      <c r="AF131">
        <v>83.673076923076991</v>
      </c>
      <c r="AG131">
        <v>67.245770885169065</v>
      </c>
      <c r="AH131">
        <f>84.6782238948748*1</f>
        <v>84.678223894874805</v>
      </c>
      <c r="AI131">
        <f>2.23463239297436*1</f>
        <v>2.2346323929743601</v>
      </c>
      <c r="AJ131">
        <v>1</v>
      </c>
      <c r="AK131">
        <v>0</v>
      </c>
      <c r="AL131">
        <v>0</v>
      </c>
    </row>
    <row r="132" spans="1:38" hidden="1" x14ac:dyDescent="0.2">
      <c r="A132" t="s">
        <v>74</v>
      </c>
      <c r="B132" t="s">
        <v>322</v>
      </c>
      <c r="C132" t="s">
        <v>322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7.5</v>
      </c>
      <c r="AE132">
        <v>521</v>
      </c>
      <c r="AF132">
        <v>177.88263271139621</v>
      </c>
      <c r="AG132">
        <v>118.7807645272391</v>
      </c>
      <c r="AH132">
        <f>120.851334813782*1</f>
        <v>120.851334813782</v>
      </c>
      <c r="AI132">
        <f>3.30876922217426*1</f>
        <v>3.3087692221742602</v>
      </c>
      <c r="AJ132">
        <v>1</v>
      </c>
      <c r="AK132">
        <v>0</v>
      </c>
      <c r="AL132">
        <v>0</v>
      </c>
    </row>
    <row r="133" spans="1:38" hidden="1" x14ac:dyDescent="0.2">
      <c r="A133" t="s">
        <v>323</v>
      </c>
      <c r="B133" t="s">
        <v>324</v>
      </c>
      <c r="C133" t="s">
        <v>324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6</v>
      </c>
      <c r="AE133">
        <v>522</v>
      </c>
      <c r="AF133">
        <v>116.0944881889764</v>
      </c>
      <c r="AG133">
        <v>114.5248872461937</v>
      </c>
      <c r="AH133">
        <f>65.9999528553762*1</f>
        <v>65.999952855376193</v>
      </c>
      <c r="AI133">
        <f>1.8156916873681*1</f>
        <v>1.8156916873680999</v>
      </c>
      <c r="AJ133">
        <v>1</v>
      </c>
      <c r="AK133">
        <v>0</v>
      </c>
      <c r="AL133">
        <v>0</v>
      </c>
    </row>
    <row r="134" spans="1:38" hidden="1" x14ac:dyDescent="0.2">
      <c r="A134" t="s">
        <v>325</v>
      </c>
      <c r="B134" t="s">
        <v>326</v>
      </c>
      <c r="C134" t="s">
        <v>326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5.5</v>
      </c>
      <c r="AE134">
        <v>523</v>
      </c>
      <c r="AF134">
        <v>102.17235181293169</v>
      </c>
      <c r="AG134">
        <v>67.157964577757269</v>
      </c>
      <c r="AH134">
        <f>85.7531200356273*1</f>
        <v>85.753120035627305</v>
      </c>
      <c r="AI134">
        <f>4.48018725171101*1</f>
        <v>4.4801872517110102</v>
      </c>
      <c r="AJ134">
        <v>1</v>
      </c>
      <c r="AK134">
        <v>0</v>
      </c>
      <c r="AL134">
        <v>0</v>
      </c>
    </row>
    <row r="135" spans="1:38" hidden="1" x14ac:dyDescent="0.2">
      <c r="A135" t="s">
        <v>327</v>
      </c>
      <c r="B135" t="s">
        <v>328</v>
      </c>
      <c r="C135" t="s">
        <v>329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5</v>
      </c>
      <c r="AE135">
        <v>525</v>
      </c>
      <c r="AF135">
        <v>76.63333333333334</v>
      </c>
      <c r="AG135">
        <v>68.550405628817757</v>
      </c>
      <c r="AH135">
        <f>49.4556656165222*1</f>
        <v>49.455665616522197</v>
      </c>
      <c r="AI135">
        <f>1.27610349027924*1</f>
        <v>1.2761034902792401</v>
      </c>
      <c r="AJ135">
        <v>1</v>
      </c>
      <c r="AK135">
        <v>0</v>
      </c>
      <c r="AL135">
        <v>0</v>
      </c>
    </row>
    <row r="136" spans="1:38" hidden="1" x14ac:dyDescent="0.2">
      <c r="A136" t="s">
        <v>100</v>
      </c>
      <c r="B136" t="s">
        <v>330</v>
      </c>
      <c r="C136" t="s">
        <v>330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5</v>
      </c>
      <c r="AE136">
        <v>528</v>
      </c>
      <c r="AF136">
        <v>70.854166666666671</v>
      </c>
      <c r="AG136">
        <v>82.463402579951008</v>
      </c>
      <c r="AH136">
        <f>42.5599799801481*1</f>
        <v>42.5599799801481</v>
      </c>
      <c r="AI136">
        <f>1.11676214363193*1</f>
        <v>1.1167621436319299</v>
      </c>
      <c r="AJ136">
        <v>1</v>
      </c>
      <c r="AK136">
        <v>0</v>
      </c>
      <c r="AL136">
        <v>0</v>
      </c>
    </row>
    <row r="137" spans="1:38" hidden="1" x14ac:dyDescent="0.2">
      <c r="A137" t="s">
        <v>331</v>
      </c>
      <c r="B137" t="s">
        <v>332</v>
      </c>
      <c r="C137" t="s">
        <v>332</v>
      </c>
      <c r="D137" t="s">
        <v>6</v>
      </c>
      <c r="E137">
        <v>0</v>
      </c>
      <c r="F137">
        <v>0</v>
      </c>
      <c r="G137">
        <v>0</v>
      </c>
      <c r="H137">
        <v>1</v>
      </c>
      <c r="I137" t="s">
        <v>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7.5</v>
      </c>
      <c r="AE137">
        <v>531</v>
      </c>
      <c r="AF137">
        <v>147.17321988839339</v>
      </c>
      <c r="AG137">
        <v>138.45422279300081</v>
      </c>
      <c r="AH137">
        <f>75.8602781141499*1</f>
        <v>75.860278114149907</v>
      </c>
      <c r="AI137">
        <f>1.80436513140336*1</f>
        <v>1.80436513140336</v>
      </c>
      <c r="AJ137">
        <v>1</v>
      </c>
      <c r="AK137">
        <v>0</v>
      </c>
      <c r="AL137">
        <v>0</v>
      </c>
    </row>
    <row r="138" spans="1:38" hidden="1" x14ac:dyDescent="0.2">
      <c r="A138" t="s">
        <v>333</v>
      </c>
      <c r="B138" t="s">
        <v>334</v>
      </c>
      <c r="C138" t="s">
        <v>334</v>
      </c>
      <c r="D138" t="s">
        <v>6</v>
      </c>
      <c r="E138">
        <v>0</v>
      </c>
      <c r="F138">
        <v>0</v>
      </c>
      <c r="G138">
        <v>0</v>
      </c>
      <c r="H138">
        <v>1</v>
      </c>
      <c r="I138" t="s">
        <v>27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5.5</v>
      </c>
      <c r="AE138">
        <v>533</v>
      </c>
      <c r="AF138">
        <v>42.317318688536282</v>
      </c>
      <c r="AG138">
        <v>157.60516167205591</v>
      </c>
      <c r="AH138">
        <f>16.3914063953077*1</f>
        <v>16.391406395307701</v>
      </c>
      <c r="AI138">
        <f>0.299768953278455*1</f>
        <v>0.29976895327845499</v>
      </c>
      <c r="AJ138">
        <v>1</v>
      </c>
      <c r="AK138">
        <v>0</v>
      </c>
      <c r="AL138">
        <v>0</v>
      </c>
    </row>
    <row r="139" spans="1:38" hidden="1" x14ac:dyDescent="0.2">
      <c r="A139" t="s">
        <v>335</v>
      </c>
      <c r="B139" t="s">
        <v>336</v>
      </c>
      <c r="C139" t="s">
        <v>336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5.5</v>
      </c>
      <c r="AE139">
        <v>549</v>
      </c>
      <c r="AF139">
        <v>86.850820182053866</v>
      </c>
      <c r="AG139">
        <v>101.2379947064248</v>
      </c>
      <c r="AH139">
        <f>54.8555302662011*1</f>
        <v>54.8555302662011</v>
      </c>
      <c r="AI139">
        <f>1.50092709989603*1</f>
        <v>1.50092709989603</v>
      </c>
      <c r="AJ139">
        <v>1</v>
      </c>
      <c r="AK139">
        <v>0</v>
      </c>
      <c r="AL139">
        <v>0</v>
      </c>
    </row>
    <row r="140" spans="1:38" hidden="1" x14ac:dyDescent="0.2">
      <c r="A140" t="s">
        <v>337</v>
      </c>
      <c r="B140" t="s">
        <v>338</v>
      </c>
      <c r="C140" t="s">
        <v>337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8.5</v>
      </c>
      <c r="AE140">
        <v>586</v>
      </c>
      <c r="AF140">
        <v>187.81389180958459</v>
      </c>
      <c r="AG140">
        <v>235.95944488560909</v>
      </c>
      <c r="AH140">
        <f>62.6542791915498*1</f>
        <v>62.654279191549797</v>
      </c>
      <c r="AI140">
        <f>1.71645245145553*1</f>
        <v>1.7164524514555299</v>
      </c>
      <c r="AJ140">
        <v>1</v>
      </c>
      <c r="AK140">
        <v>0</v>
      </c>
      <c r="AL140">
        <v>0</v>
      </c>
    </row>
    <row r="141" spans="1:38" hidden="1" x14ac:dyDescent="0.2">
      <c r="A141" t="s">
        <v>339</v>
      </c>
      <c r="B141" t="s">
        <v>340</v>
      </c>
      <c r="C141" t="s">
        <v>340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7</v>
      </c>
      <c r="AE141">
        <v>587</v>
      </c>
      <c r="AF141">
        <v>139.08737864077671</v>
      </c>
      <c r="AG141">
        <v>131.4389464139887</v>
      </c>
      <c r="AH141">
        <f>97.2947174984941*1</f>
        <v>97.294717498494094</v>
      </c>
      <c r="AI141">
        <f>2.5440014218007*1</f>
        <v>2.5440014218006999</v>
      </c>
      <c r="AJ141">
        <v>1</v>
      </c>
      <c r="AK141">
        <v>0</v>
      </c>
      <c r="AL141">
        <v>0</v>
      </c>
    </row>
    <row r="142" spans="1:38" hidden="1" x14ac:dyDescent="0.2">
      <c r="A142" t="s">
        <v>193</v>
      </c>
      <c r="B142" t="s">
        <v>341</v>
      </c>
      <c r="C142" t="s">
        <v>341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7</v>
      </c>
      <c r="AE142">
        <v>588</v>
      </c>
      <c r="AF142">
        <v>162.90952537443459</v>
      </c>
      <c r="AG142">
        <v>169.64348871094501</v>
      </c>
      <c r="AH142">
        <f>78.4075647206761*1</f>
        <v>78.407564720676106</v>
      </c>
      <c r="AI142">
        <f>2.07385740476948*1</f>
        <v>2.07385740476948</v>
      </c>
      <c r="AJ142">
        <v>1</v>
      </c>
      <c r="AK142">
        <v>0</v>
      </c>
      <c r="AL142">
        <v>0</v>
      </c>
    </row>
    <row r="143" spans="1:38" hidden="1" x14ac:dyDescent="0.2">
      <c r="A143" t="s">
        <v>342</v>
      </c>
      <c r="B143" t="s">
        <v>343</v>
      </c>
      <c r="C143" t="s">
        <v>343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6.5</v>
      </c>
      <c r="AE143">
        <v>589</v>
      </c>
      <c r="AF143">
        <v>142.0615384615385</v>
      </c>
      <c r="AG143">
        <v>155.2265024955156</v>
      </c>
      <c r="AH143">
        <f>87.0942930005143*1</f>
        <v>87.094293000514298</v>
      </c>
      <c r="AI143">
        <f>2.2191381685887*1</f>
        <v>2.2191381685886999</v>
      </c>
      <c r="AJ143">
        <v>1</v>
      </c>
      <c r="AK143">
        <v>0</v>
      </c>
      <c r="AL143">
        <v>0</v>
      </c>
    </row>
    <row r="144" spans="1:38" hidden="1" x14ac:dyDescent="0.2">
      <c r="A144" t="s">
        <v>344</v>
      </c>
      <c r="B144" t="s">
        <v>345</v>
      </c>
      <c r="C144" t="s">
        <v>345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6.5</v>
      </c>
      <c r="AE144">
        <v>590</v>
      </c>
      <c r="AF144">
        <v>144.74545454545449</v>
      </c>
      <c r="AG144">
        <v>153.6999965090429</v>
      </c>
      <c r="AH144">
        <f>65.4093350441265*1</f>
        <v>65.409335044126493</v>
      </c>
      <c r="AI144">
        <f>1.63894008533652*1</f>
        <v>1.6389400853365199</v>
      </c>
      <c r="AJ144">
        <v>1</v>
      </c>
      <c r="AK144">
        <v>0</v>
      </c>
      <c r="AL144">
        <v>0</v>
      </c>
    </row>
    <row r="145" spans="1:38" hidden="1" x14ac:dyDescent="0.2">
      <c r="A145" t="s">
        <v>220</v>
      </c>
      <c r="B145" t="s">
        <v>346</v>
      </c>
      <c r="C145" t="s">
        <v>346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5.5</v>
      </c>
      <c r="AE145">
        <v>592</v>
      </c>
      <c r="AF145">
        <v>37.094829696420383</v>
      </c>
      <c r="AG145">
        <v>121.2736884559846</v>
      </c>
      <c r="AH145">
        <f>17.1986004101372*1</f>
        <v>17.1986004101372</v>
      </c>
      <c r="AI145">
        <f>0.372588560393988*1</f>
        <v>0.37258856039398802</v>
      </c>
      <c r="AJ145">
        <v>1</v>
      </c>
      <c r="AK145">
        <v>0</v>
      </c>
      <c r="AL145">
        <v>0</v>
      </c>
    </row>
    <row r="146" spans="1:38" hidden="1" x14ac:dyDescent="0.2">
      <c r="A146" t="s">
        <v>67</v>
      </c>
      <c r="B146" t="s">
        <v>347</v>
      </c>
      <c r="C146" t="s">
        <v>347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5.5</v>
      </c>
      <c r="AE146">
        <v>593</v>
      </c>
      <c r="AF146">
        <v>53.409712374914918</v>
      </c>
      <c r="AG146">
        <v>76.576463242783248</v>
      </c>
      <c r="AH146">
        <f>66.7762462727568*1</f>
        <v>66.776246272756794</v>
      </c>
      <c r="AI146">
        <f>1.45708839473085*1</f>
        <v>1.4570883947308499</v>
      </c>
      <c r="AJ146">
        <v>1</v>
      </c>
      <c r="AK146">
        <v>0</v>
      </c>
      <c r="AL146">
        <v>0</v>
      </c>
    </row>
    <row r="147" spans="1:38" hidden="1" x14ac:dyDescent="0.2">
      <c r="A147" t="s">
        <v>348</v>
      </c>
      <c r="B147" t="s">
        <v>349</v>
      </c>
      <c r="C147" t="s">
        <v>349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5.5</v>
      </c>
      <c r="AE147">
        <v>594</v>
      </c>
      <c r="AF147">
        <v>69.462365591397841</v>
      </c>
      <c r="AG147">
        <v>71.027621841181912</v>
      </c>
      <c r="AH147">
        <f>22.8666773943176*1</f>
        <v>22.866677394317598</v>
      </c>
      <c r="AI147">
        <f>0.598024716939443*1</f>
        <v>0.59802471693944304</v>
      </c>
      <c r="AJ147">
        <v>1</v>
      </c>
      <c r="AK147">
        <v>0</v>
      </c>
      <c r="AL147">
        <v>0</v>
      </c>
    </row>
    <row r="148" spans="1:38" hidden="1" x14ac:dyDescent="0.2">
      <c r="A148" t="s">
        <v>350</v>
      </c>
      <c r="B148" t="s">
        <v>351</v>
      </c>
      <c r="C148" t="s">
        <v>351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5</v>
      </c>
      <c r="AE148">
        <v>598</v>
      </c>
      <c r="AF148">
        <v>61.071428539218118</v>
      </c>
      <c r="AG148">
        <v>0</v>
      </c>
      <c r="AH148">
        <f>65.433673494203*1</f>
        <v>65.433673494203006</v>
      </c>
      <c r="AI148">
        <f>1.72193877616323*1</f>
        <v>1.7219387761632301</v>
      </c>
      <c r="AJ148">
        <v>1</v>
      </c>
      <c r="AK148">
        <v>0</v>
      </c>
      <c r="AL148">
        <v>0</v>
      </c>
    </row>
    <row r="149" spans="1:38" hidden="1" x14ac:dyDescent="0.2">
      <c r="A149" t="s">
        <v>352</v>
      </c>
      <c r="B149" t="s">
        <v>177</v>
      </c>
      <c r="C149" t="s">
        <v>353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5</v>
      </c>
      <c r="AE149">
        <v>600</v>
      </c>
      <c r="AF149">
        <v>81.291139240506368</v>
      </c>
      <c r="AG149">
        <v>86.790362579046885</v>
      </c>
      <c r="AH149">
        <f>31.768221982319*1</f>
        <v>31.768221982319002</v>
      </c>
      <c r="AI149">
        <f>0.807011830066452*1</f>
        <v>0.80701183006645205</v>
      </c>
      <c r="AJ149">
        <v>1</v>
      </c>
      <c r="AK149">
        <v>0</v>
      </c>
      <c r="AL149">
        <v>0</v>
      </c>
    </row>
    <row r="150" spans="1:38" hidden="1" x14ac:dyDescent="0.2">
      <c r="A150" t="s">
        <v>354</v>
      </c>
      <c r="B150" t="s">
        <v>355</v>
      </c>
      <c r="C150" t="s">
        <v>356</v>
      </c>
      <c r="D150" t="s">
        <v>6</v>
      </c>
      <c r="E150">
        <v>0</v>
      </c>
      <c r="F150">
        <v>0</v>
      </c>
      <c r="G150">
        <v>0</v>
      </c>
      <c r="H150">
        <v>1</v>
      </c>
      <c r="I150" t="s">
        <v>29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7.5</v>
      </c>
      <c r="AE150">
        <v>603</v>
      </c>
      <c r="AF150">
        <v>152</v>
      </c>
      <c r="AG150">
        <v>185.9827979914694</v>
      </c>
      <c r="AH150">
        <f>69.9914650362897*1</f>
        <v>69.991465036289696</v>
      </c>
      <c r="AI150">
        <f>1.71107281447556*1</f>
        <v>1.71107281447556</v>
      </c>
      <c r="AJ150">
        <v>1</v>
      </c>
      <c r="AK150">
        <v>0</v>
      </c>
      <c r="AL150">
        <v>0</v>
      </c>
    </row>
    <row r="151" spans="1:38" hidden="1" x14ac:dyDescent="0.2">
      <c r="A151" t="s">
        <v>357</v>
      </c>
      <c r="B151" t="s">
        <v>358</v>
      </c>
      <c r="C151" t="s">
        <v>358</v>
      </c>
      <c r="D151" t="s">
        <v>3</v>
      </c>
      <c r="E151">
        <v>1</v>
      </c>
      <c r="F151">
        <v>0</v>
      </c>
      <c r="G151">
        <v>0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4.5</v>
      </c>
      <c r="AE151">
        <v>607</v>
      </c>
      <c r="AF151">
        <v>119.99973519262529</v>
      </c>
      <c r="AG151">
        <v>135.2350548734855</v>
      </c>
      <c r="AH151">
        <f>67.6193398784586*1</f>
        <v>67.619339878458604</v>
      </c>
      <c r="AI151">
        <f>2.06838099787531*1</f>
        <v>2.0683809978753098</v>
      </c>
      <c r="AJ151">
        <v>1</v>
      </c>
      <c r="AK151">
        <v>0</v>
      </c>
      <c r="AL151">
        <v>0</v>
      </c>
    </row>
    <row r="152" spans="1:38" hidden="1" x14ac:dyDescent="0.2">
      <c r="A152" t="s">
        <v>359</v>
      </c>
      <c r="B152" t="s">
        <v>360</v>
      </c>
      <c r="C152" t="s">
        <v>359</v>
      </c>
      <c r="D152" t="s">
        <v>4</v>
      </c>
      <c r="E152">
        <v>0</v>
      </c>
      <c r="F152">
        <v>1</v>
      </c>
      <c r="G152">
        <v>0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4.5</v>
      </c>
      <c r="AE152">
        <v>611</v>
      </c>
      <c r="AF152">
        <v>78.971742337281412</v>
      </c>
      <c r="AG152">
        <v>73.130639238759542</v>
      </c>
      <c r="AH152">
        <f>57.1945614971082*1</f>
        <v>57.194561497108197</v>
      </c>
      <c r="AI152">
        <f>1.35601754581402*1</f>
        <v>1.35601754581402</v>
      </c>
      <c r="AJ152">
        <v>1</v>
      </c>
      <c r="AK152">
        <v>0</v>
      </c>
      <c r="AL152">
        <v>0</v>
      </c>
    </row>
    <row r="153" spans="1:38" hidden="1" x14ac:dyDescent="0.2">
      <c r="A153" t="s">
        <v>361</v>
      </c>
      <c r="B153" t="s">
        <v>362</v>
      </c>
      <c r="C153" t="s">
        <v>362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4.5</v>
      </c>
      <c r="AE153">
        <v>613</v>
      </c>
      <c r="AF153">
        <v>59.881866843670537</v>
      </c>
      <c r="AG153">
        <v>57.947064564026839</v>
      </c>
      <c r="AH153">
        <f>33.8613452494066*1</f>
        <v>33.861345249406597</v>
      </c>
      <c r="AI153">
        <f>0.94725554226607*1</f>
        <v>0.94725554226607001</v>
      </c>
      <c r="AJ153">
        <v>1</v>
      </c>
      <c r="AK153">
        <v>0</v>
      </c>
      <c r="AL153">
        <v>0</v>
      </c>
    </row>
    <row r="154" spans="1:38" hidden="1" x14ac:dyDescent="0.2">
      <c r="A154" t="s">
        <v>363</v>
      </c>
      <c r="B154" t="s">
        <v>364</v>
      </c>
      <c r="C154" t="s">
        <v>364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4.5</v>
      </c>
      <c r="AE154">
        <v>616</v>
      </c>
      <c r="AF154">
        <v>76.000000000000014</v>
      </c>
      <c r="AG154">
        <v>64.6833483576292</v>
      </c>
      <c r="AH154">
        <f>53.7500147853515*1</f>
        <v>53.750014785351503</v>
      </c>
      <c r="AI154">
        <f>1.3660778562333*1</f>
        <v>1.3660778562333</v>
      </c>
      <c r="AJ154">
        <v>1</v>
      </c>
      <c r="AK154">
        <v>0</v>
      </c>
      <c r="AL154">
        <v>0</v>
      </c>
    </row>
    <row r="155" spans="1:38" hidden="1" x14ac:dyDescent="0.2">
      <c r="A155" t="s">
        <v>365</v>
      </c>
      <c r="B155" t="s">
        <v>366</v>
      </c>
      <c r="C155" t="s">
        <v>366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4.5</v>
      </c>
      <c r="AE155">
        <v>617</v>
      </c>
      <c r="AF155">
        <v>123.8980388199585</v>
      </c>
      <c r="AG155">
        <v>118.37734933497801</v>
      </c>
      <c r="AH155">
        <f>95.6128192371308*1</f>
        <v>95.612819237130793</v>
      </c>
      <c r="AI155">
        <f>2.71236616745395*1</f>
        <v>2.7123661674539501</v>
      </c>
      <c r="AJ155">
        <v>1</v>
      </c>
      <c r="AK155">
        <v>0</v>
      </c>
      <c r="AL155">
        <v>0</v>
      </c>
    </row>
    <row r="156" spans="1:38" hidden="1" x14ac:dyDescent="0.2">
      <c r="A156" t="s">
        <v>67</v>
      </c>
      <c r="B156" t="s">
        <v>367</v>
      </c>
      <c r="C156" t="s">
        <v>368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6</v>
      </c>
      <c r="AE156">
        <v>619</v>
      </c>
      <c r="AF156">
        <v>79.376907685376537</v>
      </c>
      <c r="AG156">
        <v>135.4771909129648</v>
      </c>
      <c r="AH156">
        <f>27.1189545808288*1</f>
        <v>27.118954580828799</v>
      </c>
      <c r="AI156">
        <f>0.791287096996509*1</f>
        <v>0.79128709699650901</v>
      </c>
      <c r="AJ156">
        <v>1</v>
      </c>
      <c r="AK156">
        <v>0</v>
      </c>
      <c r="AL156">
        <v>0</v>
      </c>
    </row>
    <row r="157" spans="1:38" hidden="1" x14ac:dyDescent="0.2">
      <c r="A157" t="s">
        <v>369</v>
      </c>
      <c r="B157" t="s">
        <v>370</v>
      </c>
      <c r="C157" t="s">
        <v>370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6</v>
      </c>
      <c r="AE157">
        <v>620</v>
      </c>
      <c r="AF157">
        <v>127.6058016913713</v>
      </c>
      <c r="AG157">
        <v>125.7709337663976</v>
      </c>
      <c r="AH157">
        <f>107.936086297366*1</f>
        <v>107.936086297366</v>
      </c>
      <c r="AI157">
        <f>2.24844709558055*1</f>
        <v>2.2484470955805498</v>
      </c>
      <c r="AJ157">
        <v>1</v>
      </c>
      <c r="AK157">
        <v>0</v>
      </c>
      <c r="AL157">
        <v>0</v>
      </c>
    </row>
    <row r="158" spans="1:38" hidden="1" x14ac:dyDescent="0.2">
      <c r="A158" t="s">
        <v>371</v>
      </c>
      <c r="B158" t="s">
        <v>372</v>
      </c>
      <c r="C158" t="s">
        <v>373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30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5</v>
      </c>
      <c r="AE158">
        <v>623</v>
      </c>
      <c r="AF158">
        <v>65.694915254237301</v>
      </c>
      <c r="AG158">
        <v>57.622594505834961</v>
      </c>
      <c r="AH158">
        <f>48.2173342544576*1</f>
        <v>48.217334254457597</v>
      </c>
      <c r="AI158">
        <f>1.2443255115951*1</f>
        <v>1.2443255115951</v>
      </c>
      <c r="AJ158">
        <v>1</v>
      </c>
      <c r="AK158">
        <v>0</v>
      </c>
      <c r="AL158">
        <v>0</v>
      </c>
    </row>
    <row r="159" spans="1:38" x14ac:dyDescent="0.2">
      <c r="A159" t="s">
        <v>189</v>
      </c>
      <c r="B159" t="s">
        <v>190</v>
      </c>
      <c r="C159" t="s">
        <v>190</v>
      </c>
      <c r="D159" t="s">
        <v>3</v>
      </c>
      <c r="E159">
        <v>1</v>
      </c>
      <c r="F159">
        <v>0</v>
      </c>
      <c r="G159">
        <v>0</v>
      </c>
      <c r="H159">
        <v>0</v>
      </c>
      <c r="I159" t="s">
        <v>20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5.5</v>
      </c>
      <c r="AE159">
        <v>286</v>
      </c>
      <c r="AF159">
        <v>139.17886178861781</v>
      </c>
      <c r="AG159">
        <v>135.73145072282321</v>
      </c>
      <c r="AH159">
        <f>119.133838896091*1</f>
        <v>119.13383889609101</v>
      </c>
      <c r="AI159">
        <f>2.97425924203593*1</f>
        <v>2.97425924203593</v>
      </c>
      <c r="AJ159">
        <v>1</v>
      </c>
      <c r="AK159">
        <v>0</v>
      </c>
      <c r="AL159">
        <v>1</v>
      </c>
    </row>
    <row r="160" spans="1:38" hidden="1" x14ac:dyDescent="0.2">
      <c r="A160" t="s">
        <v>376</v>
      </c>
      <c r="B160" t="s">
        <v>377</v>
      </c>
      <c r="C160" t="s">
        <v>377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30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4.5</v>
      </c>
      <c r="AE160">
        <v>634</v>
      </c>
      <c r="AF160">
        <v>58.475555571464852</v>
      </c>
      <c r="AG160">
        <v>94.872371247317915</v>
      </c>
      <c r="AH160">
        <f>27.918034768019*1</f>
        <v>27.918034768019002</v>
      </c>
      <c r="AI160">
        <f>0.793403465780752*1</f>
        <v>0.79340346578075205</v>
      </c>
      <c r="AJ160">
        <v>1</v>
      </c>
      <c r="AK160">
        <v>0</v>
      </c>
      <c r="AL160">
        <v>0</v>
      </c>
    </row>
    <row r="161" spans="1:38" hidden="1" x14ac:dyDescent="0.2">
      <c r="A161" t="s">
        <v>378</v>
      </c>
      <c r="B161" t="s">
        <v>379</v>
      </c>
      <c r="C161" t="s">
        <v>380</v>
      </c>
      <c r="D161" t="s">
        <v>3</v>
      </c>
      <c r="E161">
        <v>1</v>
      </c>
      <c r="F161">
        <v>0</v>
      </c>
      <c r="G161">
        <v>0</v>
      </c>
      <c r="H161">
        <v>0</v>
      </c>
      <c r="I161" t="s">
        <v>31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4.5</v>
      </c>
      <c r="AE161">
        <v>636</v>
      </c>
      <c r="AF161">
        <v>137.96777291851521</v>
      </c>
      <c r="AG161">
        <v>148.18548306271791</v>
      </c>
      <c r="AH161">
        <f>87.946412843932*1</f>
        <v>87.946412843931995</v>
      </c>
      <c r="AI161">
        <f>2.29436137301655*1</f>
        <v>2.29436137301655</v>
      </c>
      <c r="AJ161">
        <v>1</v>
      </c>
      <c r="AK161">
        <v>0</v>
      </c>
      <c r="AL161">
        <v>0</v>
      </c>
    </row>
    <row r="162" spans="1:38" hidden="1" x14ac:dyDescent="0.2">
      <c r="A162" t="s">
        <v>381</v>
      </c>
      <c r="B162" t="s">
        <v>382</v>
      </c>
      <c r="C162" t="s">
        <v>382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31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4.5</v>
      </c>
      <c r="AE162">
        <v>640</v>
      </c>
      <c r="AF162">
        <v>93.726621310291449</v>
      </c>
      <c r="AG162">
        <v>159.13212432752039</v>
      </c>
      <c r="AH162">
        <f>62.3067063111499*1</f>
        <v>62.306706311149902</v>
      </c>
      <c r="AI162">
        <f>1.51223541096053*1</f>
        <v>1.51223541096053</v>
      </c>
      <c r="AJ162">
        <v>1</v>
      </c>
      <c r="AK162">
        <v>0</v>
      </c>
      <c r="AL162">
        <v>0</v>
      </c>
    </row>
    <row r="163" spans="1:38" hidden="1" x14ac:dyDescent="0.2">
      <c r="A163" t="s">
        <v>263</v>
      </c>
      <c r="B163" t="s">
        <v>383</v>
      </c>
      <c r="C163" t="s">
        <v>263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31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5.5</v>
      </c>
      <c r="AE163">
        <v>651</v>
      </c>
      <c r="AF163">
        <v>70.242424101801888</v>
      </c>
      <c r="AG163">
        <v>55.191233279860128</v>
      </c>
      <c r="AH163">
        <f>51.7279633396146*1</f>
        <v>51.727963339614597</v>
      </c>
      <c r="AI163">
        <f>1.38485029733788*1</f>
        <v>1.38485029733788</v>
      </c>
      <c r="AJ163">
        <v>1</v>
      </c>
      <c r="AK163">
        <v>0</v>
      </c>
      <c r="AL163">
        <v>0</v>
      </c>
    </row>
    <row r="164" spans="1:38" hidden="1" x14ac:dyDescent="0.2">
      <c r="A164" t="s">
        <v>384</v>
      </c>
      <c r="B164" t="s">
        <v>385</v>
      </c>
      <c r="C164" t="s">
        <v>385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31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5.5</v>
      </c>
      <c r="AE164">
        <v>652</v>
      </c>
      <c r="AF164">
        <v>90.000000000000014</v>
      </c>
      <c r="AG164">
        <v>67.328714084673223</v>
      </c>
      <c r="AH164">
        <f>88.6419365912918*1</f>
        <v>88.641936591291795</v>
      </c>
      <c r="AI164">
        <f>2.45852822714718*1</f>
        <v>2.45852822714718</v>
      </c>
      <c r="AJ164">
        <v>1</v>
      </c>
      <c r="AK164">
        <v>0</v>
      </c>
      <c r="AL164">
        <v>0</v>
      </c>
    </row>
    <row r="165" spans="1:38" hidden="1" x14ac:dyDescent="0.2">
      <c r="A165" t="s">
        <v>386</v>
      </c>
      <c r="B165" t="s">
        <v>387</v>
      </c>
      <c r="C165" t="s">
        <v>388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31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5.5</v>
      </c>
      <c r="AE165">
        <v>654</v>
      </c>
      <c r="AF165">
        <v>85.143628656642818</v>
      </c>
      <c r="AG165">
        <v>92.719901565919926</v>
      </c>
      <c r="AH165">
        <f>44.1124221203812*1</f>
        <v>44.112422120381197</v>
      </c>
      <c r="AI165">
        <f>1.05114515120863*1</f>
        <v>1.0511451512086301</v>
      </c>
      <c r="AJ165">
        <v>1</v>
      </c>
      <c r="AK165">
        <v>0</v>
      </c>
      <c r="AL165">
        <v>0</v>
      </c>
    </row>
    <row r="166" spans="1:38" hidden="1" x14ac:dyDescent="0.2">
      <c r="A166" t="s">
        <v>389</v>
      </c>
      <c r="B166" t="s">
        <v>390</v>
      </c>
      <c r="C166" t="s">
        <v>391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31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5.5</v>
      </c>
      <c r="AE166">
        <v>655</v>
      </c>
      <c r="AF166">
        <v>82.047155772733589</v>
      </c>
      <c r="AG166">
        <v>117.6692000026957</v>
      </c>
      <c r="AH166">
        <f>41.5802529504226*1</f>
        <v>41.580252950422597</v>
      </c>
      <c r="AI166">
        <f>1.03256344024119*1</f>
        <v>1.0325634402411901</v>
      </c>
      <c r="AJ166">
        <v>1</v>
      </c>
      <c r="AK166">
        <v>0</v>
      </c>
      <c r="AL166">
        <v>0</v>
      </c>
    </row>
    <row r="167" spans="1:38" x14ac:dyDescent="0.2">
      <c r="A167" t="s">
        <v>64</v>
      </c>
      <c r="B167" t="s">
        <v>65</v>
      </c>
      <c r="C167" t="s">
        <v>66</v>
      </c>
      <c r="D167" t="s">
        <v>3</v>
      </c>
      <c r="E167">
        <v>1</v>
      </c>
      <c r="F167">
        <v>0</v>
      </c>
      <c r="G167">
        <v>0</v>
      </c>
      <c r="H167">
        <v>0</v>
      </c>
      <c r="I167" t="s">
        <v>13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5</v>
      </c>
      <c r="AE167">
        <v>33</v>
      </c>
      <c r="AF167">
        <v>122.18145337182089</v>
      </c>
      <c r="AG167">
        <v>136.1010337652543</v>
      </c>
      <c r="AH167">
        <f>119.269073853801*0.973684210526315</f>
        <v>116.130414015543</v>
      </c>
      <c r="AI167">
        <v>0</v>
      </c>
      <c r="AJ167">
        <v>0.97368421052631582</v>
      </c>
      <c r="AK167">
        <v>0</v>
      </c>
      <c r="AL167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2025-08-09T19:10:59Z</dcterms:created>
  <dcterms:modified xsi:type="dcterms:W3CDTF">2025-08-09T19:16:08Z</dcterms:modified>
</cp:coreProperties>
</file>