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Calibrations/2024-25/"/>
    </mc:Choice>
  </mc:AlternateContent>
  <xr:revisionPtr revIDLastSave="0" documentId="13_ncr:1_{0C4E1B21-BDA7-714D-831D-D813DC8FB170}" xr6:coauthVersionLast="47" xr6:coauthVersionMax="47" xr10:uidLastSave="{00000000-0000-0000-0000-000000000000}"/>
  <bookViews>
    <workbookView xWindow="21680" yWindow="2440" windowWidth="16100" windowHeight="9660" firstSheet="9" activeTab="10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CHE" sheetId="6" r:id="rId6"/>
    <sheet name="CRY" sheetId="7" r:id="rId7"/>
    <sheet name="EVE" sheetId="8" r:id="rId8"/>
    <sheet name="FUL" sheetId="9" r:id="rId9"/>
    <sheet name="LIV" sheetId="10" r:id="rId10"/>
    <sheet name="MCI" sheetId="11" r:id="rId11"/>
    <sheet name="MUN" sheetId="12" r:id="rId12"/>
    <sheet name="NEW" sheetId="13" r:id="rId13"/>
    <sheet name="NFO" sheetId="14" r:id="rId14"/>
    <sheet name="TOT" sheetId="15" r:id="rId15"/>
    <sheet name="WHU" sheetId="16" r:id="rId16"/>
    <sheet name="WOL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7" l="1"/>
  <c r="G8" i="17" s="1"/>
  <c r="G7" i="17"/>
  <c r="E7" i="17"/>
  <c r="J6" i="17"/>
  <c r="G6" i="17"/>
  <c r="E6" i="17"/>
  <c r="E5" i="17"/>
  <c r="G5" i="17" s="1"/>
  <c r="E4" i="17"/>
  <c r="G4" i="17" s="1"/>
  <c r="E3" i="17"/>
  <c r="G3" i="17" s="1"/>
  <c r="G2" i="17"/>
  <c r="E2" i="17"/>
  <c r="E10" i="16"/>
  <c r="G10" i="16" s="1"/>
  <c r="G9" i="16"/>
  <c r="E9" i="16"/>
  <c r="E8" i="16"/>
  <c r="G8" i="16" s="1"/>
  <c r="G7" i="16"/>
  <c r="E7" i="16"/>
  <c r="G6" i="16"/>
  <c r="E6" i="16"/>
  <c r="J6" i="16" s="1"/>
  <c r="E5" i="16"/>
  <c r="G5" i="16" s="1"/>
  <c r="G4" i="16"/>
  <c r="E4" i="16"/>
  <c r="E3" i="16"/>
  <c r="G3" i="16" s="1"/>
  <c r="G2" i="16"/>
  <c r="E2" i="16"/>
  <c r="E10" i="15"/>
  <c r="G10" i="15" s="1"/>
  <c r="G9" i="15"/>
  <c r="E9" i="15"/>
  <c r="E8" i="15"/>
  <c r="G8" i="15" s="1"/>
  <c r="E7" i="15"/>
  <c r="G7" i="15" s="1"/>
  <c r="J6" i="15"/>
  <c r="G6" i="15"/>
  <c r="E6" i="15"/>
  <c r="E5" i="15"/>
  <c r="G5" i="15" s="1"/>
  <c r="G4" i="15"/>
  <c r="E4" i="15"/>
  <c r="E3" i="15"/>
  <c r="G3" i="15" s="1"/>
  <c r="G2" i="15"/>
  <c r="E2" i="15"/>
  <c r="J6" i="14"/>
  <c r="G6" i="14"/>
  <c r="E6" i="14"/>
  <c r="E5" i="14"/>
  <c r="G5" i="14" s="1"/>
  <c r="G4" i="14"/>
  <c r="E4" i="14"/>
  <c r="E3" i="14"/>
  <c r="G3" i="14" s="1"/>
  <c r="G2" i="14"/>
  <c r="J7" i="14" s="1"/>
  <c r="E2" i="14"/>
  <c r="E8" i="13"/>
  <c r="G8" i="13" s="1"/>
  <c r="G7" i="13"/>
  <c r="E7" i="13"/>
  <c r="G6" i="13"/>
  <c r="E6" i="13"/>
  <c r="J6" i="13" s="1"/>
  <c r="E5" i="13"/>
  <c r="G5" i="13" s="1"/>
  <c r="G4" i="13"/>
  <c r="E4" i="13"/>
  <c r="E3" i="13"/>
  <c r="G3" i="13" s="1"/>
  <c r="G2" i="13"/>
  <c r="J7" i="13" s="1"/>
  <c r="E2" i="13"/>
  <c r="E7" i="12"/>
  <c r="G7" i="12" s="1"/>
  <c r="E6" i="12"/>
  <c r="J6" i="12" s="1"/>
  <c r="G5" i="12"/>
  <c r="E5" i="12"/>
  <c r="G4" i="12"/>
  <c r="E4" i="12"/>
  <c r="G3" i="12"/>
  <c r="E3" i="12"/>
  <c r="G2" i="12"/>
  <c r="E2" i="12"/>
  <c r="G12" i="11"/>
  <c r="E12" i="11"/>
  <c r="E11" i="11"/>
  <c r="G11" i="11" s="1"/>
  <c r="G10" i="11"/>
  <c r="E10" i="11"/>
  <c r="G9" i="11"/>
  <c r="E9" i="11"/>
  <c r="G8" i="11"/>
  <c r="E8" i="11"/>
  <c r="E7" i="11"/>
  <c r="G7" i="11" s="1"/>
  <c r="E6" i="11"/>
  <c r="J6" i="11" s="1"/>
  <c r="G5" i="11"/>
  <c r="E5" i="11"/>
  <c r="G4" i="11"/>
  <c r="E4" i="11"/>
  <c r="G3" i="11"/>
  <c r="E3" i="11"/>
  <c r="G2" i="11"/>
  <c r="E2" i="11"/>
  <c r="G8" i="10"/>
  <c r="E8" i="10"/>
  <c r="G7" i="10"/>
  <c r="E7" i="10"/>
  <c r="G6" i="10"/>
  <c r="E6" i="10"/>
  <c r="J6" i="10" s="1"/>
  <c r="G5" i="10"/>
  <c r="E5" i="10"/>
  <c r="G4" i="10"/>
  <c r="E4" i="10"/>
  <c r="G3" i="10"/>
  <c r="E3" i="10"/>
  <c r="E2" i="10"/>
  <c r="G2" i="10" s="1"/>
  <c r="J7" i="10" s="1"/>
  <c r="G8" i="9"/>
  <c r="E8" i="9"/>
  <c r="E7" i="9"/>
  <c r="G7" i="9" s="1"/>
  <c r="J6" i="9"/>
  <c r="G6" i="9"/>
  <c r="E6" i="9"/>
  <c r="G5" i="9"/>
  <c r="E5" i="9"/>
  <c r="E4" i="9"/>
  <c r="G4" i="9" s="1"/>
  <c r="G3" i="9"/>
  <c r="E3" i="9"/>
  <c r="G2" i="9"/>
  <c r="E2" i="9"/>
  <c r="G8" i="8"/>
  <c r="E8" i="8"/>
  <c r="E7" i="8"/>
  <c r="G7" i="8" s="1"/>
  <c r="E6" i="8"/>
  <c r="J6" i="8" s="1"/>
  <c r="G5" i="8"/>
  <c r="E5" i="8"/>
  <c r="G4" i="8"/>
  <c r="E4" i="8"/>
  <c r="G3" i="8"/>
  <c r="E3" i="8"/>
  <c r="G2" i="8"/>
  <c r="E2" i="8"/>
  <c r="G9" i="7"/>
  <c r="E9" i="7"/>
  <c r="E8" i="7"/>
  <c r="G8" i="7" s="1"/>
  <c r="E7" i="7"/>
  <c r="G7" i="7" s="1"/>
  <c r="J6" i="7"/>
  <c r="G6" i="7"/>
  <c r="E6" i="7"/>
  <c r="G5" i="7"/>
  <c r="E5" i="7"/>
  <c r="G4" i="7"/>
  <c r="E4" i="7"/>
  <c r="E3" i="7"/>
  <c r="G3" i="7" s="1"/>
  <c r="G2" i="7"/>
  <c r="E2" i="7"/>
  <c r="G8" i="6"/>
  <c r="E8" i="6"/>
  <c r="E7" i="6"/>
  <c r="G7" i="6" s="1"/>
  <c r="G6" i="6"/>
  <c r="E6" i="6"/>
  <c r="J6" i="6" s="1"/>
  <c r="E5" i="6"/>
  <c r="G5" i="6" s="1"/>
  <c r="G4" i="6"/>
  <c r="E4" i="6"/>
  <c r="G3" i="6"/>
  <c r="E3" i="6"/>
  <c r="G2" i="6"/>
  <c r="E2" i="6"/>
  <c r="G8" i="5"/>
  <c r="E8" i="5"/>
  <c r="G7" i="5"/>
  <c r="E7" i="5"/>
  <c r="G6" i="5"/>
  <c r="E6" i="5"/>
  <c r="J6" i="5" s="1"/>
  <c r="G5" i="5"/>
  <c r="E5" i="5"/>
  <c r="G4" i="5"/>
  <c r="E4" i="5"/>
  <c r="G3" i="5"/>
  <c r="E3" i="5"/>
  <c r="E2" i="5"/>
  <c r="G2" i="5" s="1"/>
  <c r="J7" i="5" s="1"/>
  <c r="E10" i="4"/>
  <c r="G10" i="4" s="1"/>
  <c r="G9" i="4"/>
  <c r="E9" i="4"/>
  <c r="G8" i="4"/>
  <c r="E8" i="4"/>
  <c r="E7" i="4"/>
  <c r="G7" i="4" s="1"/>
  <c r="E6" i="4"/>
  <c r="J6" i="4" s="1"/>
  <c r="E5" i="4"/>
  <c r="G5" i="4" s="1"/>
  <c r="G4" i="4"/>
  <c r="E4" i="4"/>
  <c r="G3" i="4"/>
  <c r="E3" i="4"/>
  <c r="G2" i="4"/>
  <c r="E2" i="4"/>
  <c r="G11" i="3"/>
  <c r="E11" i="3"/>
  <c r="E10" i="3"/>
  <c r="G10" i="3" s="1"/>
  <c r="E9" i="3"/>
  <c r="G9" i="3" s="1"/>
  <c r="G8" i="3"/>
  <c r="E8" i="3"/>
  <c r="G7" i="3"/>
  <c r="E7" i="3"/>
  <c r="J6" i="3"/>
  <c r="G6" i="3"/>
  <c r="E6" i="3"/>
  <c r="E5" i="3"/>
  <c r="G5" i="3" s="1"/>
  <c r="E4" i="3"/>
  <c r="G4" i="3" s="1"/>
  <c r="G3" i="3"/>
  <c r="E3" i="3"/>
  <c r="E2" i="3"/>
  <c r="G2" i="3" s="1"/>
  <c r="G11" i="2"/>
  <c r="E11" i="2"/>
  <c r="G10" i="2"/>
  <c r="E10" i="2"/>
  <c r="E9" i="2"/>
  <c r="G9" i="2" s="1"/>
  <c r="E8" i="2"/>
  <c r="G8" i="2" s="1"/>
  <c r="E7" i="2"/>
  <c r="G7" i="2" s="1"/>
  <c r="J6" i="2"/>
  <c r="G6" i="2"/>
  <c r="E6" i="2"/>
  <c r="G5" i="2"/>
  <c r="E5" i="2"/>
  <c r="E4" i="2"/>
  <c r="G4" i="2" s="1"/>
  <c r="E3" i="2"/>
  <c r="G3" i="2" s="1"/>
  <c r="G2" i="2"/>
  <c r="E2" i="2"/>
  <c r="E13" i="1"/>
  <c r="G13" i="1" s="1"/>
  <c r="G12" i="1"/>
  <c r="E12" i="1"/>
  <c r="G11" i="1"/>
  <c r="E11" i="1"/>
  <c r="E10" i="1"/>
  <c r="G10" i="1" s="1"/>
  <c r="E9" i="1"/>
  <c r="G9" i="1" s="1"/>
  <c r="G8" i="1"/>
  <c r="E8" i="1"/>
  <c r="E7" i="1"/>
  <c r="G7" i="1" s="1"/>
  <c r="J6" i="1"/>
  <c r="G6" i="1"/>
  <c r="E6" i="1"/>
  <c r="E5" i="1"/>
  <c r="G5" i="1" s="1"/>
  <c r="E4" i="1"/>
  <c r="G4" i="1" s="1"/>
  <c r="G3" i="1"/>
  <c r="E3" i="1"/>
  <c r="E2" i="1"/>
  <c r="G2" i="1" s="1"/>
  <c r="J7" i="17" l="1"/>
  <c r="J7" i="16"/>
  <c r="J7" i="7"/>
  <c r="J7" i="2"/>
  <c r="J7" i="9"/>
  <c r="J7" i="6"/>
  <c r="J7" i="8"/>
  <c r="J7" i="3"/>
  <c r="J7" i="12"/>
  <c r="J7" i="15"/>
  <c r="J7" i="1"/>
  <c r="G6" i="8"/>
  <c r="G6" i="11"/>
  <c r="J7" i="11" s="1"/>
  <c r="G6" i="12"/>
  <c r="G6" i="4"/>
  <c r="J7" i="4" s="1"/>
</calcChain>
</file>

<file path=xl/sharedStrings.xml><?xml version="1.0" encoding="utf-8"?>
<sst xmlns="http://schemas.openxmlformats.org/spreadsheetml/2006/main" count="342" uniqueCount="150">
  <si>
    <t>ARIMA</t>
  </si>
  <si>
    <t>LSTM</t>
  </si>
  <si>
    <t>FOREST</t>
  </si>
  <si>
    <t>OFF</t>
  </si>
  <si>
    <t>AVG</t>
  </si>
  <si>
    <t>Name</t>
  </si>
  <si>
    <t>ARIMAPP</t>
  </si>
  <si>
    <t>LSTMPP</t>
  </si>
  <si>
    <t>FORESTPP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</si>
  <si>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</si>
  <si>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</si>
  <si>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</si>
  <si>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</si>
  <si>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</si>
  <si>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</si>
  <si>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</si>
  <si>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</si>
  <si>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</si>
  <si>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</si>
  <si>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</si>
  <si>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</si>
  <si>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</si>
  <si>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</si>
  <si>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</si>
  <si>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Barkley</t>
  </si>
  <si>
    <t>Tielemans</t>
  </si>
  <si>
    <t>McGinn</t>
  </si>
  <si>
    <t>Konsa</t>
  </si>
  <si>
    <t>Watkins</t>
  </si>
  <si>
    <t>Bailey</t>
  </si>
  <si>
    <t>Archer</t>
  </si>
  <si>
    <t>Martinez</t>
  </si>
  <si>
    <t>Diaby</t>
  </si>
  <si>
    <t>Pau</t>
  </si>
  <si>
    <t>Smith</t>
  </si>
  <si>
    <t>Cook</t>
  </si>
  <si>
    <t>Christie</t>
  </si>
  <si>
    <t>Tavernier</t>
  </si>
  <si>
    <t>Senesi</t>
  </si>
  <si>
    <t>Neto</t>
  </si>
  <si>
    <t>Semenyo</t>
  </si>
  <si>
    <t>Zabarnyi</t>
  </si>
  <si>
    <t>Kluivert</t>
  </si>
  <si>
    <t>Kerkez</t>
  </si>
  <si>
    <t>Nørgaard</t>
  </si>
  <si>
    <t>Pinnock</t>
  </si>
  <si>
    <t>Janelt</t>
  </si>
  <si>
    <t>Ajer</t>
  </si>
  <si>
    <t>Wissa</t>
  </si>
  <si>
    <t>Jensen</t>
  </si>
  <si>
    <t>Roerslev</t>
  </si>
  <si>
    <t>Lewis-Potter</t>
  </si>
  <si>
    <t>Flekken</t>
  </si>
  <si>
    <t>Dunk</t>
  </si>
  <si>
    <t>Gross</t>
  </si>
  <si>
    <t>Welbeck</t>
  </si>
  <si>
    <t>João Pedro</t>
  </si>
  <si>
    <t>Van Hecke</t>
  </si>
  <si>
    <t>Buonanotte</t>
  </si>
  <si>
    <t>Adingra</t>
  </si>
  <si>
    <t>Sterling</t>
  </si>
  <si>
    <t>Gallagher</t>
  </si>
  <si>
    <t>Palmer</t>
  </si>
  <si>
    <t>Caicedo</t>
  </si>
  <si>
    <t>Mudryk</t>
  </si>
  <si>
    <t>Enzo</t>
  </si>
  <si>
    <t>N.Jackson</t>
  </si>
  <si>
    <t>Schlupp</t>
  </si>
  <si>
    <t>Hughes</t>
  </si>
  <si>
    <t>J.Ayew</t>
  </si>
  <si>
    <t>Mitchell</t>
  </si>
  <si>
    <t>Eze</t>
  </si>
  <si>
    <t>Andersen</t>
  </si>
  <si>
    <t>Mateta</t>
  </si>
  <si>
    <t>Lerma</t>
  </si>
  <si>
    <t>A.Doucoure</t>
  </si>
  <si>
    <t>Tarkowski</t>
  </si>
  <si>
    <t>Pickford</t>
  </si>
  <si>
    <t>Young</t>
  </si>
  <si>
    <t>Calvert-Lewin</t>
  </si>
  <si>
    <t>McNeil</t>
  </si>
  <si>
    <t>Branthwaite</t>
  </si>
  <si>
    <t>Iwobi</t>
  </si>
  <si>
    <t>Leno</t>
  </si>
  <si>
    <t>Wilson</t>
  </si>
  <si>
    <t>Castagne</t>
  </si>
  <si>
    <t>Robinson</t>
  </si>
  <si>
    <t>Andreas</t>
  </si>
  <si>
    <t>Bassey</t>
  </si>
  <si>
    <t>A.Becker</t>
  </si>
  <si>
    <t>M.Salah</t>
  </si>
  <si>
    <t>Elliott</t>
  </si>
  <si>
    <t>Mac Allister</t>
  </si>
  <si>
    <t>Luis Díaz</t>
  </si>
  <si>
    <t>Darwin</t>
  </si>
  <si>
    <t>Gakpo</t>
  </si>
  <si>
    <t>Ederson M.</t>
  </si>
  <si>
    <t>Walker</t>
  </si>
  <si>
    <t>Aké</t>
  </si>
  <si>
    <t>Foden</t>
  </si>
  <si>
    <t>Haaland</t>
  </si>
  <si>
    <t>Bernardo</t>
  </si>
  <si>
    <t>J.Alvarez</t>
  </si>
  <si>
    <t>Rúben</t>
  </si>
  <si>
    <t>Akanji</t>
  </si>
  <si>
    <t>Gvardiol</t>
  </si>
  <si>
    <t>Doku</t>
  </si>
  <si>
    <t>Rashford</t>
  </si>
  <si>
    <t>B.Fernandes</t>
  </si>
  <si>
    <t>Dalot</t>
  </si>
  <si>
    <t>Garnacho</t>
  </si>
  <si>
    <t>Onana</t>
  </si>
  <si>
    <t>Højlund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</si>
  <si>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</si>
  <si>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</si>
  <si>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</si>
  <si>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</si>
  <si>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</si>
  <si>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</si>
  <si>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</si>
  <si>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</si>
  <si>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</si>
  <si>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Hudson-Odoi</t>
  </si>
  <si>
    <t>Elanga</t>
  </si>
  <si>
    <t>Danilo</t>
  </si>
  <si>
    <t>Maddison</t>
  </si>
  <si>
    <t>Richarlison</t>
  </si>
  <si>
    <t>Romero</t>
  </si>
  <si>
    <t>Kulusevski</t>
  </si>
  <si>
    <t>Johnson</t>
  </si>
  <si>
    <t>Son</t>
  </si>
  <si>
    <t>Pedro Porro</t>
  </si>
  <si>
    <t>Udogie</t>
  </si>
  <si>
    <t>Vicario</t>
  </si>
  <si>
    <t>Antonio</t>
  </si>
  <si>
    <t>Ward-Prowse</t>
  </si>
  <si>
    <t>Bowen</t>
  </si>
  <si>
    <t>Areola</t>
  </si>
  <si>
    <t>L.Paquetá</t>
  </si>
  <si>
    <t>Souček</t>
  </si>
  <si>
    <t>Foderingham</t>
  </si>
  <si>
    <t>Álvarez</t>
  </si>
  <si>
    <t>Kudus</t>
  </si>
  <si>
    <t>Mario Jr.</t>
  </si>
  <si>
    <t>José Sá</t>
  </si>
  <si>
    <t>Toti</t>
  </si>
  <si>
    <t>Hee Chan</t>
  </si>
  <si>
    <t>Aït-Nouri</t>
  </si>
  <si>
    <t>Cunha</t>
  </si>
  <si>
    <t>Sarabia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</si>
</sst>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G13" totalsRowShown="0">
  <autoFilter ref="A1:G13" xr:uid="{00000000-0009-0000-0100-000001000000}"/>
  <tableColumns count="7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FORESTPP"/>
    <tableColumn id="5" xr3:uid="{00000000-0010-0000-0000-000005000000}" name="PP">
      <calculatedColumnFormula>TableARS[[#This Row],[ARIMAPP]]*$J$2+TableARS[[#This Row],[LSTMPP]]*$J$3+TableARS[[#This Row],[FORESTPP]]*$J$4</calculatedColumnFormula>
    </tableColumn>
    <tableColumn id="6" xr3:uid="{00000000-0010-0000-0000-000006000000}" name="AP"/>
    <tableColumn id="7" xr3:uid="{00000000-0010-0000-0000-000007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LIV" displayName="TableLIV" ref="A1:G8" totalsRowShown="0">
  <autoFilter ref="A1:G8" xr:uid="{00000000-0009-0000-0100-00000A000000}"/>
  <tableColumns count="7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FORESTPP"/>
    <tableColumn id="5" xr3:uid="{00000000-0010-0000-0900-000005000000}" name="PP">
      <calculatedColumnFormula>TableLIV[[#This Row],[ARIMAPP]]*$J$2+TableLIV[[#This Row],[LSTMPP]]*$J$3+TableLIV[[#This Row],[FORESTPP]]*$J$4</calculatedColumnFormula>
    </tableColumn>
    <tableColumn id="6" xr3:uid="{00000000-0010-0000-0900-000006000000}" name="AP"/>
    <tableColumn id="7" xr3:uid="{00000000-0010-0000-0900-000007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MCI" displayName="TableMCI" ref="A1:G12" totalsRowShown="0">
  <autoFilter ref="A1:G12" xr:uid="{00000000-0009-0000-0100-00000B000000}"/>
  <tableColumns count="7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FORESTPP"/>
    <tableColumn id="5" xr3:uid="{00000000-0010-0000-0A00-000005000000}" name="PP">
      <calculatedColumnFormula>TableMCI[[#This Row],[ARIMAPP]]*$J$2+TableMCI[[#This Row],[LSTMPP]]*$J$3+TableMCI[[#This Row],[FORESTPP]]*$J$4</calculatedColumnFormula>
    </tableColumn>
    <tableColumn id="6" xr3:uid="{00000000-0010-0000-0A00-000006000000}" name="AP"/>
    <tableColumn id="7" xr3:uid="{00000000-0010-0000-0A00-000007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MUN" displayName="TableMUN" ref="A1:G7" totalsRowShown="0">
  <autoFilter ref="A1:G7" xr:uid="{00000000-0009-0000-0100-00000C000000}"/>
  <tableColumns count="7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FORESTPP"/>
    <tableColumn id="5" xr3:uid="{00000000-0010-0000-0B00-000005000000}" name="PP">
      <calculatedColumnFormula>TableMUN[[#This Row],[ARIMAPP]]*$J$2+TableMUN[[#This Row],[LSTMPP]]*$J$3+TableMUN[[#This Row],[FORESTPP]]*$J$4</calculatedColumnFormula>
    </tableColumn>
    <tableColumn id="6" xr3:uid="{00000000-0010-0000-0B00-000006000000}" name="AP"/>
    <tableColumn id="7" xr3:uid="{00000000-0010-0000-0B00-000007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NEW" displayName="TableNEW" ref="A1:G8" totalsRowShown="0">
  <autoFilter ref="A1:G8" xr:uid="{00000000-0009-0000-0100-00000D000000}"/>
  <tableColumns count="7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FORESTPP"/>
    <tableColumn id="5" xr3:uid="{00000000-0010-0000-0C00-000005000000}" name="PP">
      <calculatedColumnFormula>TableNEW[[#This Row],[ARIMAPP]]*$J$2+TableNEW[[#This Row],[LSTMPP]]*$J$3+TableNEW[[#This Row],[FORESTPP]]*$J$4</calculatedColumnFormula>
    </tableColumn>
    <tableColumn id="6" xr3:uid="{00000000-0010-0000-0C00-000006000000}" name="AP"/>
    <tableColumn id="7" xr3:uid="{00000000-0010-0000-0C00-000007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NFO" displayName="TableNFO" ref="A1:G6" totalsRowShown="0">
  <autoFilter ref="A1:G6" xr:uid="{00000000-0009-0000-0100-00000E000000}"/>
  <tableColumns count="7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FORESTPP"/>
    <tableColumn id="5" xr3:uid="{00000000-0010-0000-0D00-000005000000}" name="PP">
      <calculatedColumnFormula>TableNFO[[#This Row],[ARIMAPP]]*$J$2+TableNFO[[#This Row],[LSTMPP]]*$J$3+TableNFO[[#This Row],[FORESTPP]]*$J$4</calculatedColumnFormula>
    </tableColumn>
    <tableColumn id="6" xr3:uid="{00000000-0010-0000-0D00-000006000000}" name="AP"/>
    <tableColumn id="7" xr3:uid="{00000000-0010-0000-0D00-000007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TOT" displayName="TableTOT" ref="A1:G10" totalsRowShown="0">
  <autoFilter ref="A1:G10" xr:uid="{00000000-0009-0000-0100-00000F000000}"/>
  <tableColumns count="7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FORESTPP"/>
    <tableColumn id="5" xr3:uid="{00000000-0010-0000-0E00-000005000000}" name="PP">
      <calculatedColumnFormula>TableTOT[[#This Row],[ARIMAPP]]*$J$2+TableTOT[[#This Row],[LSTMPP]]*$J$3+TableTOT[[#This Row],[FORESTPP]]*$J$4</calculatedColumnFormula>
    </tableColumn>
    <tableColumn id="6" xr3:uid="{00000000-0010-0000-0E00-000006000000}" name="AP"/>
    <tableColumn id="7" xr3:uid="{00000000-0010-0000-0E00-000007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WHU" displayName="TableWHU" ref="A1:G10" totalsRowShown="0">
  <autoFilter ref="A1:G10" xr:uid="{00000000-0009-0000-0100-000010000000}"/>
  <tableColumns count="7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FORESTPP"/>
    <tableColumn id="5" xr3:uid="{00000000-0010-0000-0F00-000005000000}" name="PP">
      <calculatedColumnFormula>TableWHU[[#This Row],[ARIMAPP]]*$J$2+TableWHU[[#This Row],[LSTMPP]]*$J$3+TableWHU[[#This Row],[FORESTPP]]*$J$4</calculatedColumnFormula>
    </tableColumn>
    <tableColumn id="6" xr3:uid="{00000000-0010-0000-0F00-000006000000}" name="AP"/>
    <tableColumn id="7" xr3:uid="{00000000-0010-0000-0F00-000007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WOL" displayName="TableWOL" ref="A1:G8" totalsRowShown="0">
  <autoFilter ref="A1:G8" xr:uid="{00000000-0009-0000-0100-000011000000}"/>
  <tableColumns count="7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FORESTPP"/>
    <tableColumn id="5" xr3:uid="{00000000-0010-0000-1000-000005000000}" name="PP">
      <calculatedColumnFormula>TableWOL[[#This Row],[ARIMAPP]]*$J$2+TableWOL[[#This Row],[LSTMPP]]*$J$3+TableWOL[[#This Row],[FORESTPP]]*$J$4</calculatedColumnFormula>
    </tableColumn>
    <tableColumn id="6" xr3:uid="{00000000-0010-0000-1000-000006000000}" name="AP"/>
    <tableColumn id="7" xr3:uid="{00000000-0010-0000-1000-000007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G11" totalsRowShown="0">
  <autoFilter ref="A1:G11" xr:uid="{00000000-0009-0000-0100-000002000000}"/>
  <tableColumns count="7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FORESTPP"/>
    <tableColumn id="5" xr3:uid="{00000000-0010-0000-0100-000005000000}" name="PP">
      <calculatedColumnFormula>TableAVL[[#This Row],[ARIMAPP]]*$J$2+TableAVL[[#This Row],[LSTMPP]]*$J$3+TableAVL[[#This Row],[FORESTPP]]*$J$4</calculatedColumnFormula>
    </tableColumn>
    <tableColumn id="6" xr3:uid="{00000000-0010-0000-0100-000006000000}" name="AP"/>
    <tableColumn id="7" xr3:uid="{00000000-0010-0000-0100-000007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G11" totalsRowShown="0">
  <autoFilter ref="A1:G11" xr:uid="{00000000-0009-0000-0100-000003000000}"/>
  <tableColumns count="7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FORESTPP"/>
    <tableColumn id="5" xr3:uid="{00000000-0010-0000-0200-000005000000}" name="PP">
      <calculatedColumnFormula>TableBOU[[#This Row],[ARIMAPP]]*$J$2+TableBOU[[#This Row],[LSTMPP]]*$J$3+TableBOU[[#This Row],[FORESTPP]]*$J$4</calculatedColumnFormula>
    </tableColumn>
    <tableColumn id="6" xr3:uid="{00000000-0010-0000-0200-000006000000}" name="AP"/>
    <tableColumn id="7" xr3:uid="{00000000-0010-0000-0200-000007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G10" totalsRowShown="0">
  <autoFilter ref="A1:G10" xr:uid="{00000000-0009-0000-0100-000004000000}"/>
  <tableColumns count="7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FORESTPP"/>
    <tableColumn id="5" xr3:uid="{00000000-0010-0000-0300-000005000000}" name="PP">
      <calculatedColumnFormula>TableBRE[[#This Row],[ARIMAPP]]*$J$2+TableBRE[[#This Row],[LSTMPP]]*$J$3+TableBRE[[#This Row],[FORESTPP]]*$J$4</calculatedColumnFormula>
    </tableColumn>
    <tableColumn id="6" xr3:uid="{00000000-0010-0000-0300-000006000000}" name="AP"/>
    <tableColumn id="7" xr3:uid="{00000000-0010-0000-0300-000007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G8" totalsRowShown="0">
  <autoFilter ref="A1:G8" xr:uid="{00000000-0009-0000-0100-000005000000}"/>
  <tableColumns count="7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FORESTPP"/>
    <tableColumn id="5" xr3:uid="{00000000-0010-0000-0400-000005000000}" name="PP">
      <calculatedColumnFormula>TableBHA[[#This Row],[ARIMAPP]]*$J$2+TableBHA[[#This Row],[LSTMPP]]*$J$3+TableBHA[[#This Row],[FORESTPP]]*$J$4</calculatedColumnFormula>
    </tableColumn>
    <tableColumn id="6" xr3:uid="{00000000-0010-0000-0400-000006000000}" name="AP"/>
    <tableColumn id="7" xr3:uid="{00000000-0010-0000-0400-000007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CHE" displayName="TableCHE" ref="A1:G8" totalsRowShown="0">
  <autoFilter ref="A1:G8" xr:uid="{00000000-0009-0000-0100-000006000000}"/>
  <tableColumns count="7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FORESTPP"/>
    <tableColumn id="5" xr3:uid="{00000000-0010-0000-0500-000005000000}" name="PP">
      <calculatedColumnFormula>TableCHE[[#This Row],[ARIMAPP]]*$J$2+TableCHE[[#This Row],[LSTMPP]]*$J$3+TableCHE[[#This Row],[FORESTPP]]*$J$4</calculatedColumnFormula>
    </tableColumn>
    <tableColumn id="6" xr3:uid="{00000000-0010-0000-0500-000006000000}" name="AP"/>
    <tableColumn id="7" xr3:uid="{00000000-0010-0000-0500-000007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RY" displayName="TableCRY" ref="A1:G9" totalsRowShown="0">
  <autoFilter ref="A1:G9" xr:uid="{00000000-0009-0000-0100-000007000000}"/>
  <tableColumns count="7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FORESTPP"/>
    <tableColumn id="5" xr3:uid="{00000000-0010-0000-0600-000005000000}" name="PP">
      <calculatedColumnFormula>TableCRY[[#This Row],[ARIMAPP]]*$J$2+TableCRY[[#This Row],[LSTMPP]]*$J$3+TableCRY[[#This Row],[FORESTPP]]*$J$4</calculatedColumnFormula>
    </tableColumn>
    <tableColumn id="6" xr3:uid="{00000000-0010-0000-0600-000006000000}" name="AP"/>
    <tableColumn id="7" xr3:uid="{00000000-0010-0000-0600-000007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EVE" displayName="TableEVE" ref="A1:G8" totalsRowShown="0">
  <autoFilter ref="A1:G8" xr:uid="{00000000-0009-0000-0100-000008000000}"/>
  <tableColumns count="7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FORESTPP"/>
    <tableColumn id="5" xr3:uid="{00000000-0010-0000-0700-000005000000}" name="PP">
      <calculatedColumnFormula>TableEVE[[#This Row],[ARIMAPP]]*$J$2+TableEVE[[#This Row],[LSTMPP]]*$J$3+TableEVE[[#This Row],[FORESTPP]]*$J$4</calculatedColumnFormula>
    </tableColumn>
    <tableColumn id="6" xr3:uid="{00000000-0010-0000-0700-000006000000}" name="AP"/>
    <tableColumn id="7" xr3:uid="{00000000-0010-0000-0700-000007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FUL" displayName="TableFUL" ref="A1:G8" totalsRowShown="0">
  <autoFilter ref="A1:G8" xr:uid="{00000000-0009-0000-0100-000009000000}"/>
  <tableColumns count="7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FORESTPP"/>
    <tableColumn id="5" xr3:uid="{00000000-0010-0000-0800-000005000000}" name="PP">
      <calculatedColumnFormula>TableFUL[[#This Row],[ARIMAPP]]*$J$2+TableFUL[[#This Row],[LSTMPP]]*$J$3+TableFUL[[#This Row],[FORESTPP]]*$J$4</calculatedColumnFormula>
    </tableColumn>
    <tableColumn id="6" xr3:uid="{00000000-0010-0000-0800-000006000000}" name="AP"/>
    <tableColumn id="7" xr3:uid="{00000000-0010-0000-0800-000007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12</v>
      </c>
      <c r="B2">
        <v>37.728948300287172</v>
      </c>
      <c r="C2">
        <v>27.86490782613361</v>
      </c>
      <c r="D2">
        <v>91.639062691694278</v>
      </c>
      <c r="E2">
        <f>TableARS[[#This Row],[ARIMAPP]]*$J$2+TableARS[[#This Row],[LSTMPP]]*$J$3+TableARS[[#This Row],[FORESTPP]]*$J$4</f>
        <v>44.420776492814369</v>
      </c>
      <c r="F2">
        <v>51</v>
      </c>
      <c r="G2">
        <f>ABS(TableARS[[#This Row],[PP]]-TableARS[[#This Row],[AP]])</f>
        <v>6.5792235071856311</v>
      </c>
      <c r="I2" t="s">
        <v>0</v>
      </c>
      <c r="J2">
        <v>0</v>
      </c>
    </row>
    <row r="3" spans="1:10" x14ac:dyDescent="0.2">
      <c r="A3" t="s">
        <v>13</v>
      </c>
      <c r="B3">
        <v>40.320512820512782</v>
      </c>
      <c r="C3">
        <v>40.513149529268091</v>
      </c>
      <c r="D3">
        <v>79.087567180101175</v>
      </c>
      <c r="E3">
        <f>TableARS[[#This Row],[ARIMAPP]]*$J$2+TableARS[[#This Row],[LSTMPP]]*$J$3+TableARS[[#This Row],[FORESTPP]]*$J$4</f>
        <v>50.471880059536929</v>
      </c>
      <c r="F3">
        <v>27</v>
      </c>
      <c r="G3">
        <f>ABS(TableARS[[#This Row],[PP]]-TableARS[[#This Row],[AP]])</f>
        <v>23.471880059536929</v>
      </c>
      <c r="I3" t="s">
        <v>1</v>
      </c>
      <c r="J3">
        <v>0.73704296512</v>
      </c>
    </row>
    <row r="4" spans="1:10" x14ac:dyDescent="0.2">
      <c r="A4" t="s">
        <v>14</v>
      </c>
      <c r="B4">
        <v>33.999999999999993</v>
      </c>
      <c r="C4">
        <v>33.288671975499852</v>
      </c>
      <c r="D4">
        <v>39.275243828438413</v>
      </c>
      <c r="E4">
        <f>TableARS[[#This Row],[ARIMAPP]]*$J$2+TableARS[[#This Row],[LSTMPP]]*$J$3+TableARS[[#This Row],[FORESTPP]]*$J$4</f>
        <v>34.771168269873328</v>
      </c>
      <c r="F4">
        <v>34</v>
      </c>
      <c r="G4">
        <f>ABS(TableARS[[#This Row],[PP]]-TableARS[[#This Row],[AP]])</f>
        <v>0.77116826987332843</v>
      </c>
      <c r="I4" t="s">
        <v>2</v>
      </c>
      <c r="J4">
        <v>0.26062185169000002</v>
      </c>
    </row>
    <row r="5" spans="1:10" x14ac:dyDescent="0.2">
      <c r="A5" t="s">
        <v>15</v>
      </c>
      <c r="B5">
        <v>64.622706860340614</v>
      </c>
      <c r="C5">
        <v>38.482361201336133</v>
      </c>
      <c r="D5">
        <v>138.07692307692309</v>
      </c>
      <c r="E5">
        <f>TableARS[[#This Row],[ARIMAPP]]*$J$2+TableARS[[#This Row],[LSTMPP]]*$J$3+TableARS[[#This Row],[FORESTPP]]*$J$4</f>
        <v>64.349016972617022</v>
      </c>
      <c r="F5">
        <v>64</v>
      </c>
      <c r="G5">
        <f>ABS(TableARS[[#This Row],[PP]]-TableARS[[#This Row],[AP]])</f>
        <v>0.34901697261702225</v>
      </c>
    </row>
    <row r="6" spans="1:10" x14ac:dyDescent="0.2">
      <c r="A6" t="s">
        <v>16</v>
      </c>
      <c r="B6">
        <v>38.36954820471184</v>
      </c>
      <c r="C6">
        <v>40.191131839424912</v>
      </c>
      <c r="D6">
        <v>19.321682419869632</v>
      </c>
      <c r="E6">
        <f>TableARS[[#This Row],[ARIMAPP]]*$J$2+TableARS[[#This Row],[LSTMPP]]*$J$3+TableARS[[#This Row],[FORESTPP]]*$J$4</f>
        <v>34.658243632491121</v>
      </c>
      <c r="F6">
        <v>46</v>
      </c>
      <c r="G6">
        <f>ABS(TableARS[[#This Row],[PP]]-TableARS[[#This Row],[AP]])</f>
        <v>11.341756367508879</v>
      </c>
      <c r="I6" t="s">
        <v>3</v>
      </c>
      <c r="J6">
        <f>SUM(ABS(TableARS[[#This Row],[PP]]-TableARS[[#This Row],[AP]]))</f>
        <v>11.341756367508879</v>
      </c>
    </row>
    <row r="7" spans="1:10" x14ac:dyDescent="0.2">
      <c r="A7" t="s">
        <v>17</v>
      </c>
      <c r="B7">
        <v>36.669222197439211</v>
      </c>
      <c r="C7">
        <v>30.267520893129142</v>
      </c>
      <c r="D7">
        <v>120.8347619047619</v>
      </c>
      <c r="E7">
        <f>TableARS[[#This Row],[ARIMAPP]]*$J$2+TableARS[[#This Row],[LSTMPP]]*$J$3+TableARS[[#This Row],[FORESTPP]]*$J$4</f>
        <v>53.800642742042776</v>
      </c>
      <c r="F7">
        <v>74</v>
      </c>
      <c r="G7">
        <f>ABS(TableARS[[#This Row],[PP]]-TableARS[[#This Row],[AP]])</f>
        <v>20.199357257957224</v>
      </c>
      <c r="I7" t="s">
        <v>4</v>
      </c>
      <c r="J7">
        <f>AVERAGE(TableARS[DIFF])/10</f>
        <v>1.189458762896114</v>
      </c>
    </row>
    <row r="8" spans="1:10" x14ac:dyDescent="0.2">
      <c r="A8" t="s">
        <v>18</v>
      </c>
      <c r="B8">
        <v>54.361182867613707</v>
      </c>
      <c r="C8">
        <v>43.3557637657252</v>
      </c>
      <c r="D8">
        <v>117.6550759239739</v>
      </c>
      <c r="E8">
        <f>TableARS[[#This Row],[ARIMAPP]]*$J$2+TableARS[[#This Row],[LSTMPP]]*$J$3+TableARS[[#This Row],[FORESTPP]]*$J$4</f>
        <v>62.618544428965976</v>
      </c>
      <c r="F8">
        <v>51</v>
      </c>
      <c r="G8">
        <f>ABS(TableARS[[#This Row],[PP]]-TableARS[[#This Row],[AP]])</f>
        <v>11.618544428965976</v>
      </c>
    </row>
    <row r="9" spans="1:10" x14ac:dyDescent="0.2">
      <c r="A9" t="s">
        <v>19</v>
      </c>
      <c r="B9">
        <v>41.111111111111121</v>
      </c>
      <c r="C9">
        <v>40.733755203592359</v>
      </c>
      <c r="D9">
        <v>67.320000000000007</v>
      </c>
      <c r="E9">
        <f>TableARS[[#This Row],[ARIMAPP]]*$J$2+TableARS[[#This Row],[LSTMPP]]*$J$3+TableARS[[#This Row],[FORESTPP]]*$J$4</f>
        <v>47.567590771498743</v>
      </c>
      <c r="F9">
        <v>44</v>
      </c>
      <c r="G9">
        <f>ABS(TableARS[[#This Row],[PP]]-TableARS[[#This Row],[AP]])</f>
        <v>3.5675907714987432</v>
      </c>
    </row>
    <row r="10" spans="1:10" x14ac:dyDescent="0.2">
      <c r="A10" t="s">
        <v>20</v>
      </c>
      <c r="B10">
        <v>41.743480112768687</v>
      </c>
      <c r="C10">
        <v>40.364291846636732</v>
      </c>
      <c r="D10">
        <v>30.56558388597011</v>
      </c>
      <c r="E10">
        <f>TableARS[[#This Row],[ARIMAPP]]*$J$2+TableARS[[#This Row],[LSTMPP]]*$J$3+TableARS[[#This Row],[FORESTPP]]*$J$4</f>
        <v>37.716276417961737</v>
      </c>
      <c r="F10">
        <v>46</v>
      </c>
      <c r="G10">
        <f>ABS(TableARS[[#This Row],[PP]]-TableARS[[#This Row],[AP]])</f>
        <v>8.2837235820382631</v>
      </c>
    </row>
    <row r="11" spans="1:10" x14ac:dyDescent="0.2">
      <c r="A11" t="s">
        <v>21</v>
      </c>
      <c r="B11">
        <v>42.451457441015201</v>
      </c>
      <c r="C11">
        <v>37.489125373310678</v>
      </c>
      <c r="D11">
        <v>73.546009905127562</v>
      </c>
      <c r="E11">
        <f>TableARS[[#This Row],[ARIMAPP]]*$J$2+TableARS[[#This Row],[LSTMPP]]*$J$3+TableARS[[#This Row],[FORESTPP]]*$J$4</f>
        <v>46.798793410785755</v>
      </c>
      <c r="F11">
        <v>68</v>
      </c>
      <c r="G11">
        <f>ABS(TableARS[[#This Row],[PP]]-TableARS[[#This Row],[AP]])</f>
        <v>21.201206589214245</v>
      </c>
    </row>
    <row r="12" spans="1:10" x14ac:dyDescent="0.2">
      <c r="A12" t="s">
        <v>22</v>
      </c>
      <c r="B12">
        <v>48.448275862068982</v>
      </c>
      <c r="C12">
        <v>39.499931871411817</v>
      </c>
      <c r="D12">
        <v>69.412499999999994</v>
      </c>
      <c r="E12">
        <f>TableARS[[#This Row],[ARIMAPP]]*$J$2+TableARS[[#This Row],[LSTMPP]]*$J$3+TableARS[[#This Row],[FORESTPP]]*$J$4</f>
        <v>47.203561188975485</v>
      </c>
      <c r="F12">
        <v>21</v>
      </c>
      <c r="G12">
        <f>ABS(TableARS[[#This Row],[PP]]-TableARS[[#This Row],[AP]])</f>
        <v>26.203561188975485</v>
      </c>
    </row>
    <row r="13" spans="1:10" x14ac:dyDescent="0.2">
      <c r="A13" t="s">
        <v>23</v>
      </c>
      <c r="B13">
        <v>39.464140718967599</v>
      </c>
      <c r="C13">
        <v>32.179609382462907</v>
      </c>
      <c r="D13">
        <v>31.210823956003519</v>
      </c>
      <c r="E13">
        <f>TableARS[[#This Row],[ARIMAPP]]*$J$2+TableARS[[#This Row],[LSTMPP]]*$J$3+TableARS[[#This Row],[FORESTPP]]*$J$4</f>
        <v>31.851977447838081</v>
      </c>
      <c r="F13">
        <v>41</v>
      </c>
      <c r="G13">
        <f>ABS(TableARS[[#This Row],[PP]]-TableARS[[#This Row],[AP]])</f>
        <v>9.148022552161919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89</v>
      </c>
      <c r="B2">
        <v>44.735438003282027</v>
      </c>
      <c r="C2">
        <v>41.815376632594841</v>
      </c>
      <c r="D2">
        <v>22.514820170083329</v>
      </c>
      <c r="E2">
        <f>TableLIV[[#This Row],[ARIMAPP]]*$J$2+TableLIV[[#This Row],[LSTMPP]]*$J$3+TableLIV[[#This Row],[FORESTPP]]*$J$4</f>
        <v>27.446290855228401</v>
      </c>
      <c r="F2">
        <v>28</v>
      </c>
      <c r="G2">
        <f>ABS(TableLIV[[#This Row],[PP]]-TableLIV[[#This Row],[AP]])</f>
        <v>0.55370914477159872</v>
      </c>
      <c r="I2" t="s">
        <v>0</v>
      </c>
      <c r="J2">
        <v>0.42069227530999997</v>
      </c>
    </row>
    <row r="3" spans="1:10" x14ac:dyDescent="0.2">
      <c r="A3" t="s">
        <v>90</v>
      </c>
      <c r="B3">
        <v>69.585492227979344</v>
      </c>
      <c r="C3">
        <v>67.925899217015825</v>
      </c>
      <c r="D3">
        <v>76.376623047161573</v>
      </c>
      <c r="E3">
        <f>TableLIV[[#This Row],[ARIMAPP]]*$J$2+TableLIV[[#This Row],[LSTMPP]]*$J$3+TableLIV[[#This Row],[FORESTPP]]*$J$4</f>
        <v>58.537389709378544</v>
      </c>
      <c r="F3">
        <v>43</v>
      </c>
      <c r="G3">
        <f>ABS(TableLIV[[#This Row],[PP]]-TableLIV[[#This Row],[AP]])</f>
        <v>15.537389709378544</v>
      </c>
      <c r="I3" t="s">
        <v>1</v>
      </c>
      <c r="J3">
        <v>0</v>
      </c>
    </row>
    <row r="4" spans="1:10" x14ac:dyDescent="0.2">
      <c r="A4" t="s">
        <v>91</v>
      </c>
      <c r="B4">
        <v>20.933383835065349</v>
      </c>
      <c r="C4">
        <v>15.846500089954731</v>
      </c>
      <c r="D4">
        <v>50.328055555555558</v>
      </c>
      <c r="E4">
        <f>TableLIV[[#This Row],[ARIMAPP]]*$J$2+TableLIV[[#This Row],[LSTMPP]]*$J$3+TableLIV[[#This Row],[FORESTPP]]*$J$4</f>
        <v>28.089448748392449</v>
      </c>
      <c r="F4">
        <v>34</v>
      </c>
      <c r="G4">
        <f>ABS(TableLIV[[#This Row],[PP]]-TableLIV[[#This Row],[AP]])</f>
        <v>5.9105512516075507</v>
      </c>
      <c r="I4" t="s">
        <v>2</v>
      </c>
      <c r="J4">
        <v>0.38314486144999998</v>
      </c>
    </row>
    <row r="5" spans="1:10" x14ac:dyDescent="0.2">
      <c r="A5" t="s">
        <v>92</v>
      </c>
      <c r="B5">
        <v>28.999999999999989</v>
      </c>
      <c r="C5">
        <v>27.791767334543579</v>
      </c>
      <c r="D5">
        <v>66.194028094234199</v>
      </c>
      <c r="E5">
        <f>TableLIV[[#This Row],[ARIMAPP]]*$J$2+TableLIV[[#This Row],[LSTMPP]]*$J$3+TableLIV[[#This Row],[FORESTPP]]*$J$4</f>
        <v>37.561977706972762</v>
      </c>
      <c r="F5">
        <v>44</v>
      </c>
      <c r="G5">
        <f>ABS(TableLIV[[#This Row],[PP]]-TableLIV[[#This Row],[AP]])</f>
        <v>6.4380222930272382</v>
      </c>
    </row>
    <row r="6" spans="1:10" x14ac:dyDescent="0.2">
      <c r="A6" t="s">
        <v>93</v>
      </c>
      <c r="B6">
        <v>36.078431372549012</v>
      </c>
      <c r="C6">
        <v>32.307813880402243</v>
      </c>
      <c r="D6">
        <v>35.819891891918907</v>
      </c>
      <c r="E6">
        <f>TableLIV[[#This Row],[ARIMAPP]]*$J$2+TableLIV[[#This Row],[LSTMPP]]*$J$3+TableLIV[[#This Row],[FORESTPP]]*$J$4</f>
        <v>28.902124899816577</v>
      </c>
      <c r="F6">
        <v>40</v>
      </c>
      <c r="G6">
        <f>ABS(TableLIV[[#This Row],[PP]]-TableLIV[[#This Row],[AP]])</f>
        <v>11.097875100183423</v>
      </c>
      <c r="I6" t="s">
        <v>3</v>
      </c>
      <c r="J6">
        <f>SUM(ABS(TableLIV[[#This Row],[PP]]-TableLIV[[#This Row],[AP]]))</f>
        <v>11.097875100183423</v>
      </c>
    </row>
    <row r="7" spans="1:10" x14ac:dyDescent="0.2">
      <c r="A7" t="s">
        <v>94</v>
      </c>
      <c r="B7">
        <v>39.230769230769234</v>
      </c>
      <c r="C7">
        <v>37.844979433686021</v>
      </c>
      <c r="D7">
        <v>38.467419843409878</v>
      </c>
      <c r="E7">
        <f>TableLIV[[#This Row],[ARIMAPP]]*$J$2+TableLIV[[#This Row],[LSTMPP]]*$J$3+TableLIV[[#This Row],[FORESTPP]]*$J$4</f>
        <v>31.242675816096103</v>
      </c>
      <c r="F7">
        <v>25</v>
      </c>
      <c r="G7">
        <f>ABS(TableLIV[[#This Row],[PP]]-TableLIV[[#This Row],[AP]])</f>
        <v>6.2426758160961029</v>
      </c>
      <c r="I7" t="s">
        <v>4</v>
      </c>
      <c r="J7">
        <f>AVERAGE(TableLIV[DIFF])/10</f>
        <v>0.91840038758791742</v>
      </c>
    </row>
    <row r="8" spans="1:10" x14ac:dyDescent="0.2">
      <c r="A8" t="s">
        <v>95</v>
      </c>
      <c r="B8">
        <v>31.904761904761891</v>
      </c>
      <c r="C8">
        <v>27.56751309698577</v>
      </c>
      <c r="D8">
        <v>15.84285714285714</v>
      </c>
      <c r="E8">
        <f>TableLIV[[#This Row],[ARIMAPP]]*$J$2+TableLIV[[#This Row],[LSTMPP]]*$J$3+TableLIV[[#This Row],[FORESTPP]]*$J$4</f>
        <v>19.492196183910231</v>
      </c>
      <c r="F8">
        <v>38</v>
      </c>
      <c r="G8">
        <f>ABS(TableLIV[[#This Row],[PP]]-TableLIV[[#This Row],[AP]])</f>
        <v>18.507803816089769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2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96</v>
      </c>
      <c r="B2">
        <v>38.795811518324562</v>
      </c>
      <c r="C2">
        <v>39.602632003732452</v>
      </c>
      <c r="D2">
        <v>40.287332357176602</v>
      </c>
      <c r="E2">
        <f>TableMCI[[#This Row],[ARIMAPP]]*$J$2+TableMCI[[#This Row],[LSTMPP]]*$J$3+TableMCI[[#This Row],[FORESTPP]]*$J$4</f>
        <v>42.973005291829196</v>
      </c>
      <c r="F2">
        <v>43</v>
      </c>
      <c r="G2">
        <f>ABS(TableMCI[[#This Row],[PP]]-TableMCI[[#This Row],[AP]])</f>
        <v>2.699470817080396E-2</v>
      </c>
      <c r="I2" t="s">
        <v>0</v>
      </c>
      <c r="J2">
        <v>0.84500921112000005</v>
      </c>
    </row>
    <row r="3" spans="1:10" x14ac:dyDescent="0.2">
      <c r="A3" t="s">
        <v>97</v>
      </c>
      <c r="B3">
        <v>37.832167832167841</v>
      </c>
      <c r="C3">
        <v>41.394083225223717</v>
      </c>
      <c r="D3">
        <v>30.282534285209088</v>
      </c>
      <c r="E3">
        <f>TableMCI[[#This Row],[ARIMAPP]]*$J$2+TableMCI[[#This Row],[LSTMPP]]*$J$3+TableMCI[[#This Row],[FORESTPP]]*$J$4</f>
        <v>39.628126385760616</v>
      </c>
      <c r="F3">
        <v>45</v>
      </c>
      <c r="G3">
        <f>ABS(TableMCI[[#This Row],[PP]]-TableMCI[[#This Row],[AP]])</f>
        <v>5.3718736142393837</v>
      </c>
      <c r="I3" t="s">
        <v>1</v>
      </c>
      <c r="J3">
        <v>0</v>
      </c>
    </row>
    <row r="4" spans="1:10" x14ac:dyDescent="0.2">
      <c r="A4" t="s">
        <v>98</v>
      </c>
      <c r="B4">
        <v>32.985074626865661</v>
      </c>
      <c r="C4">
        <v>28.089237478891629</v>
      </c>
      <c r="D4">
        <v>46.534295126050942</v>
      </c>
      <c r="E4">
        <f>TableMCI[[#This Row],[ARIMAPP]]*$J$2+TableMCI[[#This Row],[LSTMPP]]*$J$3+TableMCI[[#This Row],[FORESTPP]]*$J$4</f>
        <v>39.642971803181517</v>
      </c>
      <c r="F4">
        <v>29</v>
      </c>
      <c r="G4">
        <f>ABS(TableMCI[[#This Row],[PP]]-TableMCI[[#This Row],[AP]])</f>
        <v>10.642971803181517</v>
      </c>
      <c r="I4" t="s">
        <v>2</v>
      </c>
      <c r="J4">
        <v>0.25293775014999997</v>
      </c>
    </row>
    <row r="5" spans="1:10" x14ac:dyDescent="0.2">
      <c r="A5" t="s">
        <v>99</v>
      </c>
      <c r="B5">
        <v>59.678891801425898</v>
      </c>
      <c r="C5">
        <v>38.379034070588808</v>
      </c>
      <c r="D5">
        <v>128.52944084342889</v>
      </c>
      <c r="E5">
        <f>TableMCI[[#This Row],[ARIMAPP]]*$J$2+TableMCI[[#This Row],[LSTMPP]]*$J$3+TableMCI[[#This Row],[FORESTPP]]*$J$4</f>
        <v>82.939160876613158</v>
      </c>
      <c r="F5">
        <v>92</v>
      </c>
      <c r="G5">
        <f>ABS(TableMCI[[#This Row],[PP]]-TableMCI[[#This Row],[AP]])</f>
        <v>9.0608391233868417</v>
      </c>
    </row>
    <row r="6" spans="1:10" x14ac:dyDescent="0.2">
      <c r="A6" t="s">
        <v>100</v>
      </c>
      <c r="B6">
        <v>79.200000000000017</v>
      </c>
      <c r="C6">
        <v>75.766944238290435</v>
      </c>
      <c r="D6">
        <v>73.555892203035057</v>
      </c>
      <c r="E6">
        <f>TableMCI[[#This Row],[ARIMAPP]]*$J$2+TableMCI[[#This Row],[LSTMPP]]*$J$3+TableMCI[[#This Row],[FORESTPP]]*$J$4</f>
        <v>85.529791404815626</v>
      </c>
      <c r="F6">
        <v>74</v>
      </c>
      <c r="G6">
        <f>ABS(TableMCI[[#This Row],[PP]]-TableMCI[[#This Row],[AP]])</f>
        <v>11.529791404815626</v>
      </c>
      <c r="I6" t="s">
        <v>3</v>
      </c>
      <c r="J6">
        <f>SUM(ABS(TableMCI[[#This Row],[PP]]-TableMCI[[#This Row],[AP]]))</f>
        <v>11.529791404815626</v>
      </c>
    </row>
    <row r="7" spans="1:10" x14ac:dyDescent="0.2">
      <c r="A7" t="s">
        <v>101</v>
      </c>
      <c r="B7">
        <v>38.076923076923073</v>
      </c>
      <c r="C7">
        <v>49.528302511447627</v>
      </c>
      <c r="D7">
        <v>24.6875</v>
      </c>
      <c r="E7">
        <f>TableMCI[[#This Row],[ARIMAPP]]*$J$2+TableMCI[[#This Row],[LSTMPP]]*$J$3+TableMCI[[#This Row],[FORESTPP]]*$J$4</f>
        <v>38.419751437935815</v>
      </c>
      <c r="F7">
        <v>33</v>
      </c>
      <c r="G7">
        <f>ABS(TableMCI[[#This Row],[PP]]-TableMCI[[#This Row],[AP]])</f>
        <v>5.4197514379358154</v>
      </c>
      <c r="I7" t="s">
        <v>4</v>
      </c>
      <c r="J7">
        <f>AVERAGE(TableMCI[DIFF])/10</f>
        <v>0.94475067813638058</v>
      </c>
    </row>
    <row r="8" spans="1:10" x14ac:dyDescent="0.2">
      <c r="A8" t="s">
        <v>102</v>
      </c>
      <c r="B8">
        <v>38.490566037735839</v>
      </c>
      <c r="C8">
        <v>36.403834891371922</v>
      </c>
      <c r="D8">
        <v>44.66639625687732</v>
      </c>
      <c r="E8">
        <f>TableMCI[[#This Row],[ARIMAPP]]*$J$2+TableMCI[[#This Row],[LSTMPP]]*$J$3+TableMCI[[#This Row],[FORESTPP]]*$J$4</f>
        <v>43.822700619632357</v>
      </c>
      <c r="F8">
        <v>30</v>
      </c>
      <c r="G8">
        <f>ABS(TableMCI[[#This Row],[PP]]-TableMCI[[#This Row],[AP]])</f>
        <v>13.822700619632357</v>
      </c>
    </row>
    <row r="9" spans="1:10" x14ac:dyDescent="0.2">
      <c r="A9" t="s">
        <v>103</v>
      </c>
      <c r="B9">
        <v>27.85714285714284</v>
      </c>
      <c r="C9">
        <v>23.27605471071524</v>
      </c>
      <c r="D9">
        <v>36.922177526177521</v>
      </c>
      <c r="E9">
        <f>TableMCI[[#This Row],[ARIMAPP]]*$J$2+TableMCI[[#This Row],[LSTMPP]]*$J$3+TableMCI[[#This Row],[FORESTPP]]*$J$4</f>
        <v>32.87855482388165</v>
      </c>
      <c r="F9">
        <v>41</v>
      </c>
      <c r="G9">
        <f>ABS(TableMCI[[#This Row],[PP]]-TableMCI[[#This Row],[AP]])</f>
        <v>8.1214451761183497</v>
      </c>
    </row>
    <row r="10" spans="1:10" x14ac:dyDescent="0.2">
      <c r="A10" t="s">
        <v>104</v>
      </c>
      <c r="B10">
        <v>32.95454545454546</v>
      </c>
      <c r="C10">
        <v>31.087242806480941</v>
      </c>
      <c r="D10">
        <v>43.243262672743079</v>
      </c>
      <c r="E10">
        <f>TableMCI[[#This Row],[ARIMAPP]]*$J$2+TableMCI[[#This Row],[LSTMPP]]*$J$3+TableMCI[[#This Row],[FORESTPP]]*$J$4</f>
        <v>38.784748026952755</v>
      </c>
      <c r="F10">
        <v>37</v>
      </c>
      <c r="G10">
        <f>ABS(TableMCI[[#This Row],[PP]]-TableMCI[[#This Row],[AP]])</f>
        <v>1.7847480269527551</v>
      </c>
    </row>
    <row r="11" spans="1:10" x14ac:dyDescent="0.2">
      <c r="A11" t="s">
        <v>105</v>
      </c>
      <c r="B11">
        <v>27.697049018089182</v>
      </c>
      <c r="C11">
        <v>24.086581462575609</v>
      </c>
      <c r="D11">
        <v>14.690451001989461</v>
      </c>
      <c r="E11">
        <f>TableMCI[[#This Row],[ARIMAPP]]*$J$2+TableMCI[[#This Row],[LSTMPP]]*$J$3+TableMCI[[#This Row],[FORESTPP]]*$J$4</f>
        <v>27.120031166259537</v>
      </c>
      <c r="F11">
        <v>60</v>
      </c>
      <c r="G11">
        <f>ABS(TableMCI[[#This Row],[PP]]-TableMCI[[#This Row],[AP]])</f>
        <v>32.879968833740463</v>
      </c>
    </row>
    <row r="12" spans="1:10" x14ac:dyDescent="0.2">
      <c r="A12" t="s">
        <v>106</v>
      </c>
      <c r="B12">
        <v>34.117647058823522</v>
      </c>
      <c r="C12">
        <v>23.323141897595569</v>
      </c>
      <c r="D12">
        <v>11.5</v>
      </c>
      <c r="E12">
        <f>TableMCI[[#This Row],[ARIMAPP]]*$J$2+TableMCI[[#This Row],[LSTMPP]]*$J$3+TableMCI[[#This Row],[FORESTPP]]*$J$4</f>
        <v>31.738510153172054</v>
      </c>
      <c r="F12">
        <v>37</v>
      </c>
      <c r="G12">
        <f>ABS(TableMCI[[#This Row],[PP]]-TableMCI[[#This Row],[AP]])</f>
        <v>5.2614898468279456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107</v>
      </c>
      <c r="B2">
        <v>45.174418604651187</v>
      </c>
      <c r="C2">
        <v>41.237853718385423</v>
      </c>
      <c r="D2">
        <v>24.018859715930159</v>
      </c>
      <c r="E2">
        <f>TableMUN[[#This Row],[ARIMAPP]]*$J$2+TableMUN[[#This Row],[LSTMPP]]*$J$3+TableMUN[[#This Row],[FORESTPP]]*$J$4</f>
        <v>42.420161961082009</v>
      </c>
      <c r="F2">
        <v>29</v>
      </c>
      <c r="G2">
        <f>ABS(TableMUN[[#This Row],[PP]]-TableMUN[[#This Row],[AP]])</f>
        <v>13.420161961082009</v>
      </c>
      <c r="I2" t="s">
        <v>0</v>
      </c>
      <c r="J2">
        <v>0</v>
      </c>
    </row>
    <row r="3" spans="1:10" x14ac:dyDescent="0.2">
      <c r="A3" t="s">
        <v>108</v>
      </c>
      <c r="B3">
        <v>40.350877192982473</v>
      </c>
      <c r="C3">
        <v>55.483869962988443</v>
      </c>
      <c r="D3">
        <v>34.309848595848599</v>
      </c>
      <c r="E3">
        <f>TableMUN[[#This Row],[ARIMAPP]]*$J$2+TableMUN[[#This Row],[LSTMPP]]*$J$3+TableMUN[[#This Row],[FORESTPP]]*$J$4</f>
        <v>57.188076842252769</v>
      </c>
      <c r="F3">
        <v>77</v>
      </c>
      <c r="G3">
        <f>ABS(TableMUN[[#This Row],[PP]]-TableMUN[[#This Row],[AP]])</f>
        <v>19.811923157747231</v>
      </c>
      <c r="I3" t="s">
        <v>1</v>
      </c>
      <c r="J3">
        <v>0.99551988156000004</v>
      </c>
    </row>
    <row r="4" spans="1:10" x14ac:dyDescent="0.2">
      <c r="A4" t="s">
        <v>109</v>
      </c>
      <c r="B4">
        <v>34.489795918367349</v>
      </c>
      <c r="C4">
        <v>35.389483326378453</v>
      </c>
      <c r="D4">
        <v>30.000987628842591</v>
      </c>
      <c r="E4">
        <f>TableMUN[[#This Row],[ARIMAPP]]*$J$2+TableMUN[[#This Row],[LSTMPP]]*$J$3+TableMUN[[#This Row],[FORESTPP]]*$J$4</f>
        <v>36.938472075182204</v>
      </c>
      <c r="F4">
        <v>32</v>
      </c>
      <c r="G4">
        <f>ABS(TableMUN[[#This Row],[PP]]-TableMUN[[#This Row],[AP]])</f>
        <v>4.9384720751822044</v>
      </c>
      <c r="I4" t="s">
        <v>2</v>
      </c>
      <c r="J4">
        <v>5.6916053789999997E-2</v>
      </c>
    </row>
    <row r="5" spans="1:10" x14ac:dyDescent="0.2">
      <c r="A5" t="s">
        <v>110</v>
      </c>
      <c r="B5">
        <v>27.19365951079633</v>
      </c>
      <c r="C5">
        <v>26.40088839118491</v>
      </c>
      <c r="D5">
        <v>69.221052631578956</v>
      </c>
      <c r="E5">
        <f>TableMUN[[#This Row],[ARIMAPP]]*$J$2+TableMUN[[#This Row],[LSTMPP]]*$J$3+TableMUN[[#This Row],[FORESTPP]]*$J$4</f>
        <v>30.222398439250551</v>
      </c>
      <c r="F5">
        <v>44</v>
      </c>
      <c r="G5">
        <f>ABS(TableMUN[[#This Row],[PP]]-TableMUN[[#This Row],[AP]])</f>
        <v>13.777601560749449</v>
      </c>
    </row>
    <row r="6" spans="1:10" x14ac:dyDescent="0.2">
      <c r="A6" t="s">
        <v>111</v>
      </c>
      <c r="B6">
        <v>34.814814814814817</v>
      </c>
      <c r="C6">
        <v>29.4090829911752</v>
      </c>
      <c r="D6">
        <v>32.968617604617599</v>
      </c>
      <c r="E6">
        <f>TableMUN[[#This Row],[ARIMAPP]]*$J$2+TableMUN[[#This Row],[LSTMPP]]*$J$3+TableMUN[[#This Row],[FORESTPP]]*$J$4</f>
        <v>31.153770429129302</v>
      </c>
      <c r="F6">
        <v>36</v>
      </c>
      <c r="G6">
        <f>ABS(TableMUN[[#This Row],[PP]]-TableMUN[[#This Row],[AP]])</f>
        <v>4.8462295708706975</v>
      </c>
      <c r="I6" t="s">
        <v>3</v>
      </c>
      <c r="J6">
        <f>SUM(ABS(TableMUN[[#This Row],[PP]]-TableMUN[[#This Row],[AP]]))</f>
        <v>4.8462295708706975</v>
      </c>
    </row>
    <row r="7" spans="1:10" x14ac:dyDescent="0.2">
      <c r="A7" t="s">
        <v>112</v>
      </c>
      <c r="B7">
        <v>43.06971847559371</v>
      </c>
      <c r="C7">
        <v>56.0821785033026</v>
      </c>
      <c r="D7">
        <v>84.554453262786538</v>
      </c>
      <c r="E7">
        <f>TableMUN[[#This Row],[ARIMAPP]]*$J$2+TableMUN[[#This Row],[LSTMPP]]*$J$3+TableMUN[[#This Row],[FORESTPP]]*$J$4</f>
        <v>60.643429511323383</v>
      </c>
      <c r="F7">
        <v>45</v>
      </c>
      <c r="G7">
        <f>ABS(TableMUN[[#This Row],[PP]]-TableMUN[[#This Row],[AP]])</f>
        <v>15.643429511323383</v>
      </c>
      <c r="I7" t="s">
        <v>4</v>
      </c>
      <c r="J7">
        <f>AVERAGE(TableMUN[DIFF])/10</f>
        <v>1.2072969639492497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113</v>
      </c>
      <c r="B2">
        <v>45.181712867661957</v>
      </c>
      <c r="C2">
        <v>33.539045000842691</v>
      </c>
      <c r="D2">
        <v>25.43100261816636</v>
      </c>
      <c r="E2">
        <f>TableNEW[[#This Row],[ARIMAPP]]*$J$2+TableNEW[[#This Row],[LSTMPP]]*$J$3+TableNEW[[#This Row],[FORESTPP]]*$J$4</f>
        <v>35.234836070899632</v>
      </c>
      <c r="F2">
        <v>26</v>
      </c>
      <c r="G2">
        <f>ABS(TableNEW[[#This Row],[PP]]-TableNEW[[#This Row],[AP]])</f>
        <v>9.2348360708996324</v>
      </c>
      <c r="I2" t="s">
        <v>0</v>
      </c>
      <c r="J2">
        <v>0</v>
      </c>
    </row>
    <row r="3" spans="1:10" x14ac:dyDescent="0.2">
      <c r="A3" t="s">
        <v>114</v>
      </c>
      <c r="B3">
        <v>31.215782285186851</v>
      </c>
      <c r="C3">
        <v>34.959013472465578</v>
      </c>
      <c r="D3">
        <v>51.701346335416687</v>
      </c>
      <c r="E3">
        <f>TableNEW[[#This Row],[ARIMAPP]]*$J$2+TableNEW[[#This Row],[LSTMPP]]*$J$3+TableNEW[[#This Row],[FORESTPP]]*$J$4</f>
        <v>53.160239992329103</v>
      </c>
      <c r="F3">
        <v>39</v>
      </c>
      <c r="G3">
        <f>ABS(TableNEW[[#This Row],[PP]]-TableNEW[[#This Row],[AP]])</f>
        <v>14.160239992329103</v>
      </c>
      <c r="I3" t="s">
        <v>1</v>
      </c>
      <c r="J3">
        <v>0.55596020481999997</v>
      </c>
    </row>
    <row r="4" spans="1:10" x14ac:dyDescent="0.2">
      <c r="A4" t="s">
        <v>115</v>
      </c>
      <c r="B4">
        <v>29.681768725740021</v>
      </c>
      <c r="C4">
        <v>22.85070809697314</v>
      </c>
      <c r="D4">
        <v>26.067203972498088</v>
      </c>
      <c r="E4">
        <f>TableNEW[[#This Row],[ARIMAPP]]*$J$2+TableNEW[[#This Row],[LSTMPP]]*$J$3+TableNEW[[#This Row],[FORESTPP]]*$J$4</f>
        <v>29.707535705404624</v>
      </c>
      <c r="F4">
        <v>26</v>
      </c>
      <c r="G4">
        <f>ABS(TableNEW[[#This Row],[PP]]-TableNEW[[#This Row],[AP]])</f>
        <v>3.7075357054046236</v>
      </c>
      <c r="I4" t="s">
        <v>2</v>
      </c>
      <c r="J4">
        <v>0.65229287227999999</v>
      </c>
    </row>
    <row r="5" spans="1:10" x14ac:dyDescent="0.2">
      <c r="A5" t="s">
        <v>116</v>
      </c>
      <c r="B5">
        <v>31.6245159390628</v>
      </c>
      <c r="C5">
        <v>31.26553306775758</v>
      </c>
      <c r="D5">
        <v>42.852056409572327</v>
      </c>
      <c r="E5">
        <f>TableNEW[[#This Row],[ARIMAPP]]*$J$2+TableNEW[[#This Row],[LSTMPP]]*$J$3+TableNEW[[#This Row],[FORESTPP]]*$J$4</f>
        <v>45.334483126661503</v>
      </c>
      <c r="F5">
        <v>22</v>
      </c>
      <c r="G5">
        <f>ABS(TableNEW[[#This Row],[PP]]-TableNEW[[#This Row],[AP]])</f>
        <v>23.334483126661503</v>
      </c>
    </row>
    <row r="6" spans="1:10" x14ac:dyDescent="0.2">
      <c r="A6" t="s">
        <v>117</v>
      </c>
      <c r="B6">
        <v>44.741289250678619</v>
      </c>
      <c r="C6">
        <v>23.338040444251899</v>
      </c>
      <c r="D6">
        <v>65.361107209361521</v>
      </c>
      <c r="E6">
        <f>TableNEW[[#This Row],[ARIMAPP]]*$J$2+TableNEW[[#This Row],[LSTMPP]]*$J$3+TableNEW[[#This Row],[FORESTPP]]*$J$4</f>
        <v>55.609606102479169</v>
      </c>
      <c r="F6">
        <v>62</v>
      </c>
      <c r="G6">
        <f>ABS(TableNEW[[#This Row],[PP]]-TableNEW[[#This Row],[AP]])</f>
        <v>6.3903938975208305</v>
      </c>
      <c r="I6" t="s">
        <v>3</v>
      </c>
      <c r="J6">
        <f>SUM(ABS(TableNEW[[#This Row],[PP]]-TableNEW[[#This Row],[AP]]))</f>
        <v>6.3903938975208305</v>
      </c>
    </row>
    <row r="7" spans="1:10" x14ac:dyDescent="0.2">
      <c r="A7" t="s">
        <v>118</v>
      </c>
      <c r="B7">
        <v>34.571428571428562</v>
      </c>
      <c r="C7">
        <v>31.714476306375261</v>
      </c>
      <c r="D7">
        <v>48.427216724931682</v>
      </c>
      <c r="E7">
        <f>TableNEW[[#This Row],[ARIMAPP]]*$J$2+TableNEW[[#This Row],[LSTMPP]]*$J$3+TableNEW[[#This Row],[FORESTPP]]*$J$4</f>
        <v>49.220715037083167</v>
      </c>
      <c r="F7">
        <v>63</v>
      </c>
      <c r="G7">
        <f>ABS(TableNEW[[#This Row],[PP]]-TableNEW[[#This Row],[AP]])</f>
        <v>13.779284962916833</v>
      </c>
      <c r="I7" t="s">
        <v>4</v>
      </c>
      <c r="J7">
        <f>AVERAGE(TableNEW[DIFF])/10</f>
        <v>1.2917995380569638</v>
      </c>
    </row>
    <row r="8" spans="1:10" x14ac:dyDescent="0.2">
      <c r="A8" t="s">
        <v>119</v>
      </c>
      <c r="B8">
        <v>46.666666666666693</v>
      </c>
      <c r="C8">
        <v>52.11604939814476</v>
      </c>
      <c r="D8">
        <v>49.374074074074073</v>
      </c>
      <c r="E8">
        <f>TableNEW[[#This Row],[ARIMAPP]]*$J$2+TableNEW[[#This Row],[LSTMPP]]*$J$3+TableNEW[[#This Row],[FORESTPP]]*$J$4</f>
        <v>61.180806091745055</v>
      </c>
      <c r="F8">
        <v>81</v>
      </c>
      <c r="G8">
        <f>ABS(TableNEW[[#This Row],[PP]]-TableNEW[[#This Row],[AP]])</f>
        <v>19.819193908254945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120</v>
      </c>
      <c r="B2">
        <v>34.294345711238797</v>
      </c>
      <c r="C2">
        <v>34.803056152118053</v>
      </c>
      <c r="D2">
        <v>35.14714273868654</v>
      </c>
      <c r="E2">
        <f>TableNFO[[#This Row],[ARIMAPP]]*$J$2+TableNFO[[#This Row],[LSTMPP]]*$J$3+TableNFO[[#This Row],[FORESTPP]]*$J$4</f>
        <v>44.461231976501693</v>
      </c>
      <c r="F2">
        <v>54</v>
      </c>
      <c r="G2">
        <f>ABS(TableNFO[[#This Row],[PP]]-TableNFO[[#This Row],[AP]])</f>
        <v>9.5387680234983065</v>
      </c>
      <c r="I2" t="s">
        <v>0</v>
      </c>
      <c r="J2">
        <v>0</v>
      </c>
    </row>
    <row r="3" spans="1:10" x14ac:dyDescent="0.2">
      <c r="A3" t="s">
        <v>121</v>
      </c>
      <c r="B3">
        <v>33.016240983256743</v>
      </c>
      <c r="C3">
        <v>23.15755722864629</v>
      </c>
      <c r="D3">
        <v>76.147222222222211</v>
      </c>
      <c r="E3">
        <f>TableNFO[[#This Row],[ARIMAPP]]*$J$2+TableNFO[[#This Row],[LSTMPP]]*$J$3+TableNFO[[#This Row],[FORESTPP]]*$J$4</f>
        <v>57.56835752667083</v>
      </c>
      <c r="F3">
        <v>56</v>
      </c>
      <c r="G3">
        <f>ABS(TableNFO[[#This Row],[PP]]-TableNFO[[#This Row],[AP]])</f>
        <v>1.5683575266708303</v>
      </c>
      <c r="I3" t="s">
        <v>1</v>
      </c>
      <c r="J3">
        <v>0.74186403908999998</v>
      </c>
    </row>
    <row r="4" spans="1:10" x14ac:dyDescent="0.2">
      <c r="A4" t="s">
        <v>122</v>
      </c>
      <c r="B4">
        <v>28.255813953488399</v>
      </c>
      <c r="C4">
        <v>24.71346939835605</v>
      </c>
      <c r="D4">
        <v>42.003547732753738</v>
      </c>
      <c r="E4">
        <f>TableNFO[[#This Row],[ARIMAPP]]*$J$2+TableNFO[[#This Row],[LSTMPP]]*$J$3+TableNFO[[#This Row],[FORESTPP]]*$J$4</f>
        <v>40.612777680798466</v>
      </c>
      <c r="F4">
        <v>42</v>
      </c>
      <c r="G4">
        <f>ABS(TableNFO[[#This Row],[PP]]-TableNFO[[#This Row],[AP]])</f>
        <v>1.387222319201534</v>
      </c>
      <c r="I4" t="s">
        <v>2</v>
      </c>
      <c r="J4">
        <v>0.53040146977000002</v>
      </c>
    </row>
    <row r="5" spans="1:10" x14ac:dyDescent="0.2">
      <c r="A5" t="s">
        <v>123</v>
      </c>
      <c r="B5">
        <v>28.52459016393443</v>
      </c>
      <c r="C5">
        <v>25.790305344853081</v>
      </c>
      <c r="D5">
        <v>23.581045716113241</v>
      </c>
      <c r="E5">
        <f>TableNFO[[#This Row],[ARIMAPP]]*$J$2+TableNFO[[#This Row],[LSTMPP]]*$J$3+TableNFO[[#This Row],[FORESTPP]]*$J$4</f>
        <v>31.640321399037148</v>
      </c>
      <c r="F5">
        <v>23</v>
      </c>
      <c r="G5">
        <f>ABS(TableNFO[[#This Row],[PP]]-TableNFO[[#This Row],[AP]])</f>
        <v>8.6403213990371484</v>
      </c>
    </row>
    <row r="6" spans="1:10" x14ac:dyDescent="0.2">
      <c r="A6" t="s">
        <v>124</v>
      </c>
      <c r="B6">
        <v>23.950890465240189</v>
      </c>
      <c r="C6">
        <v>30.714503072948158</v>
      </c>
      <c r="D6">
        <v>20.175558344549941</v>
      </c>
      <c r="E6">
        <f>TableNFO[[#This Row],[ARIMAPP]]*$J$2+TableNFO[[#This Row],[LSTMPP]]*$J$3+TableNFO[[#This Row],[FORESTPP]]*$J$4</f>
        <v>33.487131107719215</v>
      </c>
      <c r="F6">
        <v>30</v>
      </c>
      <c r="G6">
        <f>ABS(TableNFO[[#This Row],[PP]]-TableNFO[[#This Row],[AP]])</f>
        <v>3.4871311077192146</v>
      </c>
      <c r="I6" t="s">
        <v>3</v>
      </c>
      <c r="J6">
        <f>SUM(ABS(TableNFO[[#This Row],[PP]]-TableNFO[[#This Row],[AP]]))</f>
        <v>3.4871311077192146</v>
      </c>
    </row>
    <row r="7" spans="1:10" x14ac:dyDescent="0.2">
      <c r="I7" t="s">
        <v>4</v>
      </c>
      <c r="J7">
        <f>AVERAGE(TableNFO[DIFF])/10</f>
        <v>0.49243600752254063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"/>
  <sheetViews>
    <sheetView workbookViewId="0">
      <selection activeCell="J4" sqref="I2: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125</v>
      </c>
      <c r="B2">
        <v>44.105871677667139</v>
      </c>
      <c r="C2">
        <v>42.0718485193267</v>
      </c>
      <c r="D2">
        <v>61.316374422986023</v>
      </c>
      <c r="E2">
        <f>TableTOT[[#This Row],[ARIMAPP]]*$J$2+TableTOT[[#This Row],[LSTMPP]]*$J$3+TableTOT[[#This Row],[FORESTPP]]*$J$4</f>
        <v>43.995757210681191</v>
      </c>
      <c r="F2">
        <v>28</v>
      </c>
      <c r="G2">
        <f>ABS(TableTOT[[#This Row],[PP]]-TableTOT[[#This Row],[AP]])</f>
        <v>15.995757210681191</v>
      </c>
      <c r="I2" t="s">
        <v>0</v>
      </c>
      <c r="J2">
        <v>0.63733747058000001</v>
      </c>
    </row>
    <row r="3" spans="1:10" x14ac:dyDescent="0.2">
      <c r="A3" t="s">
        <v>126</v>
      </c>
      <c r="B3">
        <v>35.611310356534311</v>
      </c>
      <c r="C3">
        <v>39.51264459016145</v>
      </c>
      <c r="D3">
        <v>61.971066081021881</v>
      </c>
      <c r="E3">
        <f>TableTOT[[#This Row],[ARIMAPP]]*$J$2+TableTOT[[#This Row],[LSTMPP]]*$J$3+TableTOT[[#This Row],[FORESTPP]]*$J$4</f>
        <v>37.970922439318592</v>
      </c>
      <c r="F3">
        <v>48</v>
      </c>
      <c r="G3">
        <f>ABS(TableTOT[[#This Row],[PP]]-TableTOT[[#This Row],[AP]])</f>
        <v>10.029077560681408</v>
      </c>
      <c r="I3" t="s">
        <v>1</v>
      </c>
      <c r="J3">
        <v>0.25945397964</v>
      </c>
    </row>
    <row r="4" spans="1:10" x14ac:dyDescent="0.2">
      <c r="A4" t="s">
        <v>127</v>
      </c>
      <c r="B4">
        <v>30.746268656716431</v>
      </c>
      <c r="C4">
        <v>25.65668733458757</v>
      </c>
      <c r="D4">
        <v>50.30871796248681</v>
      </c>
      <c r="E4">
        <f>TableTOT[[#This Row],[ARIMAPP]]*$J$2+TableTOT[[#This Row],[LSTMPP]]*$J$3+TableTOT[[#This Row],[FORESTPP]]*$J$4</f>
        <v>30.330026445110434</v>
      </c>
      <c r="F4">
        <v>20</v>
      </c>
      <c r="G4">
        <f>ABS(TableTOT[[#This Row],[PP]]-TableTOT[[#This Row],[AP]])</f>
        <v>10.330026445110434</v>
      </c>
      <c r="I4" t="s">
        <v>2</v>
      </c>
      <c r="J4">
        <v>8.1050519303000002E-2</v>
      </c>
    </row>
    <row r="5" spans="1:10" x14ac:dyDescent="0.2">
      <c r="A5" t="s">
        <v>128</v>
      </c>
      <c r="B5">
        <v>39.558823529411747</v>
      </c>
      <c r="C5">
        <v>43.672639030168199</v>
      </c>
      <c r="D5">
        <v>40.626666666666672</v>
      </c>
      <c r="E5">
        <f>TableTOT[[#This Row],[ARIMAPP]]*$J$2+TableTOT[[#This Row],[LSTMPP]]*$J$3+TableTOT[[#This Row],[FORESTPP]]*$J$4</f>
        <v>39.836172955997419</v>
      </c>
      <c r="F5">
        <v>33</v>
      </c>
      <c r="G5">
        <f>ABS(TableTOT[[#This Row],[PP]]-TableTOT[[#This Row],[AP]])</f>
        <v>6.8361729559974194</v>
      </c>
    </row>
    <row r="6" spans="1:10" x14ac:dyDescent="0.2">
      <c r="A6" t="s">
        <v>129</v>
      </c>
      <c r="B6">
        <v>31.941555659513821</v>
      </c>
      <c r="C6">
        <v>27.493283825062811</v>
      </c>
      <c r="D6">
        <v>37.778394257916013</v>
      </c>
      <c r="E6">
        <f>TableTOT[[#This Row],[ARIMAPP]]*$J$2+TableTOT[[#This Row],[LSTMPP]]*$J$3+TableTOT[[#This Row],[FORESTPP]]*$J$4</f>
        <v>30.552750665246975</v>
      </c>
      <c r="F6">
        <v>45</v>
      </c>
      <c r="G6">
        <f>ABS(TableTOT[[#This Row],[PP]]-TableTOT[[#This Row],[AP]])</f>
        <v>14.447249334753025</v>
      </c>
      <c r="I6" t="s">
        <v>3</v>
      </c>
      <c r="J6">
        <f>SUM(ABS(TableTOT[[#This Row],[PP]]-TableTOT[[#This Row],[AP]]))</f>
        <v>14.447249334753025</v>
      </c>
    </row>
    <row r="7" spans="1:10" x14ac:dyDescent="0.2">
      <c r="A7" t="s">
        <v>130</v>
      </c>
      <c r="B7">
        <v>51.551724137931032</v>
      </c>
      <c r="C7">
        <v>42.780867436618429</v>
      </c>
      <c r="D7">
        <v>104.426598352178</v>
      </c>
      <c r="E7">
        <f>TableTOT[[#This Row],[ARIMAPP]]*$J$2+TableTOT[[#This Row],[LSTMPP]]*$J$3+TableTOT[[#This Row],[FORESTPP]]*$J$4</f>
        <v>52.419341800478662</v>
      </c>
      <c r="F7">
        <v>55</v>
      </c>
      <c r="G7">
        <f>ABS(TableTOT[[#This Row],[PP]]-TableTOT[[#This Row],[AP]])</f>
        <v>2.5806581995213378</v>
      </c>
      <c r="I7" t="s">
        <v>4</v>
      </c>
      <c r="J7">
        <f>AVERAGE(TableTOT[DIFF])/10</f>
        <v>0.79289847641425659</v>
      </c>
    </row>
    <row r="8" spans="1:10" x14ac:dyDescent="0.2">
      <c r="A8" t="s">
        <v>131</v>
      </c>
      <c r="B8">
        <v>38.421052631578952</v>
      </c>
      <c r="C8">
        <v>27.11643625378564</v>
      </c>
      <c r="D8">
        <v>31.146709048709681</v>
      </c>
      <c r="E8">
        <f>TableTOT[[#This Row],[ARIMAPP]]*$J$2+TableTOT[[#This Row],[LSTMPP]]*$J$3+TableTOT[[#This Row],[FORESTPP]]*$J$4</f>
        <v>34.047100743908011</v>
      </c>
      <c r="F8">
        <v>39</v>
      </c>
      <c r="G8">
        <f>ABS(TableTOT[[#This Row],[PP]]-TableTOT[[#This Row],[AP]])</f>
        <v>4.9528992560919889</v>
      </c>
    </row>
    <row r="9" spans="1:10" x14ac:dyDescent="0.2">
      <c r="A9" t="s">
        <v>132</v>
      </c>
      <c r="B9">
        <v>24.731519722684791</v>
      </c>
      <c r="C9">
        <v>35.600809253628711</v>
      </c>
      <c r="D9">
        <v>36.520376209924528</v>
      </c>
      <c r="E9">
        <f>TableTOT[[#This Row],[ARIMAPP]]*$J$2+TableTOT[[#This Row],[LSTMPP]]*$J$3+TableTOT[[#This Row],[FORESTPP]]*$J$4</f>
        <v>27.959091319869124</v>
      </c>
      <c r="F9">
        <v>31</v>
      </c>
      <c r="G9">
        <f>ABS(TableTOT[[#This Row],[PP]]-TableTOT[[#This Row],[AP]])</f>
        <v>3.040908680130876</v>
      </c>
    </row>
    <row r="10" spans="1:10" x14ac:dyDescent="0.2">
      <c r="A10" t="s">
        <v>133</v>
      </c>
      <c r="B10">
        <v>24.26598077779893</v>
      </c>
      <c r="C10">
        <v>28.625005720761269</v>
      </c>
      <c r="D10">
        <v>24.175000000000001</v>
      </c>
      <c r="E10">
        <f>TableTOT[[#This Row],[ARIMAPP]]*$J$2+TableTOT[[#This Row],[LSTMPP]]*$J$3+TableTOT[[#This Row],[FORESTPP]]*$J$4</f>
        <v>24.851886765684576</v>
      </c>
      <c r="F10">
        <v>28</v>
      </c>
      <c r="G10">
        <f>ABS(TableTOT[[#This Row],[PP]]-TableTOT[[#This Row],[AP]])</f>
        <v>3.1481132343154243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134</v>
      </c>
      <c r="B2">
        <v>30.489220581672878</v>
      </c>
      <c r="C2">
        <v>40.936978262629239</v>
      </c>
      <c r="D2">
        <v>31.52025419408362</v>
      </c>
      <c r="E2">
        <f>TableWHU[[#This Row],[ARIMAPP]]*$J$2+TableWHU[[#This Row],[LSTMPP]]*$J$3+TableWHU[[#This Row],[FORESTPP]]*$J$4</f>
        <v>33.946445994503001</v>
      </c>
      <c r="F2">
        <v>37</v>
      </c>
      <c r="G2">
        <f>ABS(TableWHU[[#This Row],[PP]]-TableWHU[[#This Row],[AP]])</f>
        <v>3.0535540054969985</v>
      </c>
      <c r="I2" t="s">
        <v>0</v>
      </c>
      <c r="J2">
        <v>0.22304113350999999</v>
      </c>
    </row>
    <row r="3" spans="1:10" x14ac:dyDescent="0.2">
      <c r="A3" t="s">
        <v>135</v>
      </c>
      <c r="B3">
        <v>38.261922654194812</v>
      </c>
      <c r="C3">
        <v>35.409680260990953</v>
      </c>
      <c r="D3">
        <v>35.031636034337332</v>
      </c>
      <c r="E3">
        <f>TableWHU[[#This Row],[ARIMAPP]]*$J$2+TableWHU[[#This Row],[LSTMPP]]*$J$3+TableWHU[[#This Row],[FORESTPP]]*$J$4</f>
        <v>34.807766116941927</v>
      </c>
      <c r="F3">
        <v>31</v>
      </c>
      <c r="G3">
        <f>ABS(TableWHU[[#This Row],[PP]]-TableWHU[[#This Row],[AP]])</f>
        <v>3.8077661169419272</v>
      </c>
      <c r="I3" t="s">
        <v>1</v>
      </c>
      <c r="J3">
        <v>0.38625307366</v>
      </c>
    </row>
    <row r="4" spans="1:10" x14ac:dyDescent="0.2">
      <c r="A4" t="s">
        <v>136</v>
      </c>
      <c r="B4">
        <v>44.050443225122933</v>
      </c>
      <c r="C4">
        <v>42.574325408136573</v>
      </c>
      <c r="D4">
        <v>79.521544638871745</v>
      </c>
      <c r="E4">
        <f>TableWHU[[#This Row],[ARIMAPP]]*$J$2+TableWHU[[#This Row],[LSTMPP]]*$J$3+TableWHU[[#This Row],[FORESTPP]]*$J$4</f>
        <v>54.863904545185292</v>
      </c>
      <c r="F4">
        <v>62</v>
      </c>
      <c r="G4">
        <f>ABS(TableWHU[[#This Row],[PP]]-TableWHU[[#This Row],[AP]])</f>
        <v>7.1360954548147078</v>
      </c>
      <c r="I4" t="s">
        <v>2</v>
      </c>
      <c r="J4">
        <v>0.35958028530000002</v>
      </c>
    </row>
    <row r="5" spans="1:10" x14ac:dyDescent="0.2">
      <c r="A5" t="s">
        <v>137</v>
      </c>
      <c r="B5">
        <v>32.128376378471643</v>
      </c>
      <c r="C5">
        <v>30.51493145720708</v>
      </c>
      <c r="D5">
        <v>22.52090414931649</v>
      </c>
      <c r="E5">
        <f>TableWHU[[#This Row],[ARIMAPP]]*$J$2+TableWHU[[#This Row],[LSTMPP]]*$J$3+TableWHU[[#This Row],[FORESTPP]]*$J$4</f>
        <v>27.050508692385861</v>
      </c>
      <c r="F5">
        <v>35</v>
      </c>
      <c r="G5">
        <f>ABS(TableWHU[[#This Row],[PP]]-TableWHU[[#This Row],[AP]])</f>
        <v>7.9494913076141387</v>
      </c>
    </row>
    <row r="6" spans="1:10" x14ac:dyDescent="0.2">
      <c r="A6" t="s">
        <v>138</v>
      </c>
      <c r="B6">
        <v>36.024165766366352</v>
      </c>
      <c r="C6">
        <v>37.254892641725583</v>
      </c>
      <c r="D6">
        <v>50.301677371285223</v>
      </c>
      <c r="E6">
        <f>TableWHU[[#This Row],[ARIMAPP]]*$J$2+TableWHU[[#This Row],[LSTMPP]]*$J$3+TableWHU[[#This Row],[FORESTPP]]*$J$4</f>
        <v>40.512179058257608</v>
      </c>
      <c r="F6">
        <v>27</v>
      </c>
      <c r="G6">
        <f>ABS(TableWHU[[#This Row],[PP]]-TableWHU[[#This Row],[AP]])</f>
        <v>13.512179058257608</v>
      </c>
      <c r="I6" t="s">
        <v>3</v>
      </c>
      <c r="J6">
        <f>SUM(ABS(TableWHU[[#This Row],[PP]]-TableWHU[[#This Row],[AP]]))</f>
        <v>13.512179058257608</v>
      </c>
    </row>
    <row r="7" spans="1:10" x14ac:dyDescent="0.2">
      <c r="A7" t="s">
        <v>139</v>
      </c>
      <c r="B7">
        <v>33.33333333333335</v>
      </c>
      <c r="C7">
        <v>35.093293225640863</v>
      </c>
      <c r="D7">
        <v>12.766666666666669</v>
      </c>
      <c r="E7">
        <f>TableWHU[[#This Row],[ARIMAPP]]*$J$2+TableWHU[[#This Row],[LSTMPP]]*$J$3+TableWHU[[#This Row],[FORESTPP]]*$J$4</f>
        <v>25.580238465918779</v>
      </c>
      <c r="F7">
        <v>26</v>
      </c>
      <c r="G7">
        <f>ABS(TableWHU[[#This Row],[PP]]-TableWHU[[#This Row],[AP]])</f>
        <v>0.4197615340812213</v>
      </c>
      <c r="I7" t="s">
        <v>4</v>
      </c>
      <c r="J7">
        <f>AVERAGE(TableWHU[DIFF])/10</f>
        <v>0.41645293583842796</v>
      </c>
    </row>
    <row r="8" spans="1:10" x14ac:dyDescent="0.2">
      <c r="A8" t="s">
        <v>140</v>
      </c>
      <c r="B8">
        <v>24.499999999999989</v>
      </c>
      <c r="C8">
        <v>24.020436281467759</v>
      </c>
      <c r="D8">
        <v>19.74910502541405</v>
      </c>
      <c r="E8">
        <f>TableWHU[[#This Row],[ARIMAPP]]*$J$2+TableWHU[[#This Row],[LSTMPP]]*$J$3+TableWHU[[#This Row],[FORESTPP]]*$J$4</f>
        <v>21.843863934824149</v>
      </c>
      <c r="F8">
        <v>21</v>
      </c>
      <c r="G8">
        <f>ABS(TableWHU[[#This Row],[PP]]-TableWHU[[#This Row],[AP]])</f>
        <v>0.84386393482414945</v>
      </c>
    </row>
    <row r="9" spans="1:10" x14ac:dyDescent="0.2">
      <c r="A9" t="s">
        <v>141</v>
      </c>
      <c r="B9">
        <v>19.523809523809511</v>
      </c>
      <c r="C9">
        <v>21.642183042398461</v>
      </c>
      <c r="D9">
        <v>22.67141671430565</v>
      </c>
      <c r="E9">
        <f>TableWHU[[#This Row],[ARIMAPP]]*$J$2+TableWHU[[#This Row],[LSTMPP]]*$J$3+TableWHU[[#This Row],[FORESTPP]]*$J$4</f>
        <v>20.866166817747757</v>
      </c>
      <c r="F9">
        <v>21</v>
      </c>
      <c r="G9">
        <f>ABS(TableWHU[[#This Row],[PP]]-TableWHU[[#This Row],[AP]])</f>
        <v>0.13383318225224272</v>
      </c>
    </row>
    <row r="10" spans="1:10" x14ac:dyDescent="0.2">
      <c r="A10" t="s">
        <v>142</v>
      </c>
      <c r="B10">
        <v>42.173913043478272</v>
      </c>
      <c r="C10">
        <v>48.903653680896412</v>
      </c>
      <c r="D10">
        <v>34.285849969972027</v>
      </c>
      <c r="E10">
        <f>TableWHU[[#This Row],[ARIMAPP]]*$J$2+TableWHU[[#This Row],[LSTMPP]]*$J$3+TableWHU[[#This Row],[FORESTPP]]*$J$4</f>
        <v>40.624219631175521</v>
      </c>
      <c r="F10">
        <v>40</v>
      </c>
      <c r="G10">
        <f>ABS(TableWHU[[#This Row],[PP]]-TableWHU[[#This Row],[AP]])</f>
        <v>0.62421963117552082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8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143</v>
      </c>
      <c r="B2">
        <v>22.35955056179775</v>
      </c>
      <c r="C2">
        <v>16.24453245991538</v>
      </c>
      <c r="D2">
        <v>20.3</v>
      </c>
      <c r="E2">
        <f>TableWOL[[#This Row],[ARIMAPP]]*$J$2+TableWOL[[#This Row],[LSTMPP]]*$J$3+TableWOL[[#This Row],[FORESTPP]]*$J$4</f>
        <v>15.194963862139566</v>
      </c>
      <c r="F2">
        <v>23</v>
      </c>
      <c r="G2">
        <f>ABS(TableWOL[[#This Row],[PP]]-TableWOL[[#This Row],[AP]])</f>
        <v>7.8050361378604336</v>
      </c>
      <c r="I2" t="s">
        <v>0</v>
      </c>
      <c r="J2">
        <v>0</v>
      </c>
    </row>
    <row r="3" spans="1:10" x14ac:dyDescent="0.2">
      <c r="A3" t="s">
        <v>144</v>
      </c>
      <c r="B3">
        <v>37.647295875017718</v>
      </c>
      <c r="C3">
        <v>44.396463113821781</v>
      </c>
      <c r="D3">
        <v>23.13477041833147</v>
      </c>
      <c r="E3">
        <f>TableWOL[[#This Row],[ARIMAPP]]*$J$2+TableWOL[[#This Row],[LSTMPP]]*$J$3+TableWOL[[#This Row],[FORESTPP]]*$J$4</f>
        <v>32.980246106247883</v>
      </c>
      <c r="F3">
        <v>30</v>
      </c>
      <c r="G3">
        <f>ABS(TableWOL[[#This Row],[PP]]-TableWOL[[#This Row],[AP]])</f>
        <v>2.9802461062478827</v>
      </c>
      <c r="I3" t="s">
        <v>1</v>
      </c>
      <c r="J3">
        <v>0.60515038751000005</v>
      </c>
    </row>
    <row r="4" spans="1:10" x14ac:dyDescent="0.2">
      <c r="A4" t="s">
        <v>145</v>
      </c>
      <c r="B4">
        <v>23.777777777777779</v>
      </c>
      <c r="C4">
        <v>19.758195643837752</v>
      </c>
      <c r="D4">
        <v>37.101015714357636</v>
      </c>
      <c r="E4">
        <f>TableWOL[[#This Row],[ARIMAPP]]*$J$2+TableWOL[[#This Row],[LSTMPP]]*$J$3+TableWOL[[#This Row],[FORESTPP]]*$J$4</f>
        <v>21.761178295754959</v>
      </c>
      <c r="F4">
        <v>24</v>
      </c>
      <c r="G4">
        <f>ABS(TableWOL[[#This Row],[PP]]-TableWOL[[#This Row],[AP]])</f>
        <v>2.2388217042450407</v>
      </c>
      <c r="I4" t="s">
        <v>2</v>
      </c>
      <c r="J4">
        <v>0.26426496301000002</v>
      </c>
    </row>
    <row r="5" spans="1:10" x14ac:dyDescent="0.2">
      <c r="A5" t="s">
        <v>146</v>
      </c>
      <c r="B5">
        <v>37.711917900357037</v>
      </c>
      <c r="C5">
        <v>28.939814673211401</v>
      </c>
      <c r="D5">
        <v>75.333333333333357</v>
      </c>
      <c r="E5">
        <f>TableWOL[[#This Row],[ARIMAPP]]*$J$2+TableWOL[[#This Row],[LSTMPP]]*$J$3+TableWOL[[#This Row],[FORESTPP]]*$J$4</f>
        <v>37.42090061071481</v>
      </c>
      <c r="F5">
        <v>45</v>
      </c>
      <c r="G5">
        <f>ABS(TableWOL[[#This Row],[PP]]-TableWOL[[#This Row],[AP]])</f>
        <v>7.5790993892851901</v>
      </c>
    </row>
    <row r="6" spans="1:10" x14ac:dyDescent="0.2">
      <c r="A6" t="s">
        <v>147</v>
      </c>
      <c r="B6">
        <v>29.244267392244438</v>
      </c>
      <c r="C6">
        <v>16.316306617023312</v>
      </c>
      <c r="D6">
        <v>69.564960317460319</v>
      </c>
      <c r="E6">
        <f>TableWOL[[#This Row],[ARIMAPP]]*$J$2+TableWOL[[#This Row],[LSTMPP]]*$J$3+TableWOL[[#This Row],[FORESTPP]]*$J$4</f>
        <v>28.257400937109406</v>
      </c>
      <c r="F6">
        <v>29</v>
      </c>
      <c r="G6">
        <f>ABS(TableWOL[[#This Row],[PP]]-TableWOL[[#This Row],[AP]])</f>
        <v>0.7425990628905943</v>
      </c>
      <c r="I6" t="s">
        <v>3</v>
      </c>
      <c r="J6">
        <f>SUM(ABS(TableWOL[[#This Row],[PP]]-TableWOL[[#This Row],[AP]]))</f>
        <v>0.7425990628905943</v>
      </c>
    </row>
    <row r="7" spans="1:10" x14ac:dyDescent="0.2">
      <c r="A7" t="s">
        <v>148</v>
      </c>
      <c r="B7">
        <v>55.678645674637437</v>
      </c>
      <c r="C7">
        <v>32.285166006489249</v>
      </c>
      <c r="D7">
        <v>77.599999999999994</v>
      </c>
      <c r="E7">
        <f>TableWOL[[#This Row],[ARIMAPP]]*$J$2+TableWOL[[#This Row],[LSTMPP]]*$J$3+TableWOL[[#This Row],[FORESTPP]]*$J$4</f>
        <v>40.044341849227649</v>
      </c>
      <c r="F7">
        <v>45</v>
      </c>
      <c r="G7">
        <f>ABS(TableWOL[[#This Row],[PP]]-TableWOL[[#This Row],[AP]])</f>
        <v>4.9556581507723507</v>
      </c>
      <c r="I7" t="s">
        <v>4</v>
      </c>
      <c r="J7">
        <f>AVERAGE(TableWOL[DIFF])/10</f>
        <v>0.59057951045386381</v>
      </c>
    </row>
    <row r="8" spans="1:10" x14ac:dyDescent="0.2">
      <c r="A8" t="s">
        <v>149</v>
      </c>
      <c r="B8">
        <v>60.684023822814588</v>
      </c>
      <c r="C8">
        <v>28.602785899615469</v>
      </c>
      <c r="D8">
        <v>78.444444444444443</v>
      </c>
      <c r="E8">
        <f>TableWOL[[#This Row],[ARIMAPP]]*$J$2+TableWOL[[#This Row],[LSTMPP]]*$J$3+TableWOL[[#This Row],[FORESTPP]]*$J$4</f>
        <v>38.039105180468979</v>
      </c>
      <c r="F8">
        <v>23</v>
      </c>
      <c r="G8">
        <f>ABS(TableWOL[[#This Row],[PP]]-TableWOL[[#This Row],[AP]])</f>
        <v>15.039105180468979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24</v>
      </c>
      <c r="B2">
        <v>24.360163618865819</v>
      </c>
      <c r="C2">
        <v>25.48948166781885</v>
      </c>
      <c r="D2">
        <v>51.718839917917521</v>
      </c>
      <c r="E2">
        <f>TableAVL[[#This Row],[ARIMAPP]]*$J$2+TableAVL[[#This Row],[LSTMPP]]*$J$3+TableAVL[[#This Row],[FORESTPP]]*$J$4</f>
        <v>31.716455971180615</v>
      </c>
      <c r="F2">
        <v>30</v>
      </c>
      <c r="G2">
        <f>ABS(TableAVL[[#This Row],[PP]]-TableAVL[[#This Row],[AP]])</f>
        <v>1.7164559711806149</v>
      </c>
      <c r="I2" t="s">
        <v>0</v>
      </c>
      <c r="J2">
        <v>0</v>
      </c>
    </row>
    <row r="3" spans="1:10" x14ac:dyDescent="0.2">
      <c r="A3" t="s">
        <v>25</v>
      </c>
      <c r="B3">
        <v>25.466401698206909</v>
      </c>
      <c r="C3">
        <v>30.40272688214943</v>
      </c>
      <c r="D3">
        <v>17.895192018026581</v>
      </c>
      <c r="E3">
        <f>TableAVL[[#This Row],[ARIMAPP]]*$J$2+TableAVL[[#This Row],[LSTMPP]]*$J$3+TableAVL[[#This Row],[FORESTPP]]*$J$4</f>
        <v>30.785306251246038</v>
      </c>
      <c r="F3">
        <v>30</v>
      </c>
      <c r="G3">
        <f>ABS(TableAVL[[#This Row],[PP]]-TableAVL[[#This Row],[AP]])</f>
        <v>0.78530625124603759</v>
      </c>
      <c r="I3" t="s">
        <v>1</v>
      </c>
      <c r="J3">
        <v>0.91789835396999997</v>
      </c>
    </row>
    <row r="4" spans="1:10" x14ac:dyDescent="0.2">
      <c r="A4" t="s">
        <v>26</v>
      </c>
      <c r="B4">
        <v>30.59210526315788</v>
      </c>
      <c r="C4">
        <v>27.369268480029401</v>
      </c>
      <c r="D4">
        <v>26.509882366824481</v>
      </c>
      <c r="E4">
        <f>TableAVL[[#This Row],[ARIMAPP]]*$J$2+TableAVL[[#This Row],[LSTMPP]]*$J$3+TableAVL[[#This Row],[FORESTPP]]*$J$4</f>
        <v>29.386693865082975</v>
      </c>
      <c r="F4">
        <v>26</v>
      </c>
      <c r="G4">
        <f>ABS(TableAVL[[#This Row],[PP]]-TableAVL[[#This Row],[AP]])</f>
        <v>3.3866938650829752</v>
      </c>
      <c r="I4" t="s">
        <v>2</v>
      </c>
      <c r="J4">
        <v>0.16086406265</v>
      </c>
    </row>
    <row r="5" spans="1:10" x14ac:dyDescent="0.2">
      <c r="A5" t="s">
        <v>27</v>
      </c>
      <c r="B5">
        <v>27.891156462585052</v>
      </c>
      <c r="C5">
        <v>28.37872002003428</v>
      </c>
      <c r="D5">
        <v>16.632165102161839</v>
      </c>
      <c r="E5">
        <f>TableAVL[[#This Row],[ARIMAPP]]*$J$2+TableAVL[[#This Row],[LSTMPP]]*$J$3+TableAVL[[#This Row],[FORESTPP]]*$J$4</f>
        <v>28.724298043164257</v>
      </c>
      <c r="F5">
        <v>30</v>
      </c>
      <c r="G5">
        <f>ABS(TableAVL[[#This Row],[PP]]-TableAVL[[#This Row],[AP]])</f>
        <v>1.2757019568357428</v>
      </c>
    </row>
    <row r="6" spans="1:10" x14ac:dyDescent="0.2">
      <c r="A6" t="s">
        <v>28</v>
      </c>
      <c r="B6">
        <v>66.141813172467593</v>
      </c>
      <c r="C6">
        <v>42.45776961930369</v>
      </c>
      <c r="D6">
        <v>51.463566380528192</v>
      </c>
      <c r="E6">
        <f>TableAVL[[#This Row],[ARIMAPP]]*$J$2+TableAVL[[#This Row],[LSTMPP]]*$J$3+TableAVL[[#This Row],[FORESTPP]]*$J$4</f>
        <v>47.25055521322605</v>
      </c>
      <c r="F6">
        <v>45</v>
      </c>
      <c r="G6">
        <f>ABS(TableAVL[[#This Row],[PP]]-TableAVL[[#This Row],[AP]])</f>
        <v>2.2505552132260505</v>
      </c>
      <c r="I6" t="s">
        <v>3</v>
      </c>
      <c r="J6">
        <f>SUM(ABS(TableAVL[[#This Row],[PP]]-TableAVL[[#This Row],[AP]]))</f>
        <v>2.2505552132260505</v>
      </c>
    </row>
    <row r="7" spans="1:10" x14ac:dyDescent="0.2">
      <c r="A7" t="s">
        <v>29</v>
      </c>
      <c r="B7">
        <v>55.551355097137083</v>
      </c>
      <c r="C7">
        <v>27.12787961704505</v>
      </c>
      <c r="D7">
        <v>51.775379309548811</v>
      </c>
      <c r="E7">
        <f>TableAVL[[#This Row],[ARIMAPP]]*$J$2+TableAVL[[#This Row],[LSTMPP]]*$J$3+TableAVL[[#This Row],[FORESTPP]]*$J$4</f>
        <v>33.229433908160743</v>
      </c>
      <c r="F7">
        <v>37</v>
      </c>
      <c r="G7">
        <f>ABS(TableAVL[[#This Row],[PP]]-TableAVL[[#This Row],[AP]])</f>
        <v>3.7705660918392567</v>
      </c>
      <c r="I7" t="s">
        <v>4</v>
      </c>
      <c r="J7">
        <f>AVERAGE(TableAVL[DIFF])/10</f>
        <v>0.34364586301952188</v>
      </c>
    </row>
    <row r="8" spans="1:10" x14ac:dyDescent="0.2">
      <c r="A8" t="s">
        <v>30</v>
      </c>
      <c r="B8">
        <v>23.606438916942981</v>
      </c>
      <c r="C8">
        <v>23.973046077797491</v>
      </c>
      <c r="D8">
        <v>26.787513893754419</v>
      </c>
      <c r="E8">
        <f>TableAVL[[#This Row],[ARIMAPP]]*$J$2+TableAVL[[#This Row],[LSTMPP]]*$J$3+TableAVL[[#This Row],[FORESTPP]]*$J$4</f>
        <v>26.313967847699935</v>
      </c>
      <c r="F8">
        <v>24</v>
      </c>
      <c r="G8">
        <f>ABS(TableAVL[[#This Row],[PP]]-TableAVL[[#This Row],[AP]])</f>
        <v>2.313967847699935</v>
      </c>
    </row>
    <row r="9" spans="1:10" x14ac:dyDescent="0.2">
      <c r="A9" t="s">
        <v>31</v>
      </c>
      <c r="B9">
        <v>35.254237288135577</v>
      </c>
      <c r="C9">
        <v>37.226279062662456</v>
      </c>
      <c r="D9">
        <v>17.231578947368419</v>
      </c>
      <c r="E9">
        <f>TableAVL[[#This Row],[ARIMAPP]]*$J$2+TableAVL[[#This Row],[LSTMPP]]*$J$3+TableAVL[[#This Row],[FORESTPP]]*$J$4</f>
        <v>36.941882071393636</v>
      </c>
      <c r="F9">
        <v>31</v>
      </c>
      <c r="G9">
        <f>ABS(TableAVL[[#This Row],[PP]]-TableAVL[[#This Row],[AP]])</f>
        <v>5.9418820713936356</v>
      </c>
    </row>
    <row r="10" spans="1:10" x14ac:dyDescent="0.2">
      <c r="A10" t="s">
        <v>32</v>
      </c>
      <c r="B10">
        <v>19.24751326332693</v>
      </c>
      <c r="C10">
        <v>32.057930560600553</v>
      </c>
      <c r="D10">
        <v>19.440000000000001</v>
      </c>
      <c r="E10">
        <f>TableAVL[[#This Row],[ARIMAPP]]*$J$2+TableAVL[[#This Row],[LSTMPP]]*$J$3+TableAVL[[#This Row],[FORESTPP]]*$J$4</f>
        <v>32.553119071175807</v>
      </c>
      <c r="F10">
        <v>44</v>
      </c>
      <c r="G10">
        <f>ABS(TableAVL[[#This Row],[PP]]-TableAVL[[#This Row],[AP]])</f>
        <v>11.446880928824193</v>
      </c>
    </row>
    <row r="11" spans="1:10" x14ac:dyDescent="0.2">
      <c r="A11" t="s">
        <v>33</v>
      </c>
      <c r="B11">
        <v>33.157894736842117</v>
      </c>
      <c r="C11">
        <v>18.34335874972459</v>
      </c>
      <c r="D11">
        <v>22.914285714285711</v>
      </c>
      <c r="E11">
        <f>TableAVL[[#This Row],[ARIMAPP]]*$J$2+TableAVL[[#This Row],[LSTMPP]]*$J$3+TableAVL[[#This Row],[FORESTPP]]*$J$4</f>
        <v>20.523423895376254</v>
      </c>
      <c r="F11">
        <v>22</v>
      </c>
      <c r="G11">
        <f>ABS(TableAVL[[#This Row],[PP]]-TableAVL[[#This Row],[AP]])</f>
        <v>1.4765761046237458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34</v>
      </c>
      <c r="B2">
        <v>22.871287128712879</v>
      </c>
      <c r="C2">
        <v>23.690333859123371</v>
      </c>
      <c r="D2">
        <v>24.148357422497089</v>
      </c>
      <c r="E2">
        <f>TableBOU[[#This Row],[ARIMAPP]]*$J$2+TableBOU[[#This Row],[LSTMPP]]*$J$3+TableBOU[[#This Row],[FORESTPP]]*$J$4</f>
        <v>25.299230744618981</v>
      </c>
      <c r="F2">
        <v>40</v>
      </c>
      <c r="G2">
        <f>ABS(TableBOU[[#This Row],[PP]]-TableBOU[[#This Row],[AP]])</f>
        <v>14.700769255381019</v>
      </c>
      <c r="I2" t="s">
        <v>0</v>
      </c>
      <c r="J2">
        <v>0.93457825874</v>
      </c>
    </row>
    <row r="3" spans="1:10" x14ac:dyDescent="0.2">
      <c r="A3" t="s">
        <v>35</v>
      </c>
      <c r="B3">
        <v>18.426966292134821</v>
      </c>
      <c r="C3">
        <v>14.49386419785986</v>
      </c>
      <c r="D3">
        <v>86.86666666666666</v>
      </c>
      <c r="E3">
        <f>TableBOU[[#This Row],[ARIMAPP]]*$J$2+TableBOU[[#This Row],[LSTMPP]]*$J$3+TableBOU[[#This Row],[FORESTPP]]*$J$4</f>
        <v>31.337688952374698</v>
      </c>
      <c r="F3">
        <v>22</v>
      </c>
      <c r="G3">
        <f>ABS(TableBOU[[#This Row],[PP]]-TableBOU[[#This Row],[AP]])</f>
        <v>9.3376889523746982</v>
      </c>
      <c r="I3" t="s">
        <v>1</v>
      </c>
      <c r="J3">
        <v>0</v>
      </c>
    </row>
    <row r="4" spans="1:10" x14ac:dyDescent="0.2">
      <c r="A4" t="s">
        <v>36</v>
      </c>
      <c r="B4">
        <v>20.714285714285719</v>
      </c>
      <c r="C4">
        <v>22.166940504937749</v>
      </c>
      <c r="D4">
        <v>21.3037037037037</v>
      </c>
      <c r="E4">
        <f>TableBOU[[#This Row],[ARIMAPP]]*$J$2+TableBOU[[#This Row],[LSTMPP]]*$J$3+TableBOU[[#This Row],[FORESTPP]]*$J$4</f>
        <v>22.821074346720149</v>
      </c>
      <c r="F4">
        <v>25</v>
      </c>
      <c r="G4">
        <f>ABS(TableBOU[[#This Row],[PP]]-TableBOU[[#This Row],[AP]])</f>
        <v>2.1789256532798511</v>
      </c>
      <c r="I4" t="s">
        <v>2</v>
      </c>
      <c r="J4">
        <v>0.16250476072</v>
      </c>
    </row>
    <row r="5" spans="1:10" x14ac:dyDescent="0.2">
      <c r="A5" t="s">
        <v>37</v>
      </c>
      <c r="B5">
        <v>37.073170731707322</v>
      </c>
      <c r="C5">
        <v>46.842424856339122</v>
      </c>
      <c r="D5">
        <v>25.38332279846145</v>
      </c>
      <c r="E5">
        <f>TableBOU[[#This Row],[ARIMAPP]]*$J$2+TableBOU[[#This Row],[LSTMPP]]*$J$3+TableBOU[[#This Row],[FORESTPP]]*$J$4</f>
        <v>38.772690146052263</v>
      </c>
      <c r="F5">
        <v>22</v>
      </c>
      <c r="G5">
        <f>ABS(TableBOU[[#This Row],[PP]]-TableBOU[[#This Row],[AP]])</f>
        <v>16.772690146052263</v>
      </c>
    </row>
    <row r="6" spans="1:10" x14ac:dyDescent="0.2">
      <c r="A6" t="s">
        <v>38</v>
      </c>
      <c r="B6">
        <v>29.975830818794691</v>
      </c>
      <c r="C6">
        <v>19.42647419516268</v>
      </c>
      <c r="D6">
        <v>22.138461538461542</v>
      </c>
      <c r="E6">
        <f>TableBOU[[#This Row],[ARIMAPP]]*$J$2+TableBOU[[#This Row],[LSTMPP]]*$J$3+TableBOU[[#This Row],[FORESTPP]]*$J$4</f>
        <v>31.612365165930587</v>
      </c>
      <c r="F6">
        <v>35</v>
      </c>
      <c r="G6">
        <f>ABS(TableBOU[[#This Row],[PP]]-TableBOU[[#This Row],[AP]])</f>
        <v>3.3876348340694129</v>
      </c>
      <c r="I6" t="s">
        <v>3</v>
      </c>
      <c r="J6">
        <f>SUM(ABS(TableBOU[[#This Row],[PP]]-TableBOU[[#This Row],[AP]]))</f>
        <v>3.3876348340694129</v>
      </c>
    </row>
    <row r="7" spans="1:10" x14ac:dyDescent="0.2">
      <c r="A7" t="s">
        <v>39</v>
      </c>
      <c r="B7">
        <v>36.047572532101668</v>
      </c>
      <c r="C7">
        <v>35.382686834407508</v>
      </c>
      <c r="D7">
        <v>25.829806191234638</v>
      </c>
      <c r="E7">
        <f>TableBOU[[#This Row],[ARIMAPP]]*$J$2+TableBOU[[#This Row],[LSTMPP]]*$J$3+TableBOU[[#This Row],[FORESTPP]]*$J$4</f>
        <v>37.88674404340599</v>
      </c>
      <c r="F7">
        <v>30</v>
      </c>
      <c r="G7">
        <f>ABS(TableBOU[[#This Row],[PP]]-TableBOU[[#This Row],[AP]])</f>
        <v>7.8867440434059901</v>
      </c>
      <c r="I7" t="s">
        <v>4</v>
      </c>
      <c r="J7">
        <f>AVERAGE(TableBOU[DIFF])/10</f>
        <v>0.82726960871632738</v>
      </c>
    </row>
    <row r="8" spans="1:10" x14ac:dyDescent="0.2">
      <c r="A8" t="s">
        <v>40</v>
      </c>
      <c r="B8">
        <v>25.161290322580641</v>
      </c>
      <c r="C8">
        <v>28.820063739709759</v>
      </c>
      <c r="D8">
        <v>41.599999999999987</v>
      </c>
      <c r="E8">
        <f>TableBOU[[#This Row],[ARIMAPP]]*$J$2+TableBOU[[#This Row],[LSTMPP]]*$J$3+TableBOU[[#This Row],[FORESTPP]]*$J$4</f>
        <v>30.275392943281027</v>
      </c>
      <c r="F8">
        <v>43</v>
      </c>
      <c r="G8">
        <f>ABS(TableBOU[[#This Row],[PP]]-TableBOU[[#This Row],[AP]])</f>
        <v>12.724607056718973</v>
      </c>
    </row>
    <row r="9" spans="1:10" x14ac:dyDescent="0.2">
      <c r="A9" t="s">
        <v>41</v>
      </c>
      <c r="B9">
        <v>18.666666666666671</v>
      </c>
      <c r="C9">
        <v>20.734249044745741</v>
      </c>
      <c r="D9">
        <v>24.27229796054932</v>
      </c>
      <c r="E9">
        <f>TableBOU[[#This Row],[ARIMAPP]]*$J$2+TableBOU[[#This Row],[LSTMPP]]*$J$3+TableBOU[[#This Row],[FORESTPP]]*$J$4</f>
        <v>21.38982480201695</v>
      </c>
      <c r="F9">
        <v>34</v>
      </c>
      <c r="G9">
        <f>ABS(TableBOU[[#This Row],[PP]]-TableBOU[[#This Row],[AP]])</f>
        <v>12.61017519798305</v>
      </c>
    </row>
    <row r="10" spans="1:10" x14ac:dyDescent="0.2">
      <c r="A10" t="s">
        <v>42</v>
      </c>
      <c r="B10">
        <v>27.619047619047599</v>
      </c>
      <c r="C10">
        <v>31.923949516074469</v>
      </c>
      <c r="D10">
        <v>74.166666666666671</v>
      </c>
      <c r="E10">
        <f>TableBOU[[#This Row],[ARIMAPP]]*$J$2+TableBOU[[#This Row],[LSTMPP]]*$J$3+TableBOU[[#This Row],[FORESTPP]]*$J$4</f>
        <v>37.864597851933318</v>
      </c>
      <c r="F10">
        <v>40</v>
      </c>
      <c r="G10">
        <f>ABS(TableBOU[[#This Row],[PP]]-TableBOU[[#This Row],[AP]])</f>
        <v>2.1354021480666816</v>
      </c>
    </row>
    <row r="11" spans="1:10" x14ac:dyDescent="0.2">
      <c r="A11" t="s">
        <v>43</v>
      </c>
      <c r="B11">
        <v>19.411764705882359</v>
      </c>
      <c r="C11">
        <v>19.716412893274541</v>
      </c>
      <c r="D11">
        <v>29.848419854998799</v>
      </c>
      <c r="E11">
        <f>TableBOU[[#This Row],[ARIMAPP]]*$J$2+TableBOU[[#This Row],[LSTMPP]]*$J$3+TableBOU[[#This Row],[FORESTPP]]*$J$4</f>
        <v>22.992323584300802</v>
      </c>
      <c r="F11">
        <v>22</v>
      </c>
      <c r="G11">
        <f>ABS(TableBOU[[#This Row],[PP]]-TableBOU[[#This Row],[AP]])</f>
        <v>0.99232358430080225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44</v>
      </c>
      <c r="B2">
        <v>28.767123287671261</v>
      </c>
      <c r="C2">
        <v>29.61486301757564</v>
      </c>
      <c r="D2">
        <v>39.341310833871731</v>
      </c>
      <c r="E2">
        <f>TableBRE[[#This Row],[ARIMAPP]]*$J$2+TableBRE[[#This Row],[LSTMPP]]*$J$3+TableBRE[[#This Row],[FORESTPP]]*$J$4</f>
        <v>33.842525406671143</v>
      </c>
      <c r="F2">
        <v>27</v>
      </c>
      <c r="G2">
        <f>ABS(TableBRE[[#This Row],[PP]]-TableBRE[[#This Row],[AP]])</f>
        <v>6.8425254066711432</v>
      </c>
      <c r="I2" t="s">
        <v>0</v>
      </c>
      <c r="J2">
        <v>1.1627637572</v>
      </c>
    </row>
    <row r="3" spans="1:10" x14ac:dyDescent="0.2">
      <c r="A3" t="s">
        <v>45</v>
      </c>
      <c r="B3">
        <v>31.168831168831161</v>
      </c>
      <c r="C3">
        <v>29.89477954698604</v>
      </c>
      <c r="D3">
        <v>20.328728993625369</v>
      </c>
      <c r="E3">
        <f>TableBRE[[#This Row],[ARIMAPP]]*$J$2+TableBRE[[#This Row],[LSTMPP]]*$J$3+TableBRE[[#This Row],[FORESTPP]]*$J$4</f>
        <v>36.44514221441942</v>
      </c>
      <c r="F3">
        <v>27</v>
      </c>
      <c r="G3">
        <f>ABS(TableBRE[[#This Row],[PP]]-TableBRE[[#This Row],[AP]])</f>
        <v>9.4451422144194197</v>
      </c>
      <c r="I3" t="s">
        <v>1</v>
      </c>
      <c r="J3">
        <v>0</v>
      </c>
    </row>
    <row r="4" spans="1:10" x14ac:dyDescent="0.2">
      <c r="A4" t="s">
        <v>46</v>
      </c>
      <c r="B4">
        <v>25.777777777777761</v>
      </c>
      <c r="C4">
        <v>28.575095997421538</v>
      </c>
      <c r="D4">
        <v>17.798607425126281</v>
      </c>
      <c r="E4">
        <f>TableBRE[[#This Row],[ARIMAPP]]*$J$2+TableBRE[[#This Row],[LSTMPP]]*$J$3+TableBRE[[#This Row],[FORESTPP]]*$J$4</f>
        <v>30.151335970205125</v>
      </c>
      <c r="F4">
        <v>29</v>
      </c>
      <c r="G4">
        <f>ABS(TableBRE[[#This Row],[PP]]-TableBRE[[#This Row],[AP]])</f>
        <v>1.1513359702051247</v>
      </c>
      <c r="I4" t="s">
        <v>2</v>
      </c>
      <c r="J4">
        <v>9.9934913334000005E-3</v>
      </c>
    </row>
    <row r="5" spans="1:10" x14ac:dyDescent="0.2">
      <c r="A5" t="s">
        <v>47</v>
      </c>
      <c r="B5">
        <v>27.600000000000009</v>
      </c>
      <c r="C5">
        <v>13.04215919206975</v>
      </c>
      <c r="D5">
        <v>9.3142131526102823</v>
      </c>
      <c r="E5">
        <f>TableBRE[[#This Row],[ARIMAPP]]*$J$2+TableBRE[[#This Row],[LSTMPP]]*$J$3+TableBRE[[#This Row],[FORESTPP]]*$J$4</f>
        <v>32.185361207138065</v>
      </c>
      <c r="F5">
        <v>40</v>
      </c>
      <c r="G5">
        <f>ABS(TableBRE[[#This Row],[PP]]-TableBRE[[#This Row],[AP]])</f>
        <v>7.8146387928619347</v>
      </c>
    </row>
    <row r="6" spans="1:10" x14ac:dyDescent="0.2">
      <c r="A6" t="s">
        <v>48</v>
      </c>
      <c r="B6">
        <v>31.064313515358311</v>
      </c>
      <c r="C6">
        <v>30.656831441557749</v>
      </c>
      <c r="D6">
        <v>37.705970013341037</v>
      </c>
      <c r="E6">
        <f>TableBRE[[#This Row],[ARIMAPP]]*$J$2+TableBRE[[#This Row],[LSTMPP]]*$J$3+TableBRE[[#This Row],[FORESTPP]]*$J$4</f>
        <v>36.497272182502535</v>
      </c>
      <c r="F6">
        <v>48</v>
      </c>
      <c r="G6">
        <f>ABS(TableBRE[[#This Row],[PP]]-TableBRE[[#This Row],[AP]])</f>
        <v>11.502727817497465</v>
      </c>
      <c r="I6" t="s">
        <v>3</v>
      </c>
      <c r="J6">
        <f>SUM(ABS(TableBRE[[#This Row],[PP]]-TableBRE[[#This Row],[AP]]))</f>
        <v>11.502727817497465</v>
      </c>
    </row>
    <row r="7" spans="1:10" x14ac:dyDescent="0.2">
      <c r="A7" t="s">
        <v>49</v>
      </c>
      <c r="B7">
        <v>27.99370994666911</v>
      </c>
      <c r="C7">
        <v>22.505766001064021</v>
      </c>
      <c r="D7">
        <v>22.81666666666667</v>
      </c>
      <c r="E7">
        <f>TableBRE[[#This Row],[ARIMAPP]]*$J$2+TableBRE[[#This Row],[LSTMPP]]*$J$3+TableBRE[[#This Row],[FORESTPP]]*$J$4</f>
        <v>32.778089516146395</v>
      </c>
      <c r="F7">
        <v>21</v>
      </c>
      <c r="G7">
        <f>ABS(TableBRE[[#This Row],[PP]]-TableBRE[[#This Row],[AP]])</f>
        <v>11.778089516146395</v>
      </c>
      <c r="I7" t="s">
        <v>4</v>
      </c>
      <c r="J7">
        <f>AVERAGE(TableBRE[DIFF])/10</f>
        <v>0.6521242726269314</v>
      </c>
    </row>
    <row r="8" spans="1:10" x14ac:dyDescent="0.2">
      <c r="A8" t="s">
        <v>50</v>
      </c>
      <c r="B8">
        <v>20</v>
      </c>
      <c r="C8">
        <v>16.844263952415371</v>
      </c>
      <c r="D8">
        <v>66.423509121597363</v>
      </c>
      <c r="E8">
        <f>TableBRE[[#This Row],[ARIMAPP]]*$J$2+TableBRE[[#This Row],[LSTMPP]]*$J$3+TableBRE[[#This Row],[FORESTPP]]*$J$4</f>
        <v>23.9190779067407</v>
      </c>
      <c r="F8">
        <v>24</v>
      </c>
      <c r="G8">
        <f>ABS(TableBRE[[#This Row],[PP]]-TableBRE[[#This Row],[AP]])</f>
        <v>8.0922093259299999E-2</v>
      </c>
    </row>
    <row r="9" spans="1:10" x14ac:dyDescent="0.2">
      <c r="A9" t="s">
        <v>51</v>
      </c>
      <c r="B9">
        <v>20.689655172413779</v>
      </c>
      <c r="C9">
        <v>25.71600950541302</v>
      </c>
      <c r="D9">
        <v>39.938441166676448</v>
      </c>
      <c r="E9">
        <f>TableBRE[[#This Row],[ARIMAPP]]*$J$2+TableBRE[[#This Row],[LSTMPP]]*$J$3+TableBRE[[#This Row],[FORESTPP]]*$J$4</f>
        <v>24.456305649116949</v>
      </c>
      <c r="F9">
        <v>26</v>
      </c>
      <c r="G9">
        <f>ABS(TableBRE[[#This Row],[PP]]-TableBRE[[#This Row],[AP]])</f>
        <v>1.543694350883051</v>
      </c>
    </row>
    <row r="10" spans="1:10" x14ac:dyDescent="0.2">
      <c r="A10" t="s">
        <v>52</v>
      </c>
      <c r="B10">
        <v>28.604864031937758</v>
      </c>
      <c r="C10">
        <v>28.99018052592881</v>
      </c>
      <c r="D10">
        <v>20.732739203609999</v>
      </c>
      <c r="E10">
        <f>TableBRE[[#This Row],[ARIMAPP]]*$J$2+TableBRE[[#This Row],[LSTMPP]]*$J$3+TableBRE[[#This Row],[FORESTPP]]*$J$4</f>
        <v>33.467891625520011</v>
      </c>
      <c r="F10">
        <v>42</v>
      </c>
      <c r="G10">
        <f>ABS(TableBRE[[#This Row],[PP]]-TableBRE[[#This Row],[AP]])</f>
        <v>8.5321083744799893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53</v>
      </c>
      <c r="B2">
        <v>31.868131868131851</v>
      </c>
      <c r="C2">
        <v>30.064242167178591</v>
      </c>
      <c r="D2">
        <v>67.786630107313798</v>
      </c>
      <c r="E2">
        <f>TableBHA[[#This Row],[ARIMAPP]]*$J$2+TableBHA[[#This Row],[LSTMPP]]*$J$3+TableBHA[[#This Row],[FORESTPP]]*$J$4</f>
        <v>25.71321122696795</v>
      </c>
      <c r="F2">
        <v>27</v>
      </c>
      <c r="G2">
        <f>ABS(TableBHA[[#This Row],[PP]]-TableBHA[[#This Row],[AP]])</f>
        <v>1.2867887730320504</v>
      </c>
      <c r="I2" t="s">
        <v>0</v>
      </c>
      <c r="J2">
        <v>0.49786162094000003</v>
      </c>
    </row>
    <row r="3" spans="1:10" x14ac:dyDescent="0.2">
      <c r="A3" t="s">
        <v>54</v>
      </c>
      <c r="B3">
        <v>45.708711753008537</v>
      </c>
      <c r="C3">
        <v>32.147944632460408</v>
      </c>
      <c r="D3">
        <v>73.548634643214271</v>
      </c>
      <c r="E3">
        <f>TableBHA[[#This Row],[ARIMAPP]]*$J$2+TableBHA[[#This Row],[LSTMPP]]*$J$3+TableBHA[[#This Row],[FORESTPP]]*$J$4</f>
        <v>33.371790865271372</v>
      </c>
      <c r="F3">
        <v>27</v>
      </c>
      <c r="G3">
        <f>ABS(TableBHA[[#This Row],[PP]]-TableBHA[[#This Row],[AP]])</f>
        <v>6.3717908652713717</v>
      </c>
      <c r="I3" t="s">
        <v>1</v>
      </c>
      <c r="J3">
        <v>0.14656872406999999</v>
      </c>
    </row>
    <row r="4" spans="1:10" x14ac:dyDescent="0.2">
      <c r="A4" t="s">
        <v>55</v>
      </c>
      <c r="B4">
        <v>30.231187080939751</v>
      </c>
      <c r="C4">
        <v>32.29917239060115</v>
      </c>
      <c r="D4">
        <v>24.725017418529941</v>
      </c>
      <c r="E4">
        <f>TableBHA[[#This Row],[ARIMAPP]]*$J$2+TableBHA[[#This Row],[LSTMPP]]*$J$3+TableBHA[[#This Row],[FORESTPP]]*$J$4</f>
        <v>21.769520617057772</v>
      </c>
      <c r="F4">
        <v>24</v>
      </c>
      <c r="G4">
        <f>ABS(TableBHA[[#This Row],[PP]]-TableBHA[[#This Row],[AP]])</f>
        <v>2.230479382942228</v>
      </c>
      <c r="I4" t="s">
        <v>2</v>
      </c>
      <c r="J4">
        <v>8.0263819215999996E-2</v>
      </c>
    </row>
    <row r="5" spans="1:10" x14ac:dyDescent="0.2">
      <c r="A5" t="s">
        <v>56</v>
      </c>
      <c r="B5">
        <v>47.818057386830858</v>
      </c>
      <c r="C5">
        <v>21.400995174501439</v>
      </c>
      <c r="D5">
        <v>23.71299034664062</v>
      </c>
      <c r="E5">
        <f>TableBHA[[#This Row],[ARIMAPP]]*$J$2+TableBHA[[#This Row],[LSTMPP]]*$J$3+TableBHA[[#This Row],[FORESTPP]]*$J$4</f>
        <v>28.846787287617968</v>
      </c>
      <c r="F5">
        <v>31</v>
      </c>
      <c r="G5">
        <f>ABS(TableBHA[[#This Row],[PP]]-TableBHA[[#This Row],[AP]])</f>
        <v>2.1532127123820324</v>
      </c>
    </row>
    <row r="6" spans="1:10" x14ac:dyDescent="0.2">
      <c r="A6" t="s">
        <v>57</v>
      </c>
      <c r="B6">
        <v>17.3393630080446</v>
      </c>
      <c r="C6">
        <v>11.92894785974741</v>
      </c>
      <c r="D6">
        <v>21.076283755936689</v>
      </c>
      <c r="E6">
        <f>TableBHA[[#This Row],[ARIMAPP]]*$J$2+TableBHA[[#This Row],[LSTMPP]]*$J$3+TableBHA[[#This Row],[FORESTPP]]*$J$4</f>
        <v>12.072677069684515</v>
      </c>
      <c r="F6">
        <v>24</v>
      </c>
      <c r="G6">
        <f>ABS(TableBHA[[#This Row],[PP]]-TableBHA[[#This Row],[AP]])</f>
        <v>11.927322930315485</v>
      </c>
      <c r="I6" t="s">
        <v>3</v>
      </c>
      <c r="J6">
        <f>SUM(ABS(TableBHA[[#This Row],[PP]]-TableBHA[[#This Row],[AP]]))</f>
        <v>11.927322930315485</v>
      </c>
    </row>
    <row r="7" spans="1:10" x14ac:dyDescent="0.2">
      <c r="A7" t="s">
        <v>58</v>
      </c>
      <c r="B7">
        <v>21.538461538461529</v>
      </c>
      <c r="C7">
        <v>22.689549163880312</v>
      </c>
      <c r="D7">
        <v>39.674999999999997</v>
      </c>
      <c r="E7">
        <f>TableBHA[[#This Row],[ARIMAPP]]*$J$2+TableBHA[[#This Row],[LSTMPP]]*$J$3+TableBHA[[#This Row],[FORESTPP]]*$J$4</f>
        <v>17.233218672160575</v>
      </c>
      <c r="F7">
        <v>23</v>
      </c>
      <c r="G7">
        <f>ABS(TableBHA[[#This Row],[PP]]-TableBHA[[#This Row],[AP]])</f>
        <v>5.7667813278394249</v>
      </c>
      <c r="I7" t="s">
        <v>4</v>
      </c>
      <c r="J7">
        <f>AVERAGE(TableBHA[DIFF])/10</f>
        <v>0.51586749996842718</v>
      </c>
    </row>
    <row r="8" spans="1:10" x14ac:dyDescent="0.2">
      <c r="A8" t="s">
        <v>59</v>
      </c>
      <c r="B8">
        <v>39.403698553453992</v>
      </c>
      <c r="C8">
        <v>35.31269647059343</v>
      </c>
      <c r="D8">
        <v>32.15674176980842</v>
      </c>
      <c r="E8">
        <f>TableBHA[[#This Row],[ARIMAPP]]*$J$2+TableBHA[[#This Row],[LSTMPP]]*$J$3+TableBHA[[#This Row],[FORESTPP]]*$J$4</f>
        <v>27.374349006007311</v>
      </c>
      <c r="F8">
        <v>21</v>
      </c>
      <c r="G8">
        <f>ABS(TableBHA[[#This Row],[PP]]-TableBHA[[#This Row],[AP]])</f>
        <v>6.3743490060073107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60</v>
      </c>
      <c r="B2">
        <v>41.75338125146461</v>
      </c>
      <c r="C2">
        <v>53.069516319586917</v>
      </c>
      <c r="D2">
        <v>31.844996419150181</v>
      </c>
      <c r="E2">
        <f>TableCHE[[#This Row],[ARIMAPP]]*$J$2+TableCHE[[#This Row],[LSTMPP]]*$J$3+TableCHE[[#This Row],[FORESTPP]]*$J$4</f>
        <v>55.864769187983157</v>
      </c>
      <c r="F2">
        <v>28</v>
      </c>
      <c r="G2">
        <f>ABS(TableCHE[[#This Row],[PP]]-TableCHE[[#This Row],[AP]])</f>
        <v>27.864769187983157</v>
      </c>
      <c r="I2" t="s">
        <v>0</v>
      </c>
      <c r="J2">
        <v>1.1712179546000001</v>
      </c>
    </row>
    <row r="3" spans="1:10" x14ac:dyDescent="0.2">
      <c r="A3" t="s">
        <v>61</v>
      </c>
      <c r="B3">
        <v>29.740666213624539</v>
      </c>
      <c r="C3">
        <v>26.46877580576086</v>
      </c>
      <c r="D3">
        <v>25.279067739990278</v>
      </c>
      <c r="E3">
        <f>TableCHE[[#This Row],[ARIMAPP]]*$J$2+TableCHE[[#This Row],[LSTMPP]]*$J$3+TableCHE[[#This Row],[FORESTPP]]*$J$4</f>
        <v>40.35971393670431</v>
      </c>
      <c r="F3">
        <v>42</v>
      </c>
      <c r="G3">
        <f>ABS(TableCHE[[#This Row],[PP]]-TableCHE[[#This Row],[AP]])</f>
        <v>1.6402860632956902</v>
      </c>
      <c r="I3" t="s">
        <v>1</v>
      </c>
      <c r="J3">
        <v>0</v>
      </c>
    </row>
    <row r="4" spans="1:10" x14ac:dyDescent="0.2">
      <c r="A4" t="s">
        <v>62</v>
      </c>
      <c r="B4">
        <v>61.60345453057829</v>
      </c>
      <c r="C4">
        <v>28.952928316095591</v>
      </c>
      <c r="D4">
        <v>66.872727272727275</v>
      </c>
      <c r="E4">
        <f>TableCHE[[#This Row],[ARIMAPP]]*$J$2+TableCHE[[#This Row],[LSTMPP]]*$J$3+TableCHE[[#This Row],[FORESTPP]]*$J$4</f>
        <v>86.771850815991471</v>
      </c>
      <c r="F4">
        <v>112</v>
      </c>
      <c r="G4">
        <f>ABS(TableCHE[[#This Row],[PP]]-TableCHE[[#This Row],[AP]])</f>
        <v>25.228149184008529</v>
      </c>
      <c r="I4" t="s">
        <v>2</v>
      </c>
      <c r="J4">
        <v>0.21863589838</v>
      </c>
    </row>
    <row r="5" spans="1:10" x14ac:dyDescent="0.2">
      <c r="A5" t="s">
        <v>63</v>
      </c>
      <c r="B5">
        <v>20.72727272727273</v>
      </c>
      <c r="C5">
        <v>21.344754872623351</v>
      </c>
      <c r="D5">
        <v>18.87836437102289</v>
      </c>
      <c r="E5">
        <f>TableCHE[[#This Row],[ARIMAPP]]*$J$2+TableCHE[[#This Row],[LSTMPP]]*$J$3+TableCHE[[#This Row],[FORESTPP]]*$J$4</f>
        <v>28.403642122276306</v>
      </c>
      <c r="F5">
        <v>31</v>
      </c>
      <c r="G5">
        <f>ABS(TableCHE[[#This Row],[PP]]-TableCHE[[#This Row],[AP]])</f>
        <v>2.596357877723694</v>
      </c>
    </row>
    <row r="6" spans="1:10" x14ac:dyDescent="0.2">
      <c r="A6" t="s">
        <v>64</v>
      </c>
      <c r="B6">
        <v>25.625</v>
      </c>
      <c r="C6">
        <v>27.405745213772871</v>
      </c>
      <c r="D6">
        <v>52.03964222236268</v>
      </c>
      <c r="E6">
        <f>TableCHE[[#This Row],[ARIMAPP]]*$J$2+TableCHE[[#This Row],[LSTMPP]]*$J$3+TableCHE[[#This Row],[FORESTPP]]*$J$4</f>
        <v>41.390194015285047</v>
      </c>
      <c r="F6">
        <v>27</v>
      </c>
      <c r="G6">
        <f>ABS(TableCHE[[#This Row],[PP]]-TableCHE[[#This Row],[AP]])</f>
        <v>14.390194015285047</v>
      </c>
      <c r="I6" t="s">
        <v>3</v>
      </c>
      <c r="J6">
        <f>SUM(ABS(TableCHE[[#This Row],[PP]]-TableCHE[[#This Row],[AP]]))</f>
        <v>14.390194015285047</v>
      </c>
    </row>
    <row r="7" spans="1:10" x14ac:dyDescent="0.2">
      <c r="A7" t="s">
        <v>65</v>
      </c>
      <c r="B7">
        <v>25.588235294117641</v>
      </c>
      <c r="C7">
        <v>23.744261678765909</v>
      </c>
      <c r="D7">
        <v>15.142857142857141</v>
      </c>
      <c r="E7">
        <f>TableCHE[[#This Row],[ARIMAPP]]*$J$2+TableCHE[[#This Row],[LSTMPP]]*$J$3+TableCHE[[#This Row],[FORESTPP]]*$J$4</f>
        <v>33.280172778468568</v>
      </c>
      <c r="F7">
        <v>30</v>
      </c>
      <c r="G7">
        <f>ABS(TableCHE[[#This Row],[PP]]-TableCHE[[#This Row],[AP]])</f>
        <v>3.2801727784685681</v>
      </c>
      <c r="I7" t="s">
        <v>4</v>
      </c>
      <c r="J7">
        <f>AVERAGE(TableCHE[DIFF])/10</f>
        <v>1.0883158810690801</v>
      </c>
    </row>
    <row r="8" spans="1:10" x14ac:dyDescent="0.2">
      <c r="A8" t="s">
        <v>66</v>
      </c>
      <c r="B8">
        <v>34.347826086956523</v>
      </c>
      <c r="C8">
        <v>36.058682808348927</v>
      </c>
      <c r="D8">
        <v>77.541666666666671</v>
      </c>
      <c r="E8">
        <f>TableCHE[[#This Row],[ARIMAPP]]*$J$2+TableCHE[[#This Row],[LSTMPP]]*$J$3+TableCHE[[#This Row],[FORESTPP]]*$J$4</f>
        <v>57.182182568070914</v>
      </c>
      <c r="F8">
        <v>56</v>
      </c>
      <c r="G8">
        <f>ABS(TableCHE[[#This Row],[PP]]-TableCHE[[#This Row],[AP]])</f>
        <v>1.1821825680709139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67</v>
      </c>
      <c r="B2">
        <v>26.666666666666639</v>
      </c>
      <c r="C2">
        <v>23.330851143387239</v>
      </c>
      <c r="D2">
        <v>13.655124254932479</v>
      </c>
      <c r="E2">
        <f>TableCRY[[#This Row],[ARIMAPP]]*$J$2+TableCRY[[#This Row],[LSTMPP]]*$J$3+TableCRY[[#This Row],[FORESTPP]]*$J$4</f>
        <v>34.104820060522336</v>
      </c>
      <c r="F2">
        <v>20</v>
      </c>
      <c r="G2">
        <f>ABS(TableCRY[[#This Row],[PP]]-TableCRY[[#This Row],[AP]])</f>
        <v>14.104820060522336</v>
      </c>
      <c r="I2" t="s">
        <v>0</v>
      </c>
      <c r="J2">
        <v>1.2370669284</v>
      </c>
    </row>
    <row r="3" spans="1:10" x14ac:dyDescent="0.2">
      <c r="A3" t="s">
        <v>68</v>
      </c>
      <c r="B3">
        <v>18.34324928520946</v>
      </c>
      <c r="C3">
        <v>18.93159294697589</v>
      </c>
      <c r="D3">
        <v>18.357973000101399</v>
      </c>
      <c r="E3">
        <f>TableCRY[[#This Row],[ARIMAPP]]*$J$2+TableCRY[[#This Row],[LSTMPP]]*$J$3+TableCRY[[#This Row],[FORESTPP]]*$J$4</f>
        <v>24.192675003236594</v>
      </c>
      <c r="F3">
        <v>23</v>
      </c>
      <c r="G3">
        <f>ABS(TableCRY[[#This Row],[PP]]-TableCRY[[#This Row],[AP]])</f>
        <v>1.1926750032365945</v>
      </c>
      <c r="I3" t="s">
        <v>1</v>
      </c>
      <c r="J3">
        <v>0</v>
      </c>
    </row>
    <row r="4" spans="1:10" x14ac:dyDescent="0.2">
      <c r="A4" t="s">
        <v>69</v>
      </c>
      <c r="B4">
        <v>28.370786516853951</v>
      </c>
      <c r="C4">
        <v>24.98035738741422</v>
      </c>
      <c r="D4">
        <v>90.325845155212392</v>
      </c>
      <c r="E4">
        <f>TableCRY[[#This Row],[ARIMAPP]]*$J$2+TableCRY[[#This Row],[LSTMPP]]*$J$3+TableCRY[[#This Row],[FORESTPP]]*$J$4</f>
        <v>42.481111204096052</v>
      </c>
      <c r="F4">
        <v>23</v>
      </c>
      <c r="G4">
        <f>ABS(TableCRY[[#This Row],[PP]]-TableCRY[[#This Row],[AP]])</f>
        <v>19.481111204096052</v>
      </c>
      <c r="I4" t="s">
        <v>2</v>
      </c>
      <c r="J4">
        <v>8.1754557167000003E-2</v>
      </c>
    </row>
    <row r="5" spans="1:10" x14ac:dyDescent="0.2">
      <c r="A5" t="s">
        <v>70</v>
      </c>
      <c r="B5">
        <v>28.397795153980379</v>
      </c>
      <c r="C5">
        <v>28.25673220998253</v>
      </c>
      <c r="D5">
        <v>29.745121592900379</v>
      </c>
      <c r="E5">
        <f>TableCRY[[#This Row],[ARIMAPP]]*$J$2+TableCRY[[#This Row],[LSTMPP]]*$J$3+TableCRY[[#This Row],[FORESTPP]]*$J$4</f>
        <v>37.561772468173046</v>
      </c>
      <c r="F5">
        <v>47</v>
      </c>
      <c r="G5">
        <f>ABS(TableCRY[[#This Row],[PP]]-TableCRY[[#This Row],[AP]])</f>
        <v>9.4382275318269535</v>
      </c>
    </row>
    <row r="6" spans="1:10" x14ac:dyDescent="0.2">
      <c r="A6" t="s">
        <v>71</v>
      </c>
      <c r="B6">
        <v>37.39583333333335</v>
      </c>
      <c r="C6">
        <v>32.16158751208733</v>
      </c>
      <c r="D6">
        <v>141.0074603174603</v>
      </c>
      <c r="E6">
        <f>TableCRY[[#This Row],[ARIMAPP]]*$J$2+TableCRY[[#This Row],[LSTMPP]]*$J$3+TableCRY[[#This Row],[FORESTPP]]*$J$4</f>
        <v>57.789151152122315</v>
      </c>
      <c r="F6">
        <v>60</v>
      </c>
      <c r="G6">
        <f>ABS(TableCRY[[#This Row],[PP]]-TableCRY[[#This Row],[AP]])</f>
        <v>2.2108488478776849</v>
      </c>
      <c r="I6" t="s">
        <v>3</v>
      </c>
      <c r="J6">
        <f>SUM(ABS(TableCRY[[#This Row],[PP]]-TableCRY[[#This Row],[AP]]))</f>
        <v>2.2108488478776849</v>
      </c>
    </row>
    <row r="7" spans="1:10" x14ac:dyDescent="0.2">
      <c r="A7" t="s">
        <v>72</v>
      </c>
      <c r="B7">
        <v>30.00507431386902</v>
      </c>
      <c r="C7">
        <v>28.63386309367576</v>
      </c>
      <c r="D7">
        <v>18.190698229353458</v>
      </c>
      <c r="E7">
        <f>TableCRY[[#This Row],[ARIMAPP]]*$J$2+TableCRY[[#This Row],[LSTMPP]]*$J$3+TableCRY[[#This Row],[FORESTPP]]*$J$4</f>
        <v>38.605457596171007</v>
      </c>
      <c r="F7">
        <v>34</v>
      </c>
      <c r="G7">
        <f>ABS(TableCRY[[#This Row],[PP]]-TableCRY[[#This Row],[AP]])</f>
        <v>4.6054575961710071</v>
      </c>
      <c r="I7" t="s">
        <v>4</v>
      </c>
      <c r="J7">
        <f>AVERAGE(TableCRY[DIFF])/10</f>
        <v>1.3226485549856783</v>
      </c>
    </row>
    <row r="8" spans="1:10" x14ac:dyDescent="0.2">
      <c r="A8" t="s">
        <v>73</v>
      </c>
      <c r="B8">
        <v>23.544303797468341</v>
      </c>
      <c r="C8">
        <v>21.458262115535121</v>
      </c>
      <c r="D8">
        <v>39.17499999999999</v>
      </c>
      <c r="E8">
        <f>TableCRY[[#This Row],[ARIMAPP]]*$J$2+TableCRY[[#This Row],[LSTMPP]]*$J$3+TableCRY[[#This Row],[FORESTPP]]*$J$4</f>
        <v>32.328614357067842</v>
      </c>
      <c r="F8">
        <v>76</v>
      </c>
      <c r="G8">
        <f>ABS(TableCRY[[#This Row],[PP]]-TableCRY[[#This Row],[AP]])</f>
        <v>43.671385642932158</v>
      </c>
    </row>
    <row r="9" spans="1:10" x14ac:dyDescent="0.2">
      <c r="A9" t="s">
        <v>74</v>
      </c>
      <c r="B9">
        <v>26.1111111111111</v>
      </c>
      <c r="C9">
        <v>31.420611069588521</v>
      </c>
      <c r="D9">
        <v>22.092548176472921</v>
      </c>
      <c r="E9">
        <f>TableCRY[[#This Row],[ARIMAPP]]*$J$2+TableCRY[[#This Row],[LSTMPP]]*$J$3+TableCRY[[#This Row],[FORESTPP]]*$J$4</f>
        <v>34.107358512191482</v>
      </c>
      <c r="F9">
        <v>23</v>
      </c>
      <c r="G9">
        <f>ABS(TableCRY[[#This Row],[PP]]-TableCRY[[#This Row],[AP]])</f>
        <v>11.107358512191482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J3" sqref="J3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75</v>
      </c>
      <c r="B2">
        <v>31.287179522230979</v>
      </c>
      <c r="C2">
        <v>27.40291249285923</v>
      </c>
      <c r="D2">
        <v>20.150120013629842</v>
      </c>
      <c r="E2">
        <f>TableEVE[[#This Row],[ARIMAPP]]*$J$2+TableEVE[[#This Row],[LSTMPP]]*$J$3+TableEVE[[#This Row],[FORESTPP]]*$J$4</f>
        <v>33.169667396416806</v>
      </c>
      <c r="F2">
        <v>25</v>
      </c>
      <c r="G2">
        <f>ABS(TableEVE[[#This Row],[PP]]-TableEVE[[#This Row],[AP]])</f>
        <v>8.1696673964168056</v>
      </c>
      <c r="I2" t="s">
        <v>0</v>
      </c>
      <c r="J2">
        <v>0</v>
      </c>
    </row>
    <row r="3" spans="1:10" x14ac:dyDescent="0.2">
      <c r="A3" t="s">
        <v>76</v>
      </c>
      <c r="B3">
        <v>30.811035566204961</v>
      </c>
      <c r="C3">
        <v>28.095011832797219</v>
      </c>
      <c r="D3">
        <v>12.161539416193889</v>
      </c>
      <c r="E3">
        <f>TableEVE[[#This Row],[ARIMAPP]]*$J$2+TableEVE[[#This Row],[LSTMPP]]*$J$3+TableEVE[[#This Row],[FORESTPP]]*$J$4</f>
        <v>34.007414293466702</v>
      </c>
      <c r="F3">
        <v>28</v>
      </c>
      <c r="G3">
        <f>ABS(TableEVE[[#This Row],[PP]]-TableEVE[[#This Row],[AP]])</f>
        <v>6.0074142934667023</v>
      </c>
      <c r="I3" t="s">
        <v>1</v>
      </c>
      <c r="J3">
        <v>1.2104431383000001</v>
      </c>
    </row>
    <row r="4" spans="1:10" x14ac:dyDescent="0.2">
      <c r="A4" t="s">
        <v>77</v>
      </c>
      <c r="B4">
        <v>35.376884422110557</v>
      </c>
      <c r="C4">
        <v>33.91857358650892</v>
      </c>
      <c r="D4">
        <v>17.983098631157478</v>
      </c>
      <c r="E4">
        <f>TableEVE[[#This Row],[ARIMAPP]]*$J$2+TableEVE[[#This Row],[LSTMPP]]*$J$3+TableEVE[[#This Row],[FORESTPP]]*$J$4</f>
        <v>41.056504658713344</v>
      </c>
      <c r="F4">
        <v>48</v>
      </c>
      <c r="G4">
        <f>ABS(TableEVE[[#This Row],[PP]]-TableEVE[[#This Row],[AP]])</f>
        <v>6.9434953412866562</v>
      </c>
      <c r="I4" t="s">
        <v>2</v>
      </c>
      <c r="J4">
        <v>0</v>
      </c>
    </row>
    <row r="5" spans="1:10" x14ac:dyDescent="0.2">
      <c r="A5" t="s">
        <v>78</v>
      </c>
      <c r="B5">
        <v>23.603603603603609</v>
      </c>
      <c r="C5">
        <v>22.85030598024932</v>
      </c>
      <c r="D5">
        <v>19.231057216409031</v>
      </c>
      <c r="E5">
        <f>TableEVE[[#This Row],[ARIMAPP]]*$J$2+TableEVE[[#This Row],[LSTMPP]]*$J$3+TableEVE[[#This Row],[FORESTPP]]*$J$4</f>
        <v>27.658996081848247</v>
      </c>
      <c r="F5">
        <v>28</v>
      </c>
      <c r="G5">
        <f>ABS(TableEVE[[#This Row],[PP]]-TableEVE[[#This Row],[AP]])</f>
        <v>0.34100391815175257</v>
      </c>
    </row>
    <row r="6" spans="1:10" x14ac:dyDescent="0.2">
      <c r="A6" t="s">
        <v>79</v>
      </c>
      <c r="B6">
        <v>33.750082840689821</v>
      </c>
      <c r="C6">
        <v>34.795179891697799</v>
      </c>
      <c r="D6">
        <v>34.275696185421303</v>
      </c>
      <c r="E6">
        <f>TableEVE[[#This Row],[ARIMAPP]]*$J$2+TableEVE[[#This Row],[LSTMPP]]*$J$3+TableEVE[[#This Row],[FORESTPP]]*$J$4</f>
        <v>42.117586745819743</v>
      </c>
      <c r="F6">
        <v>41</v>
      </c>
      <c r="G6">
        <f>ABS(TableEVE[[#This Row],[PP]]-TableEVE[[#This Row],[AP]])</f>
        <v>1.117586745819743</v>
      </c>
      <c r="I6" t="s">
        <v>3</v>
      </c>
      <c r="J6">
        <f>SUM(ABS(TableEVE[[#This Row],[PP]]-TableEVE[[#This Row],[AP]]))</f>
        <v>1.117586745819743</v>
      </c>
    </row>
    <row r="7" spans="1:10" x14ac:dyDescent="0.2">
      <c r="A7" t="s">
        <v>80</v>
      </c>
      <c r="B7">
        <v>31.639344262295101</v>
      </c>
      <c r="C7">
        <v>29.485660354340389</v>
      </c>
      <c r="D7">
        <v>22.271230824710749</v>
      </c>
      <c r="E7">
        <f>TableEVE[[#This Row],[ARIMAPP]]*$J$2+TableEVE[[#This Row],[LSTMPP]]*$J$3+TableEVE[[#This Row],[FORESTPP]]*$J$4</f>
        <v>35.69071525415567</v>
      </c>
      <c r="F7">
        <v>32</v>
      </c>
      <c r="G7">
        <f>ABS(TableEVE[[#This Row],[PP]]-TableEVE[[#This Row],[AP]])</f>
        <v>3.6907152541556698</v>
      </c>
      <c r="I7" t="s">
        <v>4</v>
      </c>
      <c r="J7">
        <f>AVERAGE(TableEVE[DIFF])/10</f>
        <v>0.54637070783371444</v>
      </c>
    </row>
    <row r="8" spans="1:10" x14ac:dyDescent="0.2">
      <c r="A8" t="s">
        <v>81</v>
      </c>
      <c r="B8">
        <v>27.941176470588228</v>
      </c>
      <c r="C8">
        <v>24.80408410022817</v>
      </c>
      <c r="D8">
        <v>14.77089826839827</v>
      </c>
      <c r="E8">
        <f>TableEVE[[#This Row],[ARIMAPP]]*$J$2+TableEVE[[#This Row],[LSTMPP]]*$J$3+TableEVE[[#This Row],[FORESTPP]]*$J$4</f>
        <v>30.02393340093732</v>
      </c>
      <c r="F8">
        <v>42</v>
      </c>
      <c r="G8">
        <f>ABS(TableEVE[[#This Row],[PP]]-TableEVE[[#This Row],[AP]])</f>
        <v>11.97606659906268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activeCell="J4" sqref="J4"/>
    </sheetView>
  </sheetViews>
  <sheetFormatPr baseColWidth="10" defaultColWidth="8.83203125" defaultRowHeight="15" x14ac:dyDescent="0.2"/>
  <cols>
    <col min="2" max="4" width="0" hidden="1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0" x14ac:dyDescent="0.2">
      <c r="A2" t="s">
        <v>82</v>
      </c>
      <c r="B2">
        <v>33.753192631553027</v>
      </c>
      <c r="C2">
        <v>25.724322128313009</v>
      </c>
      <c r="D2">
        <v>53.532257894894393</v>
      </c>
      <c r="E2">
        <f>TableFUL[[#This Row],[ARIMAPP]]*$J$2+TableFUL[[#This Row],[LSTMPP]]*$J$3+TableFUL[[#This Row],[FORESTPP]]*$J$4</f>
        <v>30.095607657078951</v>
      </c>
      <c r="F2">
        <v>25</v>
      </c>
      <c r="G2">
        <f>ABS(TableFUL[[#This Row],[PP]]-TableFUL[[#This Row],[AP]])</f>
        <v>5.0956076570789506</v>
      </c>
      <c r="I2" t="s">
        <v>0</v>
      </c>
      <c r="J2">
        <v>9.7467448780999999E-2</v>
      </c>
    </row>
    <row r="3" spans="1:10" x14ac:dyDescent="0.2">
      <c r="A3" t="s">
        <v>83</v>
      </c>
      <c r="B3">
        <v>36.511774929749357</v>
      </c>
      <c r="C3">
        <v>34.027998910803312</v>
      </c>
      <c r="D3">
        <v>41.987873469571987</v>
      </c>
      <c r="E3">
        <f>TableFUL[[#This Row],[ARIMAPP]]*$J$2+TableFUL[[#This Row],[LSTMPP]]*$J$3+TableFUL[[#This Row],[FORESTPP]]*$J$4</f>
        <v>36.502028303884757</v>
      </c>
      <c r="F3">
        <v>35</v>
      </c>
      <c r="G3">
        <f>ABS(TableFUL[[#This Row],[PP]]-TableFUL[[#This Row],[AP]])</f>
        <v>1.5020283038847566</v>
      </c>
      <c r="I3" t="s">
        <v>1</v>
      </c>
      <c r="J3">
        <v>0.86045175006999997</v>
      </c>
    </row>
    <row r="4" spans="1:10" x14ac:dyDescent="0.2">
      <c r="A4" t="s">
        <v>84</v>
      </c>
      <c r="B4">
        <v>26.746987951807242</v>
      </c>
      <c r="C4">
        <v>21.953463170248909</v>
      </c>
      <c r="D4">
        <v>85.624696969696984</v>
      </c>
      <c r="E4">
        <f>TableFUL[[#This Row],[ARIMAPP]]*$J$2+TableFUL[[#This Row],[LSTMPP]]*$J$3+TableFUL[[#This Row],[FORESTPP]]*$J$4</f>
        <v>28.968479160280772</v>
      </c>
      <c r="F4">
        <v>25</v>
      </c>
      <c r="G4">
        <f>ABS(TableFUL[[#This Row],[PP]]-TableFUL[[#This Row],[AP]])</f>
        <v>3.9684791602807721</v>
      </c>
      <c r="I4" t="s">
        <v>2</v>
      </c>
      <c r="J4">
        <v>8.7260135702999994E-2</v>
      </c>
    </row>
    <row r="5" spans="1:10" x14ac:dyDescent="0.2">
      <c r="A5" t="s">
        <v>85</v>
      </c>
      <c r="B5">
        <v>31.253648117060081</v>
      </c>
      <c r="C5">
        <v>30.479681725747781</v>
      </c>
      <c r="D5">
        <v>40.253280116309448</v>
      </c>
      <c r="E5">
        <f>TableFUL[[#This Row],[ARIMAPP]]*$J$2+TableFUL[[#This Row],[LSTMPP]]*$J$3+TableFUL[[#This Row],[FORESTPP]]*$J$4</f>
        <v>32.785015515005256</v>
      </c>
      <c r="F5">
        <v>39</v>
      </c>
      <c r="G5">
        <f>ABS(TableFUL[[#This Row],[PP]]-TableFUL[[#This Row],[AP]])</f>
        <v>6.2149844849947442</v>
      </c>
    </row>
    <row r="6" spans="1:10" x14ac:dyDescent="0.2">
      <c r="A6" t="s">
        <v>86</v>
      </c>
      <c r="B6">
        <v>24.827586206896552</v>
      </c>
      <c r="C6">
        <v>22.138686227291679</v>
      </c>
      <c r="D6">
        <v>55.980494505494519</v>
      </c>
      <c r="E6">
        <f>TableFUL[[#This Row],[ARIMAPP]]*$J$2+TableFUL[[#This Row],[LSTMPP]]*$J$3+TableFUL[[#This Row],[FORESTPP]]*$J$4</f>
        <v>26.354018342770775</v>
      </c>
      <c r="F6">
        <v>30</v>
      </c>
      <c r="G6">
        <f>ABS(TableFUL[[#This Row],[PP]]-TableFUL[[#This Row],[AP]])</f>
        <v>3.6459816572292247</v>
      </c>
      <c r="I6" t="s">
        <v>3</v>
      </c>
      <c r="J6">
        <f>SUM(ABS(TableFUL[[#This Row],[PP]]-TableFUL[[#This Row],[AP]]))</f>
        <v>3.6459816572292247</v>
      </c>
    </row>
    <row r="7" spans="1:10" x14ac:dyDescent="0.2">
      <c r="A7" t="s">
        <v>87</v>
      </c>
      <c r="B7">
        <v>34.745762711864387</v>
      </c>
      <c r="C7">
        <v>46.494163142468473</v>
      </c>
      <c r="D7">
        <v>25.188100568066488</v>
      </c>
      <c r="E7">
        <f>TableFUL[[#This Row],[ARIMAPP]]*$J$2+TableFUL[[#This Row],[LSTMPP]]*$J$3+TableFUL[[#This Row],[FORESTPP]]*$J$4</f>
        <v>45.590481965122798</v>
      </c>
      <c r="F7">
        <v>44</v>
      </c>
      <c r="G7">
        <f>ABS(TableFUL[[#This Row],[PP]]-TableFUL[[#This Row],[AP]])</f>
        <v>1.5904819651227982</v>
      </c>
      <c r="I7" t="s">
        <v>4</v>
      </c>
      <c r="J7">
        <f>AVERAGE(TableFUL[DIFF])/10</f>
        <v>0.38204588620446345</v>
      </c>
    </row>
    <row r="8" spans="1:10" x14ac:dyDescent="0.2">
      <c r="A8" t="s">
        <v>88</v>
      </c>
      <c r="B8">
        <v>21.897568391351001</v>
      </c>
      <c r="C8">
        <v>15.471743720166611</v>
      </c>
      <c r="D8">
        <v>55.321505852855353</v>
      </c>
      <c r="E8">
        <f>TableFUL[[#This Row],[ARIMAPP]]*$J$2+TableFUL[[#This Row],[LSTMPP]]*$J$3+TableFUL[[#This Row],[FORESTPP]]*$J$4</f>
        <v>20.274351194278807</v>
      </c>
      <c r="F8">
        <v>25</v>
      </c>
      <c r="G8">
        <f>ABS(TableFUL[[#This Row],[PP]]-TableFUL[[#This Row],[AP]])</f>
        <v>4.7256488057211925</v>
      </c>
    </row>
  </sheetData>
  <conditionalFormatting sqref="J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ARS</vt:lpstr>
      <vt:lpstr>AVL</vt:lpstr>
      <vt:lpstr>BOU</vt:lpstr>
      <vt:lpstr>BRE</vt:lpstr>
      <vt:lpstr>BHA</vt:lpstr>
      <vt:lpstr>CHE</vt:lpstr>
      <vt:lpstr>CRY</vt:lpstr>
      <vt:lpstr>EVE</vt:lpstr>
      <vt:lpstr>FUL</vt:lpstr>
      <vt:lpstr>LIV</vt:lpstr>
      <vt:lpstr>MCI</vt:lpstr>
      <vt:lpstr>MUN</vt:lpstr>
      <vt:lpstr>NEW</vt:lpstr>
      <vt:lpstr>NFO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2024-08-10T16:35:37Z</dcterms:created>
  <dcterms:modified xsi:type="dcterms:W3CDTF">2024-08-10T16:40:12Z</dcterms:modified>
</cp:coreProperties>
</file>