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4F6389CC-11CE-1D46-82B1-53056F4FE139}" xr6:coauthVersionLast="47" xr6:coauthVersionMax="47" xr10:uidLastSave="{00000000-0000-0000-0000-000000000000}"/>
  <bookViews>
    <workbookView xWindow="240" yWindow="760" windowWidth="29040" windowHeight="20020" xr2:uid="{00000000-000D-0000-FFFF-FFFF00000000}"/>
  </bookViews>
  <sheets>
    <sheet name="Sheet1" sheetId="1" r:id="rId1"/>
  </sheets>
  <definedNames>
    <definedName name="solver_adj" localSheetId="0" hidden="1">Sheet1!$AK$2:$AK$121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Sheet1!$AK$2:$AK$121</definedName>
    <definedName name="solver_lhs2" localSheetId="0" hidden="1">Sheet1!$AN$10:$AN$29</definedName>
    <definedName name="solver_lhs3" localSheetId="0" hidden="1">Sheet1!$AO$4:$AO$7</definedName>
    <definedName name="solver_lhs4" localSheetId="0" hidden="1">Sheet1!$AO$4:$AO$7</definedName>
    <definedName name="solver_lhs5" localSheetId="0" hidden="1">Sheet1!$AO$8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Sheet1!$AN$2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hs1" localSheetId="0" hidden="1">"binary"</definedName>
    <definedName name="solver_rhs2" localSheetId="0" hidden="1">Sheet1!$AO$10:$AO$29</definedName>
    <definedName name="solver_rhs3" localSheetId="0" hidden="1">Sheet1!$AP$4:$AP$7</definedName>
    <definedName name="solver_rhs4" localSheetId="0" hidden="1">Sheet1!$AN$4:$AN$7</definedName>
    <definedName name="solver_rhs5" localSheetId="0" hidden="1">Sheet1!$AP$8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53" i="1"/>
  <c r="AI82" i="1"/>
  <c r="AI99" i="1"/>
  <c r="AI98" i="1"/>
  <c r="AI97" i="1"/>
  <c r="AI96" i="1"/>
  <c r="AI62" i="1"/>
  <c r="AI83" i="1"/>
  <c r="AI93" i="1"/>
  <c r="AI63" i="1"/>
  <c r="AI91" i="1"/>
  <c r="AI90" i="1"/>
  <c r="AI94" i="1"/>
  <c r="AI88" i="1"/>
  <c r="AI87" i="1"/>
  <c r="AI86" i="1"/>
  <c r="AI85" i="1"/>
  <c r="AI47" i="1"/>
  <c r="AI92" i="1"/>
  <c r="AI46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100" i="1"/>
  <c r="AI84" i="1"/>
  <c r="AI61" i="1"/>
  <c r="AI60" i="1"/>
  <c r="AI59" i="1"/>
  <c r="AI58" i="1"/>
  <c r="AI57" i="1"/>
  <c r="AI56" i="1"/>
  <c r="AI55" i="1"/>
  <c r="AI54" i="1"/>
  <c r="AI49" i="1"/>
  <c r="AI52" i="1"/>
  <c r="AI51" i="1"/>
  <c r="AI50" i="1"/>
  <c r="AI95" i="1"/>
  <c r="AI48" i="1"/>
  <c r="AI10" i="1"/>
  <c r="AI89" i="1"/>
  <c r="AI45" i="1"/>
  <c r="AI44" i="1"/>
  <c r="AI43" i="1"/>
  <c r="AI42" i="1"/>
  <c r="AI41" i="1"/>
  <c r="AI40" i="1"/>
  <c r="AI39" i="1"/>
  <c r="AI38" i="1"/>
  <c r="AN29" i="1"/>
  <c r="AI37" i="1"/>
  <c r="AN28" i="1"/>
  <c r="AI36" i="1"/>
  <c r="AN27" i="1"/>
  <c r="AI35" i="1"/>
  <c r="AN26" i="1"/>
  <c r="AI34" i="1"/>
  <c r="AN25" i="1"/>
  <c r="AI33" i="1"/>
  <c r="AN24" i="1"/>
  <c r="AI32" i="1"/>
  <c r="AN23" i="1"/>
  <c r="AI31" i="1"/>
  <c r="AN22" i="1"/>
  <c r="AI30" i="1"/>
  <c r="AN21" i="1"/>
  <c r="AI29" i="1"/>
  <c r="AN20" i="1"/>
  <c r="AI28" i="1"/>
  <c r="AN19" i="1"/>
  <c r="AI27" i="1"/>
  <c r="AN18" i="1"/>
  <c r="AI26" i="1"/>
  <c r="AN17" i="1"/>
  <c r="AI25" i="1"/>
  <c r="AN16" i="1"/>
  <c r="AI24" i="1"/>
  <c r="AN15" i="1"/>
  <c r="AI23" i="1"/>
  <c r="AN14" i="1"/>
  <c r="AI22" i="1"/>
  <c r="AN13" i="1"/>
  <c r="AI21" i="1"/>
  <c r="AN12" i="1"/>
  <c r="AI20" i="1"/>
  <c r="AN11" i="1"/>
  <c r="AI19" i="1"/>
  <c r="AN10" i="1"/>
  <c r="AI18" i="1"/>
  <c r="AI17" i="1"/>
  <c r="AI16" i="1"/>
  <c r="AI15" i="1"/>
  <c r="AI14" i="1"/>
  <c r="AI13" i="1"/>
  <c r="AI12" i="1"/>
  <c r="AI11" i="1"/>
  <c r="AI101" i="1"/>
  <c r="AO7" i="1"/>
  <c r="AI9" i="1"/>
  <c r="AO6" i="1"/>
  <c r="AI8" i="1"/>
  <c r="AO5" i="1"/>
  <c r="AI7" i="1"/>
  <c r="AO4" i="1"/>
  <c r="AI6" i="1"/>
  <c r="AI5" i="1"/>
  <c r="AI4" i="1"/>
  <c r="AI3" i="1"/>
  <c r="AI2" i="1"/>
  <c r="AO8" i="1" l="1"/>
</calcChain>
</file>

<file path=xl/sharedStrings.xml><?xml version="1.0" encoding="utf-8"?>
<sst xmlns="http://schemas.openxmlformats.org/spreadsheetml/2006/main" count="663" uniqueCount="293">
  <si>
    <t>Total Points</t>
  </si>
  <si>
    <t>MAX</t>
  </si>
  <si>
    <t>GKP</t>
  </si>
  <si>
    <t>DEF</t>
  </si>
  <si>
    <t>MID</t>
  </si>
  <si>
    <t>FWD</t>
  </si>
  <si>
    <t>Cost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</si>
  <si>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</si>
  <si>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</si>
  <si>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</si>
  <si>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</si>
  <si>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</si>
  <si>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</si>
  <si>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</si>
  <si>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</si>
  <si>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</si>
  <si>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</si>
  <si>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</si>
  <si>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</si>
  <si>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</si>
  <si>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</si>
  <si>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</si>
  <si>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</si>
  <si>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</si>
  <si>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</si>
  <si>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</si>
  <si>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</si>
  <si>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</si>
  <si>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</si>
  <si>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</si>
  <si>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</si>
  <si>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</si>
  <si>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</si>
  <si>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</si>
  <si>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</si>
  <si>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</si>
  <si>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NEXT</t>
  </si>
  <si>
    <t>Health</t>
  </si>
  <si>
    <t>Selected</t>
  </si>
  <si>
    <t>Gabriel</t>
  </si>
  <si>
    <t>dos Santos Magalhães</t>
  </si>
  <si>
    <t>Kai</t>
  </si>
  <si>
    <t>Havertz</t>
  </si>
  <si>
    <t>Martin</t>
  </si>
  <si>
    <t>Ødegaard</t>
  </si>
  <si>
    <t>David</t>
  </si>
  <si>
    <t>Raya Martin</t>
  </si>
  <si>
    <t>Raya</t>
  </si>
  <si>
    <t>Declan</t>
  </si>
  <si>
    <t>Rice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</si>
  <si>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</si>
  <si>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</si>
  <si>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</si>
  <si>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</si>
  <si>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</si>
  <si>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</si>
  <si>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</si>
  <si>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</si>
  <si>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</si>
  <si>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</si>
  <si>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Cameron</t>
  </si>
  <si>
    <t>Archer</t>
  </si>
  <si>
    <t>Leon</t>
  </si>
  <si>
    <t>Bailey</t>
  </si>
  <si>
    <t>Ross</t>
  </si>
  <si>
    <t>Barkley</t>
  </si>
  <si>
    <t>Moussa</t>
  </si>
  <si>
    <t>Diaby</t>
  </si>
  <si>
    <t>Emiliano</t>
  </si>
  <si>
    <t>Martínez Romero</t>
  </si>
  <si>
    <t>Martinez</t>
  </si>
  <si>
    <t>John</t>
  </si>
  <si>
    <t>McGinn</t>
  </si>
  <si>
    <t>Pau</t>
  </si>
  <si>
    <t>Torres</t>
  </si>
  <si>
    <t>Youri</t>
  </si>
  <si>
    <t>Tielemans</t>
  </si>
  <si>
    <t>Ollie</t>
  </si>
  <si>
    <t>Watkins</t>
  </si>
  <si>
    <t>Ryan</t>
  </si>
  <si>
    <t>Christie</t>
  </si>
  <si>
    <t>Lewis</t>
  </si>
  <si>
    <t>Cook</t>
  </si>
  <si>
    <t>Justin</t>
  </si>
  <si>
    <t>Kluivert</t>
  </si>
  <si>
    <t>Norberto</t>
  </si>
  <si>
    <t>Murara Neto</t>
  </si>
  <si>
    <t>Neto</t>
  </si>
  <si>
    <t>Antoine</t>
  </si>
  <si>
    <t>Semenyo</t>
  </si>
  <si>
    <t>Marcos</t>
  </si>
  <si>
    <t>Senesi</t>
  </si>
  <si>
    <t>Adam</t>
  </si>
  <si>
    <t>Smith</t>
  </si>
  <si>
    <t>Marcus</t>
  </si>
  <si>
    <t>Tavernier</t>
  </si>
  <si>
    <t>Illia</t>
  </si>
  <si>
    <t>Zabarnyi</t>
  </si>
  <si>
    <t>Kristoffer</t>
  </si>
  <si>
    <t>Ajer</t>
  </si>
  <si>
    <t>Nathan</t>
  </si>
  <si>
    <t>Collins</t>
  </si>
  <si>
    <t>Mark</t>
  </si>
  <si>
    <t>Flekken</t>
  </si>
  <si>
    <t>Vitaly</t>
  </si>
  <si>
    <t>Janelt</t>
  </si>
  <si>
    <t>Keane</t>
  </si>
  <si>
    <t>Lewis-Potter</t>
  </si>
  <si>
    <t>Christian</t>
  </si>
  <si>
    <t>Nørgaard</t>
  </si>
  <si>
    <t>Ethan</t>
  </si>
  <si>
    <t>Pinnock</t>
  </si>
  <si>
    <t>Yoane</t>
  </si>
  <si>
    <t>Wissa</t>
  </si>
  <si>
    <t>Dunk</t>
  </si>
  <si>
    <t>Pascal</t>
  </si>
  <si>
    <t>Groß</t>
  </si>
  <si>
    <t>Gross</t>
  </si>
  <si>
    <t>João Pedro</t>
  </si>
  <si>
    <t>Junqueira de Jesus</t>
  </si>
  <si>
    <t>Danny</t>
  </si>
  <si>
    <t>Welbeck</t>
  </si>
  <si>
    <t>Moisés</t>
  </si>
  <si>
    <t>Caicedo Corozo</t>
  </si>
  <si>
    <t>Caicedo</t>
  </si>
  <si>
    <t>Enzo</t>
  </si>
  <si>
    <t>Fernández</t>
  </si>
  <si>
    <t>Conor</t>
  </si>
  <si>
    <t>Gallagher</t>
  </si>
  <si>
    <t>Mykhailo</t>
  </si>
  <si>
    <t>Mudryk</t>
  </si>
  <si>
    <t>Nicolas</t>
  </si>
  <si>
    <t>Jackson</t>
  </si>
  <si>
    <t>N.Jackson</t>
  </si>
  <si>
    <t>Cole</t>
  </si>
  <si>
    <t>Palmer</t>
  </si>
  <si>
    <t>Raheem</t>
  </si>
  <si>
    <t>Sterling</t>
  </si>
  <si>
    <t>Joachim</t>
  </si>
  <si>
    <t>Andersen</t>
  </si>
  <si>
    <t>Jordan</t>
  </si>
  <si>
    <t>Ayew</t>
  </si>
  <si>
    <t>J.Ayew</t>
  </si>
  <si>
    <t>Eberechi</t>
  </si>
  <si>
    <t>Eze</t>
  </si>
  <si>
    <t>Will</t>
  </si>
  <si>
    <t>Hughes</t>
  </si>
  <si>
    <t>Jean-Philippe</t>
  </si>
  <si>
    <t>Mateta</t>
  </si>
  <si>
    <t>Tyrick</t>
  </si>
  <si>
    <t>Mitchell</t>
  </si>
  <si>
    <t>Jeffrey</t>
  </si>
  <si>
    <t>Schlupp</t>
  </si>
  <si>
    <t>Abdoulaye</t>
  </si>
  <si>
    <t>Doucouré</t>
  </si>
  <si>
    <t>A.Doucoure</t>
  </si>
  <si>
    <t>Jarrad</t>
  </si>
  <si>
    <t>Branthwaite</t>
  </si>
  <si>
    <t>Dominic</t>
  </si>
  <si>
    <t>Calvert-Lewin</t>
  </si>
  <si>
    <t>James</t>
  </si>
  <si>
    <t>Garner</t>
  </si>
  <si>
    <t>Jack</t>
  </si>
  <si>
    <t>Harrison</t>
  </si>
  <si>
    <t>Dwight</t>
  </si>
  <si>
    <t>McNeil</t>
  </si>
  <si>
    <t>Vitalii</t>
  </si>
  <si>
    <t>Mykolenko</t>
  </si>
  <si>
    <t>Pickford</t>
  </si>
  <si>
    <t>Tarkowski</t>
  </si>
  <si>
    <t>Ashley</t>
  </si>
  <si>
    <t>Young</t>
  </si>
  <si>
    <t>Andreas</t>
  </si>
  <si>
    <t>Hoelgebaum Pereira</t>
  </si>
  <si>
    <t>Timothy</t>
  </si>
  <si>
    <t>Castagne</t>
  </si>
  <si>
    <t>Alex</t>
  </si>
  <si>
    <t>Iwobi</t>
  </si>
  <si>
    <t>Bernd</t>
  </si>
  <si>
    <t>Leno</t>
  </si>
  <si>
    <t>Harry</t>
  </si>
  <si>
    <t>Wilson</t>
  </si>
  <si>
    <t>Alisson</t>
  </si>
  <si>
    <t>Ramses Becker</t>
  </si>
  <si>
    <t>A.Becker</t>
  </si>
  <si>
    <t>Harvey</t>
  </si>
  <si>
    <t>Elliott</t>
  </si>
  <si>
    <t>Cody</t>
  </si>
  <si>
    <t>Gakpo</t>
  </si>
  <si>
    <t>Luis</t>
  </si>
  <si>
    <t>Díaz</t>
  </si>
  <si>
    <t>Luis Díaz</t>
  </si>
  <si>
    <t>Mohamed</t>
  </si>
  <si>
    <t>Salah</t>
  </si>
  <si>
    <t>M.Salah</t>
  </si>
  <si>
    <t>Alexis</t>
  </si>
  <si>
    <t>Mac Allister</t>
  </si>
  <si>
    <t>Manuel</t>
  </si>
  <si>
    <t>Akanji</t>
  </si>
  <si>
    <t>Aké</t>
  </si>
  <si>
    <t>Bernardo</t>
  </si>
  <si>
    <t>Veiga de Carvalho e Silva</t>
  </si>
  <si>
    <t>Jérémy</t>
  </si>
  <si>
    <t>Doku</t>
  </si>
  <si>
    <t>Ederson</t>
  </si>
  <si>
    <t>Santana de Moraes</t>
  </si>
  <si>
    <t>Ederson M.</t>
  </si>
  <si>
    <t>Phil</t>
  </si>
  <si>
    <t>Foden</t>
  </si>
  <si>
    <t>Joško</t>
  </si>
  <si>
    <t>Gvardiol</t>
  </si>
  <si>
    <t>Erling</t>
  </si>
  <si>
    <t>Haaland</t>
  </si>
  <si>
    <t>Julián</t>
  </si>
  <si>
    <t>Álvarez</t>
  </si>
  <si>
    <t>J.Alvarez</t>
  </si>
  <si>
    <t>Rúben</t>
  </si>
  <si>
    <t>Gato Alves Dias</t>
  </si>
  <si>
    <t>Kyle</t>
  </si>
  <si>
    <t>Walker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</si>
  <si>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</si>
  <si>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</si>
  <si>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</si>
  <si>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</si>
  <si>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</si>
  <si>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</si>
  <si>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</si>
  <si>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</si>
  <si>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Rasmus</t>
  </si>
  <si>
    <t>Højlund</t>
  </si>
  <si>
    <t>André</t>
  </si>
  <si>
    <t>Onana</t>
  </si>
  <si>
    <t>Guimarães Rodriguez Moura</t>
  </si>
  <si>
    <t>Bruno G.</t>
  </si>
  <si>
    <t>Anthony</t>
  </si>
  <si>
    <t>Gordon</t>
  </si>
  <si>
    <t>Alexander</t>
  </si>
  <si>
    <t>Isak</t>
  </si>
  <si>
    <t>Sean</t>
  </si>
  <si>
    <t>Longstaff</t>
  </si>
  <si>
    <t>Fabian</t>
  </si>
  <si>
    <t>Schär</t>
  </si>
  <si>
    <t>Danilo</t>
  </si>
  <si>
    <t>dos Santos de Oliveira</t>
  </si>
  <si>
    <t>Elanga</t>
  </si>
  <si>
    <t>Morgan</t>
  </si>
  <si>
    <t>Gibbs-White</t>
  </si>
  <si>
    <t>Callum</t>
  </si>
  <si>
    <t>Hudson-Odoi</t>
  </si>
  <si>
    <t>Chris</t>
  </si>
  <si>
    <t>Wood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</si>
  <si>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</si>
  <si>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</si>
  <si>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</si>
  <si>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</si>
  <si>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</si>
  <si>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</si>
  <si>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</si>
  <si>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</si>
  <si>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</si>
  <si>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</si>
  <si>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Son</t>
  </si>
  <si>
    <t>Heung-min</t>
  </si>
  <si>
    <t>Guglielmo</t>
  </si>
  <si>
    <t>Vicario</t>
  </si>
  <si>
    <t>Michail</t>
  </si>
  <si>
    <t>Antonio</t>
  </si>
  <si>
    <t>Alphonse</t>
  </si>
  <si>
    <t>Areola</t>
  </si>
  <si>
    <t>Jarrod</t>
  </si>
  <si>
    <t>Bowen</t>
  </si>
  <si>
    <t>Wes</t>
  </si>
  <si>
    <t>Foderingham</t>
  </si>
  <si>
    <t>Mohammed</t>
  </si>
  <si>
    <t>Kudus</t>
  </si>
  <si>
    <t>Tomáš</t>
  </si>
  <si>
    <t>Souček</t>
  </si>
  <si>
    <t>Ward-Prowse</t>
  </si>
  <si>
    <t>Matheus</t>
  </si>
  <si>
    <t>Santos Carneiro Da Cunha</t>
  </si>
  <si>
    <t>Cunha</t>
  </si>
  <si>
    <t>Hwang</t>
  </si>
  <si>
    <t>Hee-chan</t>
  </si>
  <si>
    <t>Hee Chan</t>
  </si>
  <si>
    <t>José</t>
  </si>
  <si>
    <t>Malheiro de Sá</t>
  </si>
  <si>
    <t>José Sá</t>
  </si>
  <si>
    <t>Mario</t>
  </si>
  <si>
    <t>Lemina</t>
  </si>
  <si>
    <t>Mario Jr.</t>
  </si>
  <si>
    <t>Toti António</t>
  </si>
  <si>
    <t>Gomes</t>
  </si>
  <si>
    <t>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</si>
</sst>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21" totalsRowShown="0">
  <autoFilter ref="A1:AK121" xr:uid="{00000000-0009-0000-0100-000001000000}">
    <filterColumn colId="36">
      <filters>
        <filter val="1"/>
      </filters>
    </filterColumn>
  </autoFilter>
  <sortState xmlns:xlrd2="http://schemas.microsoft.com/office/spreadsheetml/2017/richdata2" ref="A10:AK101">
    <sortCondition descending="1" ref="AI1:AI121"/>
  </sortState>
  <tableColumns count="37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6" xr3:uid="{00000000-0010-0000-0000-000024000000}" name="NEXT"/>
    <tableColumn id="37" xr3:uid="{00000000-0010-0000-0000-000025000000}" name="Health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tabSelected="1" workbookViewId="0">
      <selection activeCell="C84" sqref="C84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2" x14ac:dyDescent="0.2">
      <c r="A1" t="s">
        <v>27</v>
      </c>
      <c r="B1" t="s">
        <v>28</v>
      </c>
      <c r="C1" t="s">
        <v>29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6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42" hidden="1" x14ac:dyDescent="0.2">
      <c r="A2" t="s">
        <v>39</v>
      </c>
      <c r="B2" t="s">
        <v>40</v>
      </c>
      <c r="C2" t="s">
        <v>39</v>
      </c>
      <c r="D2" t="s">
        <v>3</v>
      </c>
      <c r="E2">
        <v>0</v>
      </c>
      <c r="F2">
        <v>1</v>
      </c>
      <c r="G2">
        <v>0</v>
      </c>
      <c r="H2">
        <v>0</v>
      </c>
      <c r="I2" t="s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2</v>
      </c>
      <c r="AF2">
        <v>0</v>
      </c>
      <c r="AG2">
        <v>19.18665858842348</v>
      </c>
      <c r="AH2">
        <v>17.984280571635711</v>
      </c>
      <c r="AI2">
        <f>3.59843538348932*1</f>
        <v>3.5984353834893201</v>
      </c>
      <c r="AJ2">
        <v>1</v>
      </c>
      <c r="AK2">
        <v>0</v>
      </c>
      <c r="AM2" t="s">
        <v>0</v>
      </c>
      <c r="AN2">
        <f>SUMPRODUCT(Table1[Selected],Table1[NEXT])</f>
        <v>47.630195933174299</v>
      </c>
      <c r="AO2" t="s">
        <v>1</v>
      </c>
    </row>
    <row r="3" spans="1:42" hidden="1" x14ac:dyDescent="0.2">
      <c r="A3" t="s">
        <v>41</v>
      </c>
      <c r="B3" t="s">
        <v>42</v>
      </c>
      <c r="C3" t="s">
        <v>42</v>
      </c>
      <c r="D3" t="s">
        <v>5</v>
      </c>
      <c r="E3">
        <v>0</v>
      </c>
      <c r="F3">
        <v>0</v>
      </c>
      <c r="G3">
        <v>0</v>
      </c>
      <c r="H3">
        <v>1</v>
      </c>
      <c r="I3" t="s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3</v>
      </c>
      <c r="AF3">
        <v>0</v>
      </c>
      <c r="AG3">
        <v>15.159243452564869</v>
      </c>
      <c r="AH3">
        <v>25.89489795918368</v>
      </c>
      <c r="AI3">
        <f>3.43875206031624*1</f>
        <v>3.43875206031624</v>
      </c>
      <c r="AJ3">
        <v>1</v>
      </c>
      <c r="AK3">
        <v>0</v>
      </c>
    </row>
    <row r="4" spans="1:42" hidden="1" x14ac:dyDescent="0.2">
      <c r="A4" t="s">
        <v>43</v>
      </c>
      <c r="B4" t="s">
        <v>44</v>
      </c>
      <c r="C4" t="s">
        <v>44</v>
      </c>
      <c r="D4" t="s">
        <v>4</v>
      </c>
      <c r="E4">
        <v>0</v>
      </c>
      <c r="F4">
        <v>0</v>
      </c>
      <c r="G4">
        <v>1</v>
      </c>
      <c r="H4">
        <v>0</v>
      </c>
      <c r="I4" t="s">
        <v>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8.5</v>
      </c>
      <c r="AE4">
        <v>12</v>
      </c>
      <c r="AF4">
        <v>0</v>
      </c>
      <c r="AG4">
        <v>23.555036908435689</v>
      </c>
      <c r="AH4">
        <v>34.272604791893428</v>
      </c>
      <c r="AI4">
        <f>4.94627679868766*1</f>
        <v>4.9462767986876601</v>
      </c>
      <c r="AJ4">
        <v>1</v>
      </c>
      <c r="AK4">
        <v>0</v>
      </c>
      <c r="AM4" t="s">
        <v>2</v>
      </c>
      <c r="AN4">
        <v>1</v>
      </c>
      <c r="AO4">
        <f>SUMPRODUCT(Table1[Selected],Table1[GKP])</f>
        <v>1</v>
      </c>
      <c r="AP4">
        <v>1</v>
      </c>
    </row>
    <row r="5" spans="1:42" hidden="1" x14ac:dyDescent="0.2">
      <c r="A5" t="s">
        <v>45</v>
      </c>
      <c r="B5" t="s">
        <v>46</v>
      </c>
      <c r="C5" t="s">
        <v>47</v>
      </c>
      <c r="D5" t="s">
        <v>2</v>
      </c>
      <c r="E5">
        <v>1</v>
      </c>
      <c r="F5">
        <v>0</v>
      </c>
      <c r="G5">
        <v>0</v>
      </c>
      <c r="H5">
        <v>0</v>
      </c>
      <c r="I5" t="s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5.5</v>
      </c>
      <c r="AE5">
        <v>14</v>
      </c>
      <c r="AF5">
        <v>0</v>
      </c>
      <c r="AG5">
        <v>18.68496316595493</v>
      </c>
      <c r="AH5">
        <v>17.751895280122749</v>
      </c>
      <c r="AI5">
        <f>3.68516799141216*1</f>
        <v>3.6851679914121598</v>
      </c>
      <c r="AJ5">
        <v>1</v>
      </c>
      <c r="AK5">
        <v>0</v>
      </c>
      <c r="AM5" t="s">
        <v>3</v>
      </c>
      <c r="AN5">
        <v>1</v>
      </c>
      <c r="AO5">
        <f>SUMPRODUCT(Table1[Selected],Table1[DEF])</f>
        <v>1</v>
      </c>
      <c r="AP5">
        <v>2</v>
      </c>
    </row>
    <row r="6" spans="1:42" hidden="1" x14ac:dyDescent="0.2">
      <c r="A6" t="s">
        <v>48</v>
      </c>
      <c r="B6" t="s">
        <v>49</v>
      </c>
      <c r="C6" t="s">
        <v>49</v>
      </c>
      <c r="D6" t="s">
        <v>4</v>
      </c>
      <c r="E6">
        <v>0</v>
      </c>
      <c r="F6">
        <v>0</v>
      </c>
      <c r="G6">
        <v>1</v>
      </c>
      <c r="H6">
        <v>0</v>
      </c>
      <c r="I6" t="s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6.5</v>
      </c>
      <c r="AE6">
        <v>15</v>
      </c>
      <c r="AF6">
        <v>0</v>
      </c>
      <c r="AG6">
        <v>14.188914662979879</v>
      </c>
      <c r="AH6">
        <v>43.804003990251623</v>
      </c>
      <c r="AI6">
        <f>3.91324363732087*1</f>
        <v>3.9132436373208699</v>
      </c>
      <c r="AJ6">
        <v>1</v>
      </c>
      <c r="AK6">
        <v>0</v>
      </c>
      <c r="AM6" t="s">
        <v>4</v>
      </c>
      <c r="AN6">
        <v>1</v>
      </c>
      <c r="AO6">
        <f>SUMPRODUCT(Table1[Selected],Table1[MID])</f>
        <v>2</v>
      </c>
      <c r="AP6">
        <v>2</v>
      </c>
    </row>
    <row r="7" spans="1:42" hidden="1" x14ac:dyDescent="0.2">
      <c r="A7" t="s">
        <v>50</v>
      </c>
      <c r="B7" t="s">
        <v>51</v>
      </c>
      <c r="C7" t="s">
        <v>51</v>
      </c>
      <c r="D7" t="s">
        <v>4</v>
      </c>
      <c r="E7">
        <v>0</v>
      </c>
      <c r="F7">
        <v>0</v>
      </c>
      <c r="G7">
        <v>1</v>
      </c>
      <c r="H7">
        <v>0</v>
      </c>
      <c r="I7" t="s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16</v>
      </c>
      <c r="AF7">
        <v>0</v>
      </c>
      <c r="AG7">
        <v>23.20864804616053</v>
      </c>
      <c r="AH7">
        <v>41.2</v>
      </c>
      <c r="AI7">
        <f>5.72114227512408*1</f>
        <v>5.7211422751240804</v>
      </c>
      <c r="AJ7">
        <v>1</v>
      </c>
      <c r="AK7">
        <v>0</v>
      </c>
      <c r="AM7" t="s">
        <v>5</v>
      </c>
      <c r="AN7">
        <v>0</v>
      </c>
      <c r="AO7">
        <f>SUMPRODUCT(Table1[Selected],Table1[FWD])</f>
        <v>1</v>
      </c>
      <c r="AP7">
        <v>2</v>
      </c>
    </row>
    <row r="8" spans="1:42" hidden="1" x14ac:dyDescent="0.2">
      <c r="A8" t="s">
        <v>52</v>
      </c>
      <c r="B8" t="s">
        <v>53</v>
      </c>
      <c r="C8" t="s">
        <v>53</v>
      </c>
      <c r="D8" t="s">
        <v>3</v>
      </c>
      <c r="E8">
        <v>0</v>
      </c>
      <c r="F8">
        <v>1</v>
      </c>
      <c r="G8">
        <v>0</v>
      </c>
      <c r="H8">
        <v>0</v>
      </c>
      <c r="I8" t="s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17</v>
      </c>
      <c r="AF8">
        <v>0</v>
      </c>
      <c r="AG8">
        <v>20.702827178835889</v>
      </c>
      <c r="AH8">
        <v>21.964094707872981</v>
      </c>
      <c r="AI8">
        <f>3.94501333176391*1</f>
        <v>3.94501333176391</v>
      </c>
      <c r="AJ8">
        <v>1</v>
      </c>
      <c r="AK8">
        <v>0</v>
      </c>
      <c r="AO8">
        <f>SUM(AO4:AO7)</f>
        <v>5</v>
      </c>
      <c r="AP8">
        <v>5</v>
      </c>
    </row>
    <row r="9" spans="1:42" hidden="1" x14ac:dyDescent="0.2">
      <c r="A9" t="s">
        <v>54</v>
      </c>
      <c r="B9" t="s">
        <v>55</v>
      </c>
      <c r="C9" t="s">
        <v>55</v>
      </c>
      <c r="D9" t="s">
        <v>4</v>
      </c>
      <c r="E9">
        <v>0</v>
      </c>
      <c r="F9">
        <v>0</v>
      </c>
      <c r="G9">
        <v>1</v>
      </c>
      <c r="H9">
        <v>0</v>
      </c>
      <c r="I9" t="s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22</v>
      </c>
      <c r="AF9">
        <v>0</v>
      </c>
      <c r="AG9">
        <v>22.396824021913059</v>
      </c>
      <c r="AH9">
        <v>29.698536776179711</v>
      </c>
      <c r="AI9">
        <f>4.37155505746924*1</f>
        <v>4.3715550574692399</v>
      </c>
      <c r="AJ9">
        <v>1</v>
      </c>
      <c r="AK9">
        <v>0</v>
      </c>
    </row>
    <row r="10" spans="1:42" x14ac:dyDescent="0.2">
      <c r="A10" t="s">
        <v>134</v>
      </c>
      <c r="B10" t="s">
        <v>135</v>
      </c>
      <c r="C10" t="s">
        <v>135</v>
      </c>
      <c r="D10" t="s">
        <v>4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10.5</v>
      </c>
      <c r="AE10">
        <v>181</v>
      </c>
      <c r="AF10">
        <v>47.807611880834763</v>
      </c>
      <c r="AG10">
        <v>0</v>
      </c>
      <c r="AH10">
        <v>47.37777777777778</v>
      </c>
      <c r="AI10">
        <f>13.2732384271266*1</f>
        <v>13.2732384271266</v>
      </c>
      <c r="AJ10">
        <v>1</v>
      </c>
      <c r="AK10">
        <v>1</v>
      </c>
      <c r="AM10" t="s">
        <v>7</v>
      </c>
      <c r="AN10">
        <f>SUMPRODUCT(Table1[Selected],Table1[ARS])</f>
        <v>0</v>
      </c>
      <c r="AO10">
        <v>5</v>
      </c>
    </row>
    <row r="11" spans="1:42" hidden="1" x14ac:dyDescent="0.2">
      <c r="A11" t="s">
        <v>58</v>
      </c>
      <c r="B11" t="s">
        <v>59</v>
      </c>
      <c r="C11" t="s">
        <v>59</v>
      </c>
      <c r="D11" t="s">
        <v>3</v>
      </c>
      <c r="E11">
        <v>0</v>
      </c>
      <c r="F11">
        <v>1</v>
      </c>
      <c r="G11">
        <v>0</v>
      </c>
      <c r="H11">
        <v>0</v>
      </c>
      <c r="I11" t="s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24</v>
      </c>
      <c r="AF11">
        <v>0</v>
      </c>
      <c r="AG11">
        <v>16.291612952995521</v>
      </c>
      <c r="AH11">
        <v>17.553222277749121</v>
      </c>
      <c r="AI11">
        <f>2.85132989645374*1</f>
        <v>2.8513298964537399</v>
      </c>
      <c r="AJ11">
        <v>1</v>
      </c>
      <c r="AK11">
        <v>0</v>
      </c>
      <c r="AM11" t="s">
        <v>8</v>
      </c>
      <c r="AN11">
        <f>SUMPRODUCT(Table1[Selected],Table1[AVL])</f>
        <v>0</v>
      </c>
      <c r="AO11">
        <v>5</v>
      </c>
    </row>
    <row r="12" spans="1:42" hidden="1" x14ac:dyDescent="0.2">
      <c r="A12" t="s">
        <v>60</v>
      </c>
      <c r="B12" t="s">
        <v>61</v>
      </c>
      <c r="C12" t="s">
        <v>61</v>
      </c>
      <c r="D12" t="s">
        <v>5</v>
      </c>
      <c r="E12">
        <v>0</v>
      </c>
      <c r="F12">
        <v>0</v>
      </c>
      <c r="G12">
        <v>0</v>
      </c>
      <c r="H12">
        <v>1</v>
      </c>
      <c r="I12" t="s">
        <v>8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26</v>
      </c>
      <c r="AF12">
        <v>0</v>
      </c>
      <c r="AG12">
        <v>10.810306949078059</v>
      </c>
      <c r="AH12">
        <v>12.878707126774071</v>
      </c>
      <c r="AI12">
        <f>2.11591067251363*1</f>
        <v>2.1159106725136301</v>
      </c>
      <c r="AJ12">
        <v>1</v>
      </c>
      <c r="AK12">
        <v>0</v>
      </c>
      <c r="AM12" t="s">
        <v>9</v>
      </c>
      <c r="AN12">
        <f>SUMPRODUCT(Table1[Selected],Table1[BOU])</f>
        <v>0</v>
      </c>
      <c r="AO12">
        <v>5</v>
      </c>
    </row>
    <row r="13" spans="1:42" hidden="1" x14ac:dyDescent="0.2">
      <c r="A13" t="s">
        <v>62</v>
      </c>
      <c r="B13" t="s">
        <v>63</v>
      </c>
      <c r="C13" t="s">
        <v>63</v>
      </c>
      <c r="D13" t="s">
        <v>4</v>
      </c>
      <c r="E13">
        <v>0</v>
      </c>
      <c r="F13">
        <v>0</v>
      </c>
      <c r="G13">
        <v>1</v>
      </c>
      <c r="H13">
        <v>0</v>
      </c>
      <c r="I13" t="s">
        <v>8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6.5</v>
      </c>
      <c r="AE13">
        <v>27</v>
      </c>
      <c r="AF13">
        <v>0</v>
      </c>
      <c r="AG13">
        <v>11.83777660359369</v>
      </c>
      <c r="AH13">
        <v>10.26698386172651</v>
      </c>
      <c r="AI13">
        <f>2.25376985291087*1</f>
        <v>2.2537698529108701</v>
      </c>
      <c r="AJ13">
        <v>1</v>
      </c>
      <c r="AK13">
        <v>0</v>
      </c>
      <c r="AM13" t="s">
        <v>10</v>
      </c>
      <c r="AN13">
        <f>SUMPRODUCT(Table1[Selected],Table1[BRE])</f>
        <v>0</v>
      </c>
      <c r="AO13">
        <v>5</v>
      </c>
    </row>
    <row r="14" spans="1:42" hidden="1" x14ac:dyDescent="0.2">
      <c r="A14" t="s">
        <v>64</v>
      </c>
      <c r="B14" t="s">
        <v>65</v>
      </c>
      <c r="C14" t="s">
        <v>65</v>
      </c>
      <c r="D14" t="s">
        <v>4</v>
      </c>
      <c r="E14">
        <v>0</v>
      </c>
      <c r="F14">
        <v>0</v>
      </c>
      <c r="G14">
        <v>1</v>
      </c>
      <c r="H14">
        <v>0</v>
      </c>
      <c r="I14" t="s">
        <v>8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5.5</v>
      </c>
      <c r="AE14">
        <v>28</v>
      </c>
      <c r="AF14">
        <v>0</v>
      </c>
      <c r="AG14">
        <v>11.173943935822971</v>
      </c>
      <c r="AH14">
        <v>7.2438189770944064</v>
      </c>
      <c r="AI14">
        <f>2.14869088984092*1</f>
        <v>2.1486908898409198</v>
      </c>
      <c r="AJ14">
        <v>1</v>
      </c>
      <c r="AK14">
        <v>0</v>
      </c>
      <c r="AM14" t="s">
        <v>11</v>
      </c>
      <c r="AN14">
        <f>SUMPRODUCT(Table1[Selected],Table1[BHA])</f>
        <v>0</v>
      </c>
      <c r="AO14">
        <v>5</v>
      </c>
    </row>
    <row r="15" spans="1:42" hidden="1" x14ac:dyDescent="0.2">
      <c r="A15" t="s">
        <v>66</v>
      </c>
      <c r="B15" t="s">
        <v>67</v>
      </c>
      <c r="C15" t="s">
        <v>67</v>
      </c>
      <c r="D15" t="s">
        <v>4</v>
      </c>
      <c r="E15">
        <v>0</v>
      </c>
      <c r="F15">
        <v>0</v>
      </c>
      <c r="G15">
        <v>1</v>
      </c>
      <c r="H15">
        <v>0</v>
      </c>
      <c r="I15" t="s">
        <v>8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6.5</v>
      </c>
      <c r="AE15">
        <v>33</v>
      </c>
      <c r="AF15">
        <v>0</v>
      </c>
      <c r="AG15">
        <v>22.6768586669176</v>
      </c>
      <c r="AH15">
        <v>13.657032152207231</v>
      </c>
      <c r="AI15">
        <f>4.23161018463982*1</f>
        <v>4.2316101846398197</v>
      </c>
      <c r="AJ15">
        <v>1</v>
      </c>
      <c r="AK15">
        <v>0</v>
      </c>
      <c r="AM15" t="s">
        <v>12</v>
      </c>
      <c r="AN15">
        <f>SUMPRODUCT(Table1[Selected],Table1[CHE])</f>
        <v>1</v>
      </c>
      <c r="AO15">
        <v>5</v>
      </c>
    </row>
    <row r="16" spans="1:42" hidden="1" x14ac:dyDescent="0.2">
      <c r="A16" t="s">
        <v>68</v>
      </c>
      <c r="B16" t="s">
        <v>69</v>
      </c>
      <c r="C16" t="s">
        <v>70</v>
      </c>
      <c r="D16" t="s">
        <v>2</v>
      </c>
      <c r="E16">
        <v>1</v>
      </c>
      <c r="F16">
        <v>0</v>
      </c>
      <c r="G16">
        <v>0</v>
      </c>
      <c r="H16">
        <v>0</v>
      </c>
      <c r="I16" t="s">
        <v>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46</v>
      </c>
      <c r="AF16">
        <v>0</v>
      </c>
      <c r="AG16">
        <v>17.126428293321599</v>
      </c>
      <c r="AH16">
        <v>12.24026297790186</v>
      </c>
      <c r="AI16">
        <f>3.34947531939216*1</f>
        <v>3.3494753193921598</v>
      </c>
      <c r="AJ16">
        <v>1</v>
      </c>
      <c r="AK16">
        <v>0</v>
      </c>
      <c r="AM16" t="s">
        <v>13</v>
      </c>
      <c r="AN16">
        <f>SUMPRODUCT(Table1[Selected],Table1[CRY])</f>
        <v>0</v>
      </c>
      <c r="AO16">
        <v>5</v>
      </c>
    </row>
    <row r="17" spans="1:41" hidden="1" x14ac:dyDescent="0.2">
      <c r="A17" t="s">
        <v>71</v>
      </c>
      <c r="B17" t="s">
        <v>72</v>
      </c>
      <c r="C17" t="s">
        <v>72</v>
      </c>
      <c r="D17" t="s">
        <v>4</v>
      </c>
      <c r="E17">
        <v>0</v>
      </c>
      <c r="F17">
        <v>0</v>
      </c>
      <c r="G17">
        <v>1</v>
      </c>
      <c r="H17">
        <v>0</v>
      </c>
      <c r="I17" t="s">
        <v>8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47</v>
      </c>
      <c r="AF17">
        <v>0</v>
      </c>
      <c r="AG17">
        <v>14.482312509120669</v>
      </c>
      <c r="AH17">
        <v>13.168431464991739</v>
      </c>
      <c r="AI17">
        <f>2.94695851079237*1</f>
        <v>2.9469585107923701</v>
      </c>
      <c r="AJ17">
        <v>1</v>
      </c>
      <c r="AK17">
        <v>0</v>
      </c>
      <c r="AM17" t="s">
        <v>14</v>
      </c>
      <c r="AN17">
        <f>SUMPRODUCT(Table1[Selected],Table1[EVE])</f>
        <v>1</v>
      </c>
      <c r="AO17">
        <v>5</v>
      </c>
    </row>
    <row r="18" spans="1:41" hidden="1" x14ac:dyDescent="0.2">
      <c r="A18" t="s">
        <v>73</v>
      </c>
      <c r="B18" t="s">
        <v>74</v>
      </c>
      <c r="C18" t="s">
        <v>73</v>
      </c>
      <c r="D18" t="s">
        <v>3</v>
      </c>
      <c r="E18">
        <v>0</v>
      </c>
      <c r="F18">
        <v>1</v>
      </c>
      <c r="G18">
        <v>0</v>
      </c>
      <c r="H18">
        <v>0</v>
      </c>
      <c r="I18" t="s">
        <v>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4.5</v>
      </c>
      <c r="AE18">
        <v>51</v>
      </c>
      <c r="AF18">
        <v>0</v>
      </c>
      <c r="AG18">
        <v>12.93805464625958</v>
      </c>
      <c r="AH18">
        <v>10.46343948597381</v>
      </c>
      <c r="AI18">
        <f>2.33265371909912*1</f>
        <v>2.3326537190991199</v>
      </c>
      <c r="AJ18">
        <v>1</v>
      </c>
      <c r="AK18">
        <v>0</v>
      </c>
      <c r="AM18" t="s">
        <v>15</v>
      </c>
      <c r="AN18">
        <f>SUMPRODUCT(Table1[Selected],Table1[FUL])</f>
        <v>0</v>
      </c>
      <c r="AO18">
        <v>5</v>
      </c>
    </row>
    <row r="19" spans="1:41" hidden="1" x14ac:dyDescent="0.2">
      <c r="A19" t="s">
        <v>75</v>
      </c>
      <c r="B19" t="s">
        <v>76</v>
      </c>
      <c r="C19" t="s">
        <v>76</v>
      </c>
      <c r="D19" t="s">
        <v>4</v>
      </c>
      <c r="E19">
        <v>0</v>
      </c>
      <c r="F19">
        <v>0</v>
      </c>
      <c r="G19">
        <v>1</v>
      </c>
      <c r="H19">
        <v>0</v>
      </c>
      <c r="I19" t="s">
        <v>8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5.5</v>
      </c>
      <c r="AE19">
        <v>56</v>
      </c>
      <c r="AF19">
        <v>0</v>
      </c>
      <c r="AG19">
        <v>14.93281178917303</v>
      </c>
      <c r="AH19">
        <v>17.597206871519589</v>
      </c>
      <c r="AI19">
        <f>2.8476833735335*1</f>
        <v>2.8476833735335001</v>
      </c>
      <c r="AJ19">
        <v>1</v>
      </c>
      <c r="AK19">
        <v>0</v>
      </c>
      <c r="AM19" t="s">
        <v>16</v>
      </c>
      <c r="AN19">
        <f>SUMPRODUCT(Table1[Selected],Table1[IPS])</f>
        <v>0</v>
      </c>
      <c r="AO19">
        <v>5</v>
      </c>
    </row>
    <row r="20" spans="1:41" hidden="1" x14ac:dyDescent="0.2">
      <c r="A20" t="s">
        <v>77</v>
      </c>
      <c r="B20" t="s">
        <v>78</v>
      </c>
      <c r="C20" t="s">
        <v>78</v>
      </c>
      <c r="D20" t="s">
        <v>5</v>
      </c>
      <c r="E20">
        <v>0</v>
      </c>
      <c r="F20">
        <v>0</v>
      </c>
      <c r="G20">
        <v>0</v>
      </c>
      <c r="H20">
        <v>1</v>
      </c>
      <c r="I20" t="s">
        <v>8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57</v>
      </c>
      <c r="AF20">
        <v>0</v>
      </c>
      <c r="AG20">
        <v>21.92125734783879</v>
      </c>
      <c r="AH20">
        <v>21.52795103977413</v>
      </c>
      <c r="AI20">
        <f>4.70434711701819*1</f>
        <v>4.7043471170181901</v>
      </c>
      <c r="AJ20">
        <v>1</v>
      </c>
      <c r="AK20">
        <v>0</v>
      </c>
      <c r="AM20" t="s">
        <v>17</v>
      </c>
      <c r="AN20">
        <f>SUMPRODUCT(Table1[Selected],Table1[LEI])</f>
        <v>0</v>
      </c>
      <c r="AO20">
        <v>5</v>
      </c>
    </row>
    <row r="21" spans="1:41" hidden="1" x14ac:dyDescent="0.2">
      <c r="A21" t="s">
        <v>79</v>
      </c>
      <c r="B21" t="s">
        <v>80</v>
      </c>
      <c r="C21" t="s">
        <v>80</v>
      </c>
      <c r="D21" t="s">
        <v>4</v>
      </c>
      <c r="E21">
        <v>0</v>
      </c>
      <c r="F21">
        <v>0</v>
      </c>
      <c r="G21">
        <v>1</v>
      </c>
      <c r="H21">
        <v>0</v>
      </c>
      <c r="I21" t="s">
        <v>9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62</v>
      </c>
      <c r="AF21">
        <v>10.68181818181818</v>
      </c>
      <c r="AG21">
        <v>0</v>
      </c>
      <c r="AH21">
        <v>11.24444444444444</v>
      </c>
      <c r="AI21">
        <f>2.35410948089218*1</f>
        <v>2.3541094808921801</v>
      </c>
      <c r="AJ21">
        <v>1</v>
      </c>
      <c r="AK21">
        <v>0</v>
      </c>
      <c r="AM21" t="s">
        <v>18</v>
      </c>
      <c r="AN21">
        <f>SUMPRODUCT(Table1[Selected],Table1[LIV])</f>
        <v>0</v>
      </c>
      <c r="AO21">
        <v>5</v>
      </c>
    </row>
    <row r="22" spans="1:41" hidden="1" x14ac:dyDescent="0.2">
      <c r="A22" t="s">
        <v>81</v>
      </c>
      <c r="B22" t="s">
        <v>82</v>
      </c>
      <c r="C22" t="s">
        <v>82</v>
      </c>
      <c r="D22" t="s">
        <v>4</v>
      </c>
      <c r="E22">
        <v>0</v>
      </c>
      <c r="F22">
        <v>0</v>
      </c>
      <c r="G22">
        <v>1</v>
      </c>
      <c r="H22">
        <v>0</v>
      </c>
      <c r="I22" t="s">
        <v>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63</v>
      </c>
      <c r="AF22">
        <v>9.3939393939393909</v>
      </c>
      <c r="AG22">
        <v>0</v>
      </c>
      <c r="AH22">
        <v>11.196492023256591</v>
      </c>
      <c r="AI22">
        <f>2.12015893546548*1</f>
        <v>2.1201589354654802</v>
      </c>
      <c r="AJ22">
        <v>1</v>
      </c>
      <c r="AK22">
        <v>0</v>
      </c>
      <c r="AM22" t="s">
        <v>19</v>
      </c>
      <c r="AN22">
        <f>SUMPRODUCT(Table1[Selected],Table1[MCI])</f>
        <v>2</v>
      </c>
      <c r="AO22">
        <v>5</v>
      </c>
    </row>
    <row r="23" spans="1:41" hidden="1" x14ac:dyDescent="0.2">
      <c r="A23" t="s">
        <v>83</v>
      </c>
      <c r="B23" t="s">
        <v>84</v>
      </c>
      <c r="C23" t="s">
        <v>84</v>
      </c>
      <c r="D23" t="s">
        <v>4</v>
      </c>
      <c r="E23">
        <v>0</v>
      </c>
      <c r="F23">
        <v>0</v>
      </c>
      <c r="G23">
        <v>1</v>
      </c>
      <c r="H23">
        <v>0</v>
      </c>
      <c r="I23" t="s">
        <v>9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5.5</v>
      </c>
      <c r="AE23">
        <v>70</v>
      </c>
      <c r="AF23">
        <v>15.806451612903221</v>
      </c>
      <c r="AG23">
        <v>0</v>
      </c>
      <c r="AH23">
        <v>19.514285714285709</v>
      </c>
      <c r="AI23">
        <f>3.61377823425588*1</f>
        <v>3.61377823425588</v>
      </c>
      <c r="AJ23">
        <v>1</v>
      </c>
      <c r="AK23">
        <v>0</v>
      </c>
      <c r="AM23" t="s">
        <v>20</v>
      </c>
      <c r="AN23">
        <f>SUMPRODUCT(Table1[Selected],Table1[MUN])</f>
        <v>1</v>
      </c>
      <c r="AO23">
        <v>5</v>
      </c>
    </row>
    <row r="24" spans="1:41" hidden="1" x14ac:dyDescent="0.2">
      <c r="A24" t="s">
        <v>85</v>
      </c>
      <c r="B24" t="s">
        <v>86</v>
      </c>
      <c r="C24" t="s">
        <v>87</v>
      </c>
      <c r="D24" t="s">
        <v>2</v>
      </c>
      <c r="E24">
        <v>1</v>
      </c>
      <c r="F24">
        <v>0</v>
      </c>
      <c r="G24">
        <v>0</v>
      </c>
      <c r="H24">
        <v>0</v>
      </c>
      <c r="I24" t="s">
        <v>9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4.5</v>
      </c>
      <c r="AE24">
        <v>72</v>
      </c>
      <c r="AF24">
        <v>18.057450379631469</v>
      </c>
      <c r="AG24">
        <v>0</v>
      </c>
      <c r="AH24">
        <v>12.144236374744301</v>
      </c>
      <c r="AI24">
        <f>4.131991330177*1</f>
        <v>4.1319913301769997</v>
      </c>
      <c r="AJ24">
        <v>1</v>
      </c>
      <c r="AK24">
        <v>0</v>
      </c>
      <c r="AM24" t="s">
        <v>21</v>
      </c>
      <c r="AN24">
        <f>SUMPRODUCT(Table1[Selected],Table1[NEW])</f>
        <v>0</v>
      </c>
      <c r="AO24">
        <v>5</v>
      </c>
    </row>
    <row r="25" spans="1:41" hidden="1" x14ac:dyDescent="0.2">
      <c r="A25" t="s">
        <v>88</v>
      </c>
      <c r="B25" t="s">
        <v>89</v>
      </c>
      <c r="C25" t="s">
        <v>89</v>
      </c>
      <c r="D25" t="s">
        <v>4</v>
      </c>
      <c r="E25">
        <v>0</v>
      </c>
      <c r="F25">
        <v>0</v>
      </c>
      <c r="G25">
        <v>1</v>
      </c>
      <c r="H25">
        <v>0</v>
      </c>
      <c r="I25" t="s">
        <v>9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5.5</v>
      </c>
      <c r="AE25">
        <v>77</v>
      </c>
      <c r="AF25">
        <v>14.75609756097561</v>
      </c>
      <c r="AG25">
        <v>0</v>
      </c>
      <c r="AH25">
        <v>8.2916666666666679</v>
      </c>
      <c r="AI25">
        <f>3.03023273056568*1</f>
        <v>3.0302327305656802</v>
      </c>
      <c r="AJ25">
        <v>1</v>
      </c>
      <c r="AK25">
        <v>0</v>
      </c>
      <c r="AM25" t="s">
        <v>22</v>
      </c>
      <c r="AN25">
        <f>SUMPRODUCT(Table1[Selected],Table1[NFO])</f>
        <v>0</v>
      </c>
      <c r="AO25">
        <v>5</v>
      </c>
    </row>
    <row r="26" spans="1:41" hidden="1" x14ac:dyDescent="0.2">
      <c r="A26" t="s">
        <v>90</v>
      </c>
      <c r="B26" t="s">
        <v>91</v>
      </c>
      <c r="C26" t="s">
        <v>91</v>
      </c>
      <c r="D26" t="s">
        <v>3</v>
      </c>
      <c r="E26">
        <v>0</v>
      </c>
      <c r="F26">
        <v>1</v>
      </c>
      <c r="G26">
        <v>0</v>
      </c>
      <c r="H26">
        <v>0</v>
      </c>
      <c r="I26" t="s">
        <v>9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78</v>
      </c>
      <c r="AF26">
        <v>13.05987433239822</v>
      </c>
      <c r="AG26">
        <v>0</v>
      </c>
      <c r="AH26">
        <v>13.36956091620798</v>
      </c>
      <c r="AI26">
        <f>2.33260590849477*1</f>
        <v>2.3326059084947701</v>
      </c>
      <c r="AJ26">
        <v>1</v>
      </c>
      <c r="AK26">
        <v>0</v>
      </c>
      <c r="AM26" t="s">
        <v>23</v>
      </c>
      <c r="AN26">
        <f>SUMPRODUCT(Table1[Selected],Table1[SOU])</f>
        <v>0</v>
      </c>
      <c r="AO26">
        <v>5</v>
      </c>
    </row>
    <row r="27" spans="1:41" hidden="1" x14ac:dyDescent="0.2">
      <c r="A27" t="s">
        <v>92</v>
      </c>
      <c r="B27" t="s">
        <v>93</v>
      </c>
      <c r="C27" t="s">
        <v>93</v>
      </c>
      <c r="D27" t="s">
        <v>3</v>
      </c>
      <c r="E27">
        <v>0</v>
      </c>
      <c r="F27">
        <v>1</v>
      </c>
      <c r="G27">
        <v>0</v>
      </c>
      <c r="H27">
        <v>0</v>
      </c>
      <c r="I27" t="s">
        <v>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80</v>
      </c>
      <c r="AF27">
        <v>12.20720720720721</v>
      </c>
      <c r="AG27">
        <v>0</v>
      </c>
      <c r="AH27">
        <v>26.2</v>
      </c>
      <c r="AI27">
        <f>3.32174855976601*1</f>
        <v>3.3217485597660099</v>
      </c>
      <c r="AJ27">
        <v>1</v>
      </c>
      <c r="AK27">
        <v>0</v>
      </c>
      <c r="AM27" t="s">
        <v>24</v>
      </c>
      <c r="AN27">
        <f>SUMPRODUCT(Table1[Selected],Table1[TOT])</f>
        <v>0</v>
      </c>
      <c r="AO27">
        <v>5</v>
      </c>
    </row>
    <row r="28" spans="1:41" hidden="1" x14ac:dyDescent="0.2">
      <c r="A28" t="s">
        <v>94</v>
      </c>
      <c r="B28" t="s">
        <v>95</v>
      </c>
      <c r="C28" t="s">
        <v>95</v>
      </c>
      <c r="D28" t="s">
        <v>4</v>
      </c>
      <c r="E28">
        <v>0</v>
      </c>
      <c r="F28">
        <v>0</v>
      </c>
      <c r="G28">
        <v>1</v>
      </c>
      <c r="H28">
        <v>0</v>
      </c>
      <c r="I28" t="s">
        <v>9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</v>
      </c>
      <c r="AE28">
        <v>82</v>
      </c>
      <c r="AF28">
        <v>17.43862057757222</v>
      </c>
      <c r="AG28">
        <v>0</v>
      </c>
      <c r="AH28">
        <v>14.653333333333331</v>
      </c>
      <c r="AI28">
        <f>3.98564896324178*1</f>
        <v>3.98564896324178</v>
      </c>
      <c r="AJ28">
        <v>1</v>
      </c>
      <c r="AK28">
        <v>0</v>
      </c>
      <c r="AM28" t="s">
        <v>25</v>
      </c>
      <c r="AN28">
        <f>SUMPRODUCT(Table1[Selected],Table1[WHU])</f>
        <v>0</v>
      </c>
      <c r="AO28">
        <v>5</v>
      </c>
    </row>
    <row r="29" spans="1:41" hidden="1" x14ac:dyDescent="0.2">
      <c r="A29" t="s">
        <v>96</v>
      </c>
      <c r="B29" t="s">
        <v>97</v>
      </c>
      <c r="C29" t="s">
        <v>97</v>
      </c>
      <c r="D29" t="s">
        <v>3</v>
      </c>
      <c r="E29">
        <v>0</v>
      </c>
      <c r="F29">
        <v>1</v>
      </c>
      <c r="G29">
        <v>0</v>
      </c>
      <c r="H29">
        <v>0</v>
      </c>
      <c r="I29" t="s">
        <v>9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84</v>
      </c>
      <c r="AF29">
        <v>11.25</v>
      </c>
      <c r="AG29">
        <v>0</v>
      </c>
      <c r="AH29">
        <v>13.12012093231162</v>
      </c>
      <c r="AI29">
        <f>2.50473370739634*1</f>
        <v>2.50473370739634</v>
      </c>
      <c r="AJ29">
        <v>1</v>
      </c>
      <c r="AK29">
        <v>0</v>
      </c>
      <c r="AM29" t="s">
        <v>26</v>
      </c>
      <c r="AN29">
        <f>SUMPRODUCT(Table1[Selected],Table1[WOL])</f>
        <v>0</v>
      </c>
      <c r="AO29">
        <v>5</v>
      </c>
    </row>
    <row r="30" spans="1:41" hidden="1" x14ac:dyDescent="0.2">
      <c r="A30" t="s">
        <v>98</v>
      </c>
      <c r="B30" t="s">
        <v>99</v>
      </c>
      <c r="C30" t="s">
        <v>99</v>
      </c>
      <c r="D30" t="s">
        <v>3</v>
      </c>
      <c r="E30">
        <v>0</v>
      </c>
      <c r="F30">
        <v>1</v>
      </c>
      <c r="G30">
        <v>0</v>
      </c>
      <c r="H30">
        <v>0</v>
      </c>
      <c r="I30" t="s">
        <v>10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85</v>
      </c>
      <c r="AF30">
        <v>14.83333333333333</v>
      </c>
      <c r="AG30">
        <v>0</v>
      </c>
      <c r="AH30">
        <v>15.726175178588109</v>
      </c>
      <c r="AI30">
        <f>3.47825671493044*1</f>
        <v>3.4782567149304402</v>
      </c>
      <c r="AJ30">
        <v>1</v>
      </c>
      <c r="AK30">
        <v>0</v>
      </c>
    </row>
    <row r="31" spans="1:41" hidden="1" x14ac:dyDescent="0.2">
      <c r="A31" t="s">
        <v>100</v>
      </c>
      <c r="B31" t="s">
        <v>101</v>
      </c>
      <c r="C31" t="s">
        <v>101</v>
      </c>
      <c r="D31" t="s">
        <v>3</v>
      </c>
      <c r="E31">
        <v>0</v>
      </c>
      <c r="F31">
        <v>1</v>
      </c>
      <c r="G31">
        <v>0</v>
      </c>
      <c r="H31">
        <v>0</v>
      </c>
      <c r="I31" t="s">
        <v>10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87</v>
      </c>
      <c r="AF31">
        <v>12.26666666666666</v>
      </c>
      <c r="AG31">
        <v>0</v>
      </c>
      <c r="AH31">
        <v>18.907201692432281</v>
      </c>
      <c r="AI31">
        <f>2.90237422411967*1</f>
        <v>2.9023742241196699</v>
      </c>
      <c r="AJ31">
        <v>1</v>
      </c>
      <c r="AK31">
        <v>0</v>
      </c>
    </row>
    <row r="32" spans="1:41" hidden="1" x14ac:dyDescent="0.2">
      <c r="A32" t="s">
        <v>102</v>
      </c>
      <c r="B32" t="s">
        <v>103</v>
      </c>
      <c r="C32" t="s">
        <v>103</v>
      </c>
      <c r="D32" t="s">
        <v>2</v>
      </c>
      <c r="E32">
        <v>1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4.5</v>
      </c>
      <c r="AE32">
        <v>90</v>
      </c>
      <c r="AF32">
        <v>16.388888888888889</v>
      </c>
      <c r="AG32">
        <v>0</v>
      </c>
      <c r="AH32">
        <v>19.904761904761902</v>
      </c>
      <c r="AI32">
        <f>3.87181320880357*1</f>
        <v>3.8718132088035699</v>
      </c>
      <c r="AJ32">
        <v>1</v>
      </c>
      <c r="AK32">
        <v>0</v>
      </c>
    </row>
    <row r="33" spans="1:37" hidden="1" x14ac:dyDescent="0.2">
      <c r="A33" t="s">
        <v>104</v>
      </c>
      <c r="B33" t="s">
        <v>105</v>
      </c>
      <c r="C33" t="s">
        <v>105</v>
      </c>
      <c r="D33" t="s">
        <v>4</v>
      </c>
      <c r="E33">
        <v>0</v>
      </c>
      <c r="F33">
        <v>0</v>
      </c>
      <c r="G33">
        <v>1</v>
      </c>
      <c r="H33">
        <v>0</v>
      </c>
      <c r="I33" t="s">
        <v>10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93</v>
      </c>
      <c r="AF33">
        <v>13.05000000000001</v>
      </c>
      <c r="AG33">
        <v>0</v>
      </c>
      <c r="AH33">
        <v>12.567778163206389</v>
      </c>
      <c r="AI33">
        <f>3.06087436381269*1</f>
        <v>3.0608743638126898</v>
      </c>
      <c r="AJ33">
        <v>1</v>
      </c>
      <c r="AK33">
        <v>0</v>
      </c>
    </row>
    <row r="34" spans="1:37" hidden="1" x14ac:dyDescent="0.2">
      <c r="A34" t="s">
        <v>106</v>
      </c>
      <c r="B34" t="s">
        <v>107</v>
      </c>
      <c r="C34" t="s">
        <v>107</v>
      </c>
      <c r="D34" t="s">
        <v>4</v>
      </c>
      <c r="E34">
        <v>0</v>
      </c>
      <c r="F34">
        <v>0</v>
      </c>
      <c r="G34">
        <v>1</v>
      </c>
      <c r="H34">
        <v>0</v>
      </c>
      <c r="I34" t="s">
        <v>10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97</v>
      </c>
      <c r="AF34">
        <v>11.025641025641031</v>
      </c>
      <c r="AG34">
        <v>0</v>
      </c>
      <c r="AH34">
        <v>28.84</v>
      </c>
      <c r="AI34">
        <f>2.6144103532229*1</f>
        <v>2.6144103532229002</v>
      </c>
      <c r="AJ34">
        <v>1</v>
      </c>
      <c r="AK34">
        <v>0</v>
      </c>
    </row>
    <row r="35" spans="1:37" hidden="1" x14ac:dyDescent="0.2">
      <c r="A35" t="s">
        <v>108</v>
      </c>
      <c r="B35" t="s">
        <v>109</v>
      </c>
      <c r="C35" t="s">
        <v>109</v>
      </c>
      <c r="D35" t="s">
        <v>4</v>
      </c>
      <c r="E35">
        <v>0</v>
      </c>
      <c r="F35">
        <v>0</v>
      </c>
      <c r="G35">
        <v>1</v>
      </c>
      <c r="H35">
        <v>0</v>
      </c>
      <c r="I35" t="s">
        <v>10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100</v>
      </c>
      <c r="AF35">
        <v>14.27710843373494</v>
      </c>
      <c r="AG35">
        <v>0</v>
      </c>
      <c r="AH35">
        <v>11.70999746948867</v>
      </c>
      <c r="AI35">
        <f>3.34380860256405*1</f>
        <v>3.3438086025640499</v>
      </c>
      <c r="AJ35">
        <v>1</v>
      </c>
      <c r="AK35">
        <v>0</v>
      </c>
    </row>
    <row r="36" spans="1:37" hidden="1" x14ac:dyDescent="0.2">
      <c r="A36" t="s">
        <v>110</v>
      </c>
      <c r="B36" t="s">
        <v>111</v>
      </c>
      <c r="C36" t="s">
        <v>111</v>
      </c>
      <c r="D36" t="s">
        <v>3</v>
      </c>
      <c r="E36">
        <v>0</v>
      </c>
      <c r="F36">
        <v>1</v>
      </c>
      <c r="G36">
        <v>0</v>
      </c>
      <c r="H36">
        <v>0</v>
      </c>
      <c r="I36" t="s">
        <v>10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103</v>
      </c>
      <c r="AF36">
        <v>15.3448275862069</v>
      </c>
      <c r="AG36">
        <v>0</v>
      </c>
      <c r="AH36">
        <v>14.13061665049781</v>
      </c>
      <c r="AI36">
        <f>3.60302194437517*1</f>
        <v>3.6030219443751701</v>
      </c>
      <c r="AJ36">
        <v>1</v>
      </c>
      <c r="AK36">
        <v>0</v>
      </c>
    </row>
    <row r="37" spans="1:37" hidden="1" x14ac:dyDescent="0.2">
      <c r="A37" t="s">
        <v>112</v>
      </c>
      <c r="B37" t="s">
        <v>113</v>
      </c>
      <c r="C37" t="s">
        <v>113</v>
      </c>
      <c r="D37" t="s">
        <v>5</v>
      </c>
      <c r="E37">
        <v>0</v>
      </c>
      <c r="F37">
        <v>0</v>
      </c>
      <c r="G37">
        <v>0</v>
      </c>
      <c r="H37">
        <v>1</v>
      </c>
      <c r="I37" t="s">
        <v>10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109</v>
      </c>
      <c r="AF37">
        <v>17.520814070554209</v>
      </c>
      <c r="AG37">
        <v>0</v>
      </c>
      <c r="AH37">
        <v>45.119712885154058</v>
      </c>
      <c r="AI37">
        <f>5.01741204862791*1</f>
        <v>5.0174120486279099</v>
      </c>
      <c r="AJ37">
        <v>1</v>
      </c>
      <c r="AK37">
        <v>0</v>
      </c>
    </row>
    <row r="38" spans="1:37" hidden="1" x14ac:dyDescent="0.2">
      <c r="A38" t="s">
        <v>81</v>
      </c>
      <c r="B38" t="s">
        <v>114</v>
      </c>
      <c r="C38" t="s">
        <v>114</v>
      </c>
      <c r="D38" t="s">
        <v>3</v>
      </c>
      <c r="E38">
        <v>0</v>
      </c>
      <c r="F38">
        <v>1</v>
      </c>
      <c r="G38">
        <v>0</v>
      </c>
      <c r="H38">
        <v>0</v>
      </c>
      <c r="I38" t="s">
        <v>11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119</v>
      </c>
      <c r="AF38">
        <v>15.80729166666667</v>
      </c>
      <c r="AG38">
        <v>17.82829752494953</v>
      </c>
      <c r="AH38">
        <v>10.713923360604969</v>
      </c>
      <c r="AI38">
        <f>2.38673908376012*1</f>
        <v>2.3867390837601201</v>
      </c>
      <c r="AJ38">
        <v>1</v>
      </c>
      <c r="AK38">
        <v>0</v>
      </c>
    </row>
    <row r="39" spans="1:37" hidden="1" x14ac:dyDescent="0.2">
      <c r="A39" t="s">
        <v>115</v>
      </c>
      <c r="B39" t="s">
        <v>116</v>
      </c>
      <c r="C39" t="s">
        <v>117</v>
      </c>
      <c r="D39" t="s">
        <v>4</v>
      </c>
      <c r="E39">
        <v>0</v>
      </c>
      <c r="F39">
        <v>0</v>
      </c>
      <c r="G39">
        <v>1</v>
      </c>
      <c r="H39">
        <v>0</v>
      </c>
      <c r="I39" t="s">
        <v>11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6.5</v>
      </c>
      <c r="AE39">
        <v>124</v>
      </c>
      <c r="AF39">
        <v>17.8611111111111</v>
      </c>
      <c r="AG39">
        <v>16.420634489206261</v>
      </c>
      <c r="AH39">
        <v>12.06401847252368</v>
      </c>
      <c r="AI39">
        <f>2.39069823848336*1</f>
        <v>2.3906982384833602</v>
      </c>
      <c r="AJ39">
        <v>1</v>
      </c>
      <c r="AK39">
        <v>0</v>
      </c>
    </row>
    <row r="40" spans="1:37" hidden="1" x14ac:dyDescent="0.2">
      <c r="A40" t="s">
        <v>118</v>
      </c>
      <c r="B40" t="s">
        <v>119</v>
      </c>
      <c r="C40" t="s">
        <v>118</v>
      </c>
      <c r="D40" t="s">
        <v>5</v>
      </c>
      <c r="E40">
        <v>0</v>
      </c>
      <c r="F40">
        <v>0</v>
      </c>
      <c r="G40">
        <v>0</v>
      </c>
      <c r="H40">
        <v>1</v>
      </c>
      <c r="I40" t="s">
        <v>11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5.5</v>
      </c>
      <c r="AE40">
        <v>128</v>
      </c>
      <c r="AF40">
        <v>15.59365841129026</v>
      </c>
      <c r="AG40">
        <v>11.62255788203284</v>
      </c>
      <c r="AH40">
        <v>30.426217948717952</v>
      </c>
      <c r="AI40">
        <f>1.59113698120833*1</f>
        <v>1.59113698120833</v>
      </c>
      <c r="AJ40">
        <v>1</v>
      </c>
      <c r="AK40">
        <v>0</v>
      </c>
    </row>
    <row r="41" spans="1:37" hidden="1" x14ac:dyDescent="0.2">
      <c r="A41" t="s">
        <v>120</v>
      </c>
      <c r="B41" t="s">
        <v>121</v>
      </c>
      <c r="C41" t="s">
        <v>121</v>
      </c>
      <c r="D41" t="s">
        <v>5</v>
      </c>
      <c r="E41">
        <v>0</v>
      </c>
      <c r="F41">
        <v>0</v>
      </c>
      <c r="G41">
        <v>0</v>
      </c>
      <c r="H41">
        <v>1</v>
      </c>
      <c r="I41" t="s">
        <v>11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5.5</v>
      </c>
      <c r="AE41">
        <v>147</v>
      </c>
      <c r="AF41">
        <v>14.794698093841779</v>
      </c>
      <c r="AG41">
        <v>16.291582649334039</v>
      </c>
      <c r="AH41">
        <v>14.43727530495323</v>
      </c>
      <c r="AI41">
        <f>2.03602125800834*1</f>
        <v>2.0360212580083399</v>
      </c>
      <c r="AJ41">
        <v>1</v>
      </c>
      <c r="AK41">
        <v>0</v>
      </c>
    </row>
    <row r="42" spans="1:37" hidden="1" x14ac:dyDescent="0.2">
      <c r="A42" t="s">
        <v>122</v>
      </c>
      <c r="B42" t="s">
        <v>123</v>
      </c>
      <c r="C42" t="s">
        <v>124</v>
      </c>
      <c r="D42" t="s">
        <v>4</v>
      </c>
      <c r="E42">
        <v>0</v>
      </c>
      <c r="F42">
        <v>0</v>
      </c>
      <c r="G42">
        <v>1</v>
      </c>
      <c r="H42">
        <v>0</v>
      </c>
      <c r="I42" t="s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156</v>
      </c>
      <c r="AF42">
        <v>12.489331937635029</v>
      </c>
      <c r="AG42">
        <v>0</v>
      </c>
      <c r="AH42">
        <v>22.752593808449429</v>
      </c>
      <c r="AI42">
        <f>2.50757269666529*1</f>
        <v>2.50757269666529</v>
      </c>
      <c r="AJ42">
        <v>1</v>
      </c>
      <c r="AK42">
        <v>0</v>
      </c>
    </row>
    <row r="43" spans="1:37" hidden="1" x14ac:dyDescent="0.2">
      <c r="A43" t="s">
        <v>125</v>
      </c>
      <c r="B43" t="s">
        <v>126</v>
      </c>
      <c r="C43" t="s">
        <v>125</v>
      </c>
      <c r="D43" t="s">
        <v>4</v>
      </c>
      <c r="E43">
        <v>0</v>
      </c>
      <c r="F43">
        <v>0</v>
      </c>
      <c r="G43">
        <v>1</v>
      </c>
      <c r="H43">
        <v>0</v>
      </c>
      <c r="I43" t="s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167</v>
      </c>
      <c r="AF43">
        <v>13.29545454545454</v>
      </c>
      <c r="AG43">
        <v>0</v>
      </c>
      <c r="AH43">
        <v>13.08820321920941</v>
      </c>
      <c r="AI43">
        <f>3.68950266933522*1</f>
        <v>3.6895026693352202</v>
      </c>
      <c r="AJ43">
        <v>1</v>
      </c>
      <c r="AK43">
        <v>0</v>
      </c>
    </row>
    <row r="44" spans="1:37" hidden="1" x14ac:dyDescent="0.2">
      <c r="A44" t="s">
        <v>127</v>
      </c>
      <c r="B44" t="s">
        <v>128</v>
      </c>
      <c r="C44" t="s">
        <v>128</v>
      </c>
      <c r="D44" t="s">
        <v>4</v>
      </c>
      <c r="E44">
        <v>0</v>
      </c>
      <c r="F44">
        <v>0</v>
      </c>
      <c r="G44">
        <v>1</v>
      </c>
      <c r="H44">
        <v>0</v>
      </c>
      <c r="I44" t="s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168</v>
      </c>
      <c r="AF44">
        <v>15.14988984423073</v>
      </c>
      <c r="AG44">
        <v>0</v>
      </c>
      <c r="AH44">
        <v>13.172409016803471</v>
      </c>
      <c r="AI44">
        <f>4.59302748998519*1</f>
        <v>4.5930274899851904</v>
      </c>
      <c r="AJ44">
        <v>1</v>
      </c>
      <c r="AK44">
        <v>0</v>
      </c>
    </row>
    <row r="45" spans="1:37" hidden="1" x14ac:dyDescent="0.2">
      <c r="A45" t="s">
        <v>129</v>
      </c>
      <c r="B45" t="s">
        <v>130</v>
      </c>
      <c r="C45" t="s">
        <v>130</v>
      </c>
      <c r="D45" t="s">
        <v>4</v>
      </c>
      <c r="E45">
        <v>0</v>
      </c>
      <c r="F45">
        <v>0</v>
      </c>
      <c r="G45">
        <v>1</v>
      </c>
      <c r="H45">
        <v>0</v>
      </c>
      <c r="I45" t="s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6.5</v>
      </c>
      <c r="AE45">
        <v>178</v>
      </c>
      <c r="AF45">
        <v>12.976190476190469</v>
      </c>
      <c r="AG45">
        <v>0</v>
      </c>
      <c r="AH45">
        <v>14.416547368817969</v>
      </c>
      <c r="AI45">
        <f>3.66998441070862*1</f>
        <v>3.6699844107086199</v>
      </c>
      <c r="AJ45">
        <v>1</v>
      </c>
      <c r="AK45">
        <v>0</v>
      </c>
    </row>
    <row r="46" spans="1:37" x14ac:dyDescent="0.2">
      <c r="A46" t="s">
        <v>207</v>
      </c>
      <c r="B46" t="s">
        <v>208</v>
      </c>
      <c r="C46" t="s">
        <v>208</v>
      </c>
      <c r="D46" t="s">
        <v>4</v>
      </c>
      <c r="E46">
        <v>0</v>
      </c>
      <c r="F46">
        <v>0</v>
      </c>
      <c r="G46">
        <v>1</v>
      </c>
      <c r="H46">
        <v>0</v>
      </c>
      <c r="I46" t="s">
        <v>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9.5</v>
      </c>
      <c r="AE46">
        <v>347</v>
      </c>
      <c r="AF46">
        <v>45.086611687470388</v>
      </c>
      <c r="AG46">
        <v>0</v>
      </c>
      <c r="AH46">
        <v>48.765534571944102</v>
      </c>
      <c r="AI46">
        <f>11.2202402393493*1</f>
        <v>11.2202402393493</v>
      </c>
      <c r="AJ46">
        <v>1</v>
      </c>
      <c r="AK46">
        <v>1</v>
      </c>
    </row>
    <row r="47" spans="1:37" x14ac:dyDescent="0.2">
      <c r="A47" t="s">
        <v>211</v>
      </c>
      <c r="B47" t="s">
        <v>212</v>
      </c>
      <c r="C47" t="s">
        <v>212</v>
      </c>
      <c r="D47" t="s">
        <v>5</v>
      </c>
      <c r="E47">
        <v>0</v>
      </c>
      <c r="F47">
        <v>0</v>
      </c>
      <c r="G47">
        <v>0</v>
      </c>
      <c r="H47">
        <v>1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</v>
      </c>
      <c r="AE47">
        <v>350</v>
      </c>
      <c r="AF47">
        <v>39.166666666666671</v>
      </c>
      <c r="AG47">
        <v>0</v>
      </c>
      <c r="AH47">
        <v>51.075999999999993</v>
      </c>
      <c r="AI47">
        <f>11.12153077311*1</f>
        <v>11.121530773110001</v>
      </c>
      <c r="AJ47">
        <v>1</v>
      </c>
      <c r="AK47">
        <v>1</v>
      </c>
    </row>
    <row r="48" spans="1:37" hidden="1" x14ac:dyDescent="0.2">
      <c r="A48" t="s">
        <v>136</v>
      </c>
      <c r="B48" t="s">
        <v>137</v>
      </c>
      <c r="C48" t="s">
        <v>137</v>
      </c>
      <c r="D48" t="s">
        <v>4</v>
      </c>
      <c r="E48">
        <v>0</v>
      </c>
      <c r="F48">
        <v>0</v>
      </c>
      <c r="G48">
        <v>1</v>
      </c>
      <c r="H48">
        <v>0</v>
      </c>
      <c r="I48" t="s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185</v>
      </c>
      <c r="AF48">
        <v>19.185200005024878</v>
      </c>
      <c r="AG48">
        <v>0</v>
      </c>
      <c r="AH48">
        <v>13.78815544001243</v>
      </c>
      <c r="AI48">
        <f>5.36380540501025*1</f>
        <v>5.3638054050102504</v>
      </c>
      <c r="AJ48">
        <v>1</v>
      </c>
      <c r="AK48">
        <v>0</v>
      </c>
    </row>
    <row r="49" spans="1:37" hidden="1" x14ac:dyDescent="0.2">
      <c r="A49" t="s">
        <v>147</v>
      </c>
      <c r="B49" t="s">
        <v>148</v>
      </c>
      <c r="C49" t="s">
        <v>148</v>
      </c>
      <c r="D49" t="s">
        <v>5</v>
      </c>
      <c r="E49">
        <v>0</v>
      </c>
      <c r="F49">
        <v>0</v>
      </c>
      <c r="G49">
        <v>0</v>
      </c>
      <c r="H49">
        <v>1</v>
      </c>
      <c r="I49" t="s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7.5</v>
      </c>
      <c r="AE49">
        <v>206</v>
      </c>
      <c r="AF49">
        <v>41.791139963838162</v>
      </c>
      <c r="AG49">
        <v>0</v>
      </c>
      <c r="AH49">
        <v>41</v>
      </c>
      <c r="AI49">
        <f>11.0100747986493*1</f>
        <v>11.010074798649301</v>
      </c>
      <c r="AJ49">
        <v>1</v>
      </c>
      <c r="AK49">
        <v>0</v>
      </c>
    </row>
    <row r="50" spans="1:37" hidden="1" x14ac:dyDescent="0.2">
      <c r="A50" t="s">
        <v>140</v>
      </c>
      <c r="B50" t="s">
        <v>141</v>
      </c>
      <c r="C50" t="s">
        <v>142</v>
      </c>
      <c r="D50" t="s">
        <v>4</v>
      </c>
      <c r="E50">
        <v>0</v>
      </c>
      <c r="F50">
        <v>0</v>
      </c>
      <c r="G50">
        <v>1</v>
      </c>
      <c r="H50">
        <v>0</v>
      </c>
      <c r="I50" t="s">
        <v>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5.5</v>
      </c>
      <c r="AE50">
        <v>191</v>
      </c>
      <c r="AF50">
        <v>14.042553191489359</v>
      </c>
      <c r="AG50">
        <v>0</v>
      </c>
      <c r="AH50">
        <v>11.985645642326119</v>
      </c>
      <c r="AI50">
        <f>3.67029185906766*1</f>
        <v>3.6702918590676599</v>
      </c>
      <c r="AJ50">
        <v>1</v>
      </c>
      <c r="AK50">
        <v>0</v>
      </c>
    </row>
    <row r="51" spans="1:37" hidden="1" x14ac:dyDescent="0.2">
      <c r="A51" t="s">
        <v>143</v>
      </c>
      <c r="B51" t="s">
        <v>144</v>
      </c>
      <c r="C51" t="s">
        <v>144</v>
      </c>
      <c r="D51" t="s">
        <v>4</v>
      </c>
      <c r="E51">
        <v>0</v>
      </c>
      <c r="F51">
        <v>0</v>
      </c>
      <c r="G51">
        <v>1</v>
      </c>
      <c r="H51">
        <v>0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</v>
      </c>
      <c r="AE51">
        <v>198</v>
      </c>
      <c r="AF51">
        <v>25.105518356635532</v>
      </c>
      <c r="AG51">
        <v>0</v>
      </c>
      <c r="AH51">
        <v>60.222222222222221</v>
      </c>
      <c r="AI51">
        <f>7.19612951774467*1</f>
        <v>7.1961295177446702</v>
      </c>
      <c r="AJ51">
        <v>1</v>
      </c>
      <c r="AK51">
        <v>0</v>
      </c>
    </row>
    <row r="52" spans="1:37" hidden="1" x14ac:dyDescent="0.2">
      <c r="A52" t="s">
        <v>145</v>
      </c>
      <c r="B52" t="s">
        <v>146</v>
      </c>
      <c r="C52" t="s">
        <v>146</v>
      </c>
      <c r="D52" t="s">
        <v>4</v>
      </c>
      <c r="E52">
        <v>0</v>
      </c>
      <c r="F52">
        <v>0</v>
      </c>
      <c r="G52">
        <v>1</v>
      </c>
      <c r="H52">
        <v>0</v>
      </c>
      <c r="I52" t="s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202</v>
      </c>
      <c r="AF52">
        <v>10.572519083969469</v>
      </c>
      <c r="AG52">
        <v>0</v>
      </c>
      <c r="AH52">
        <v>9.0394050292319665</v>
      </c>
      <c r="AI52">
        <f>2.75896325460838*1</f>
        <v>2.7589632546083802</v>
      </c>
      <c r="AJ52">
        <v>1</v>
      </c>
      <c r="AK52">
        <v>0</v>
      </c>
    </row>
    <row r="53" spans="1:37" hidden="1" x14ac:dyDescent="0.2">
      <c r="A53" t="s">
        <v>247</v>
      </c>
      <c r="B53" t="s">
        <v>248</v>
      </c>
      <c r="C53" t="s">
        <v>248</v>
      </c>
      <c r="D53" t="s">
        <v>4</v>
      </c>
      <c r="E53">
        <v>0</v>
      </c>
      <c r="F53">
        <v>0</v>
      </c>
      <c r="G53">
        <v>1</v>
      </c>
      <c r="H53">
        <v>0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5.5</v>
      </c>
      <c r="AE53">
        <v>433</v>
      </c>
      <c r="AF53">
        <v>0</v>
      </c>
      <c r="AG53">
        <v>11.025538033342929</v>
      </c>
      <c r="AH53">
        <v>41.270432900432901</v>
      </c>
      <c r="AI53">
        <f>5.73928599021129*1</f>
        <v>5.7392859902112896</v>
      </c>
      <c r="AJ53">
        <v>1</v>
      </c>
      <c r="AK53">
        <v>0</v>
      </c>
    </row>
    <row r="54" spans="1:37" hidden="1" x14ac:dyDescent="0.2">
      <c r="A54" t="s">
        <v>149</v>
      </c>
      <c r="B54" t="s">
        <v>150</v>
      </c>
      <c r="C54" t="s">
        <v>150</v>
      </c>
      <c r="D54" t="s">
        <v>3</v>
      </c>
      <c r="E54">
        <v>0</v>
      </c>
      <c r="F54">
        <v>1</v>
      </c>
      <c r="G54">
        <v>0</v>
      </c>
      <c r="H54">
        <v>0</v>
      </c>
      <c r="I54" t="s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209</v>
      </c>
      <c r="AF54">
        <v>14.22638470657488</v>
      </c>
      <c r="AG54">
        <v>0</v>
      </c>
      <c r="AH54">
        <v>28.82594270743849</v>
      </c>
      <c r="AI54">
        <f>3.98200589673389*1</f>
        <v>3.9820058967338898</v>
      </c>
      <c r="AJ54">
        <v>1</v>
      </c>
      <c r="AK54">
        <v>0</v>
      </c>
    </row>
    <row r="55" spans="1:37" hidden="1" x14ac:dyDescent="0.2">
      <c r="A55" t="s">
        <v>151</v>
      </c>
      <c r="B55" t="s">
        <v>152</v>
      </c>
      <c r="C55" t="s">
        <v>152</v>
      </c>
      <c r="D55" t="s">
        <v>4</v>
      </c>
      <c r="E55">
        <v>0</v>
      </c>
      <c r="F55">
        <v>0</v>
      </c>
      <c r="G55">
        <v>1</v>
      </c>
      <c r="H55">
        <v>0</v>
      </c>
      <c r="I55" t="s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213</v>
      </c>
      <c r="AF55">
        <v>13.12883435582822</v>
      </c>
      <c r="AG55">
        <v>0</v>
      </c>
      <c r="AH55">
        <v>9.848639077932221</v>
      </c>
      <c r="AI55">
        <f>3.47093481855825*1</f>
        <v>3.4709348185582498</v>
      </c>
      <c r="AJ55">
        <v>1</v>
      </c>
      <c r="AK55">
        <v>0</v>
      </c>
    </row>
    <row r="56" spans="1:37" hidden="1" x14ac:dyDescent="0.2">
      <c r="A56" t="s">
        <v>153</v>
      </c>
      <c r="B56" t="s">
        <v>154</v>
      </c>
      <c r="C56" t="s">
        <v>155</v>
      </c>
      <c r="D56" t="s">
        <v>4</v>
      </c>
      <c r="E56">
        <v>0</v>
      </c>
      <c r="F56">
        <v>0</v>
      </c>
      <c r="G56">
        <v>1</v>
      </c>
      <c r="H56">
        <v>0</v>
      </c>
      <c r="I56" t="s">
        <v>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</v>
      </c>
      <c r="AE56">
        <v>216</v>
      </c>
      <c r="AF56">
        <v>0</v>
      </c>
      <c r="AG56">
        <v>12.96831862166767</v>
      </c>
      <c r="AH56">
        <v>0</v>
      </c>
      <c r="AI56">
        <f>1.93189821477574*1</f>
        <v>1.93189821477574</v>
      </c>
      <c r="AJ56">
        <v>1</v>
      </c>
      <c r="AK56">
        <v>0</v>
      </c>
    </row>
    <row r="57" spans="1:37" hidden="1" x14ac:dyDescent="0.2">
      <c r="A57" t="s">
        <v>156</v>
      </c>
      <c r="B57" t="s">
        <v>157</v>
      </c>
      <c r="C57" t="s">
        <v>157</v>
      </c>
      <c r="D57" t="s">
        <v>3</v>
      </c>
      <c r="E57">
        <v>0</v>
      </c>
      <c r="F57">
        <v>1</v>
      </c>
      <c r="G57">
        <v>0</v>
      </c>
      <c r="H57">
        <v>0</v>
      </c>
      <c r="I57" t="s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218</v>
      </c>
      <c r="AF57">
        <v>0</v>
      </c>
      <c r="AG57">
        <v>13.40895536864574</v>
      </c>
      <c r="AH57">
        <v>0</v>
      </c>
      <c r="AI57">
        <f>2.45721345773881*1</f>
        <v>2.4572134577388098</v>
      </c>
      <c r="AJ57">
        <v>1</v>
      </c>
      <c r="AK57">
        <v>0</v>
      </c>
    </row>
    <row r="58" spans="1:37" hidden="1" x14ac:dyDescent="0.2">
      <c r="A58" t="s">
        <v>158</v>
      </c>
      <c r="B58" t="s">
        <v>159</v>
      </c>
      <c r="C58" t="s">
        <v>159</v>
      </c>
      <c r="D58" t="s">
        <v>5</v>
      </c>
      <c r="E58">
        <v>0</v>
      </c>
      <c r="F58">
        <v>0</v>
      </c>
      <c r="G58">
        <v>0</v>
      </c>
      <c r="H58">
        <v>1</v>
      </c>
      <c r="I58" t="s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219</v>
      </c>
      <c r="AF58">
        <v>0</v>
      </c>
      <c r="AG58">
        <v>17.8202392359591</v>
      </c>
      <c r="AH58">
        <v>0</v>
      </c>
      <c r="AI58">
        <f>4.60737290459291*1</f>
        <v>4.6073729045929097</v>
      </c>
      <c r="AJ58">
        <v>1</v>
      </c>
      <c r="AK58">
        <v>0</v>
      </c>
    </row>
    <row r="59" spans="1:37" hidden="1" x14ac:dyDescent="0.2">
      <c r="A59" t="s">
        <v>160</v>
      </c>
      <c r="B59" t="s">
        <v>161</v>
      </c>
      <c r="C59" t="s">
        <v>161</v>
      </c>
      <c r="D59" t="s">
        <v>4</v>
      </c>
      <c r="E59">
        <v>0</v>
      </c>
      <c r="F59">
        <v>0</v>
      </c>
      <c r="G59">
        <v>1</v>
      </c>
      <c r="H59">
        <v>0</v>
      </c>
      <c r="I59" t="s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222</v>
      </c>
      <c r="AF59">
        <v>0</v>
      </c>
      <c r="AG59">
        <v>11.525636498808311</v>
      </c>
      <c r="AH59">
        <v>0</v>
      </c>
      <c r="AI59">
        <f>2.92757489130389*1</f>
        <v>2.9275748913038901</v>
      </c>
      <c r="AJ59">
        <v>1</v>
      </c>
      <c r="AK59">
        <v>0</v>
      </c>
    </row>
    <row r="60" spans="1:37" hidden="1" x14ac:dyDescent="0.2">
      <c r="A60" t="s">
        <v>162</v>
      </c>
      <c r="B60" t="s">
        <v>163</v>
      </c>
      <c r="C60" t="s">
        <v>163</v>
      </c>
      <c r="D60" t="s">
        <v>4</v>
      </c>
      <c r="E60">
        <v>0</v>
      </c>
      <c r="F60">
        <v>0</v>
      </c>
      <c r="G60">
        <v>1</v>
      </c>
      <c r="H60">
        <v>0</v>
      </c>
      <c r="I60" t="s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5.5</v>
      </c>
      <c r="AE60">
        <v>223</v>
      </c>
      <c r="AF60">
        <v>0</v>
      </c>
      <c r="AG60">
        <v>17.640770500567179</v>
      </c>
      <c r="AH60">
        <v>0</v>
      </c>
      <c r="AI60">
        <f>3.25613574133886*1</f>
        <v>3.2561357413388601</v>
      </c>
      <c r="AJ60">
        <v>1</v>
      </c>
      <c r="AK60">
        <v>0</v>
      </c>
    </row>
    <row r="61" spans="1:37" hidden="1" x14ac:dyDescent="0.2">
      <c r="A61" t="s">
        <v>164</v>
      </c>
      <c r="B61" t="s">
        <v>165</v>
      </c>
      <c r="C61" t="s">
        <v>165</v>
      </c>
      <c r="D61" t="s">
        <v>4</v>
      </c>
      <c r="E61">
        <v>0</v>
      </c>
      <c r="F61">
        <v>0</v>
      </c>
      <c r="G61">
        <v>1</v>
      </c>
      <c r="H61">
        <v>0</v>
      </c>
      <c r="I61" t="s">
        <v>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5.5</v>
      </c>
      <c r="AE61">
        <v>229</v>
      </c>
      <c r="AF61">
        <v>0</v>
      </c>
      <c r="AG61">
        <v>14.511157088542401</v>
      </c>
      <c r="AH61">
        <v>0</v>
      </c>
      <c r="AI61">
        <f>3.37767811640712*1</f>
        <v>3.3776781164071199</v>
      </c>
      <c r="AJ61">
        <v>1</v>
      </c>
      <c r="AK61">
        <v>0</v>
      </c>
    </row>
    <row r="62" spans="1:37" hidden="1" x14ac:dyDescent="0.2">
      <c r="A62" t="s">
        <v>236</v>
      </c>
      <c r="B62" t="s">
        <v>237</v>
      </c>
      <c r="C62" t="s">
        <v>237</v>
      </c>
      <c r="D62" t="s">
        <v>5</v>
      </c>
      <c r="E62">
        <v>0</v>
      </c>
      <c r="F62">
        <v>0</v>
      </c>
      <c r="G62">
        <v>0</v>
      </c>
      <c r="H62">
        <v>1</v>
      </c>
      <c r="I62" t="s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8.5</v>
      </c>
      <c r="AE62">
        <v>400</v>
      </c>
      <c r="AF62">
        <v>0</v>
      </c>
      <c r="AG62">
        <v>18.68375903008787</v>
      </c>
      <c r="AH62">
        <v>39.590618235288659</v>
      </c>
      <c r="AI62">
        <f>6.85939084406819*1</f>
        <v>6.8593908440681899</v>
      </c>
      <c r="AJ62">
        <v>1</v>
      </c>
      <c r="AK62">
        <v>0</v>
      </c>
    </row>
    <row r="63" spans="1:37" x14ac:dyDescent="0.2">
      <c r="A63" t="s">
        <v>230</v>
      </c>
      <c r="B63" t="s">
        <v>231</v>
      </c>
      <c r="C63" t="s">
        <v>231</v>
      </c>
      <c r="D63" t="s">
        <v>2</v>
      </c>
      <c r="E63">
        <v>1</v>
      </c>
      <c r="F63">
        <v>0</v>
      </c>
      <c r="G63">
        <v>0</v>
      </c>
      <c r="H63">
        <v>0</v>
      </c>
      <c r="I63" t="s">
        <v>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382</v>
      </c>
      <c r="AF63">
        <v>0</v>
      </c>
      <c r="AG63">
        <v>25.65758533134235</v>
      </c>
      <c r="AH63">
        <v>15.634672904764519</v>
      </c>
      <c r="AI63">
        <f>6.66818970699619*1</f>
        <v>6.6681897069961904</v>
      </c>
      <c r="AJ63">
        <v>1</v>
      </c>
      <c r="AK63">
        <v>1</v>
      </c>
    </row>
    <row r="64" spans="1:37" hidden="1" x14ac:dyDescent="0.2">
      <c r="A64" t="s">
        <v>160</v>
      </c>
      <c r="B64" t="s">
        <v>169</v>
      </c>
      <c r="C64" t="s">
        <v>169</v>
      </c>
      <c r="D64" t="s">
        <v>3</v>
      </c>
      <c r="E64">
        <v>0</v>
      </c>
      <c r="F64">
        <v>1</v>
      </c>
      <c r="G64">
        <v>0</v>
      </c>
      <c r="H64">
        <v>0</v>
      </c>
      <c r="I64" t="s">
        <v>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235</v>
      </c>
      <c r="AF64">
        <v>0</v>
      </c>
      <c r="AG64">
        <v>14.9086340266081</v>
      </c>
      <c r="AH64">
        <v>0</v>
      </c>
      <c r="AI64">
        <f>4.0547087116141*1</f>
        <v>4.0547087116140998</v>
      </c>
      <c r="AJ64">
        <v>1</v>
      </c>
      <c r="AK64">
        <v>0</v>
      </c>
    </row>
    <row r="65" spans="1:37" hidden="1" x14ac:dyDescent="0.2">
      <c r="A65" t="s">
        <v>170</v>
      </c>
      <c r="B65" t="s">
        <v>171</v>
      </c>
      <c r="C65" t="s">
        <v>171</v>
      </c>
      <c r="D65" t="s">
        <v>3</v>
      </c>
      <c r="E65">
        <v>0</v>
      </c>
      <c r="F65">
        <v>1</v>
      </c>
      <c r="G65">
        <v>0</v>
      </c>
      <c r="H65">
        <v>0</v>
      </c>
      <c r="I65" t="s">
        <v>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</v>
      </c>
      <c r="AE65">
        <v>237</v>
      </c>
      <c r="AF65">
        <v>0</v>
      </c>
      <c r="AG65">
        <v>11.36757615428448</v>
      </c>
      <c r="AH65">
        <v>0</v>
      </c>
      <c r="AI65">
        <f>2.6131827000153*1</f>
        <v>2.6131827000153001</v>
      </c>
      <c r="AJ65">
        <v>1</v>
      </c>
      <c r="AK65">
        <v>0</v>
      </c>
    </row>
    <row r="66" spans="1:37" hidden="1" x14ac:dyDescent="0.2">
      <c r="A66" t="s">
        <v>172</v>
      </c>
      <c r="B66" t="s">
        <v>173</v>
      </c>
      <c r="C66" t="s">
        <v>172</v>
      </c>
      <c r="D66" t="s">
        <v>4</v>
      </c>
      <c r="E66">
        <v>0</v>
      </c>
      <c r="F66">
        <v>0</v>
      </c>
      <c r="G66">
        <v>1</v>
      </c>
      <c r="H66">
        <v>0</v>
      </c>
      <c r="I66" t="s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5.5</v>
      </c>
      <c r="AE66">
        <v>239</v>
      </c>
      <c r="AF66">
        <v>18.043478260869559</v>
      </c>
      <c r="AG66">
        <v>14.35886625107851</v>
      </c>
      <c r="AH66">
        <v>11.956639271685789</v>
      </c>
      <c r="AI66">
        <f>3.18759223072895*1</f>
        <v>3.1875922307289501</v>
      </c>
      <c r="AJ66">
        <v>1</v>
      </c>
      <c r="AK66">
        <v>0</v>
      </c>
    </row>
    <row r="67" spans="1:37" hidden="1" x14ac:dyDescent="0.2">
      <c r="A67" t="s">
        <v>174</v>
      </c>
      <c r="B67" t="s">
        <v>175</v>
      </c>
      <c r="C67" t="s">
        <v>175</v>
      </c>
      <c r="D67" t="s">
        <v>3</v>
      </c>
      <c r="E67">
        <v>0</v>
      </c>
      <c r="F67">
        <v>1</v>
      </c>
      <c r="G67">
        <v>0</v>
      </c>
      <c r="H67">
        <v>0</v>
      </c>
      <c r="I67" t="s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</v>
      </c>
      <c r="AE67">
        <v>243</v>
      </c>
      <c r="AF67">
        <v>15.41263805126057</v>
      </c>
      <c r="AG67">
        <v>14.1317966448868</v>
      </c>
      <c r="AH67">
        <v>13.849741607417579</v>
      </c>
      <c r="AI67">
        <f>2.48584656878413*1</f>
        <v>2.48584656878413</v>
      </c>
      <c r="AJ67">
        <v>1</v>
      </c>
      <c r="AK67">
        <v>0</v>
      </c>
    </row>
    <row r="68" spans="1:37" hidden="1" x14ac:dyDescent="0.2">
      <c r="A68" t="s">
        <v>176</v>
      </c>
      <c r="B68" t="s">
        <v>177</v>
      </c>
      <c r="C68" t="s">
        <v>177</v>
      </c>
      <c r="D68" t="s">
        <v>4</v>
      </c>
      <c r="E68">
        <v>0</v>
      </c>
      <c r="F68">
        <v>0</v>
      </c>
      <c r="G68">
        <v>1</v>
      </c>
      <c r="H68">
        <v>0</v>
      </c>
      <c r="I68" t="s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</v>
      </c>
      <c r="AE68">
        <v>246</v>
      </c>
      <c r="AF68">
        <v>14.56798787677412</v>
      </c>
      <c r="AG68">
        <v>12.29035802179075</v>
      </c>
      <c r="AH68">
        <v>9.9825455795397797</v>
      </c>
      <c r="AI68">
        <f>2.71646032137411*1</f>
        <v>2.7164603213741101</v>
      </c>
      <c r="AJ68">
        <v>1</v>
      </c>
      <c r="AK68">
        <v>0</v>
      </c>
    </row>
    <row r="69" spans="1:37" hidden="1" x14ac:dyDescent="0.2">
      <c r="A69" t="s">
        <v>178</v>
      </c>
      <c r="B69" t="s">
        <v>179</v>
      </c>
      <c r="C69" t="s">
        <v>179</v>
      </c>
      <c r="D69" t="s">
        <v>2</v>
      </c>
      <c r="E69">
        <v>1</v>
      </c>
      <c r="F69">
        <v>0</v>
      </c>
      <c r="G69">
        <v>0</v>
      </c>
      <c r="H69">
        <v>0</v>
      </c>
      <c r="I69" t="s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247</v>
      </c>
      <c r="AF69">
        <v>18.265903035759099</v>
      </c>
      <c r="AG69">
        <v>18.524122217567001</v>
      </c>
      <c r="AH69">
        <v>11.2856373395215</v>
      </c>
      <c r="AI69">
        <f>3.82498755238223*1</f>
        <v>3.8249875523822299</v>
      </c>
      <c r="AJ69">
        <v>1</v>
      </c>
      <c r="AK69">
        <v>0</v>
      </c>
    </row>
    <row r="70" spans="1:37" hidden="1" x14ac:dyDescent="0.2">
      <c r="A70" t="s">
        <v>180</v>
      </c>
      <c r="B70" t="s">
        <v>181</v>
      </c>
      <c r="C70" t="s">
        <v>181</v>
      </c>
      <c r="D70" t="s">
        <v>4</v>
      </c>
      <c r="E70">
        <v>0</v>
      </c>
      <c r="F70">
        <v>0</v>
      </c>
      <c r="G70">
        <v>1</v>
      </c>
      <c r="H70">
        <v>0</v>
      </c>
      <c r="I70" t="s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5.5</v>
      </c>
      <c r="AE70">
        <v>258</v>
      </c>
      <c r="AF70">
        <v>13.27956989247312</v>
      </c>
      <c r="AG70">
        <v>16.530087024567251</v>
      </c>
      <c r="AH70">
        <v>9.36</v>
      </c>
      <c r="AI70">
        <f>3.4426495846802*1</f>
        <v>3.4426495846802001</v>
      </c>
      <c r="AJ70">
        <v>1</v>
      </c>
      <c r="AK70">
        <v>0</v>
      </c>
    </row>
    <row r="71" spans="1:37" hidden="1" x14ac:dyDescent="0.2">
      <c r="A71" t="s">
        <v>182</v>
      </c>
      <c r="B71" t="s">
        <v>183</v>
      </c>
      <c r="C71" t="s">
        <v>184</v>
      </c>
      <c r="D71" t="s">
        <v>2</v>
      </c>
      <c r="E71">
        <v>1</v>
      </c>
      <c r="F71">
        <v>0</v>
      </c>
      <c r="G71">
        <v>0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5.5</v>
      </c>
      <c r="AE71">
        <v>309</v>
      </c>
      <c r="AF71">
        <v>22.06222008816065</v>
      </c>
      <c r="AG71">
        <v>0</v>
      </c>
      <c r="AH71">
        <v>17.440246794038931</v>
      </c>
      <c r="AI71">
        <f>3.25924971463975*1</f>
        <v>3.2592497146397501</v>
      </c>
      <c r="AJ71">
        <v>1</v>
      </c>
      <c r="AK71">
        <v>0</v>
      </c>
    </row>
    <row r="72" spans="1:37" hidden="1" x14ac:dyDescent="0.2">
      <c r="A72" t="s">
        <v>185</v>
      </c>
      <c r="B72" t="s">
        <v>186</v>
      </c>
      <c r="C72" t="s">
        <v>186</v>
      </c>
      <c r="D72" t="s">
        <v>4</v>
      </c>
      <c r="E72">
        <v>0</v>
      </c>
      <c r="F72">
        <v>0</v>
      </c>
      <c r="G72">
        <v>1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5.5</v>
      </c>
      <c r="AE72">
        <v>318</v>
      </c>
      <c r="AF72">
        <v>12.58807710525859</v>
      </c>
      <c r="AG72">
        <v>0</v>
      </c>
      <c r="AH72">
        <v>29.94436392914654</v>
      </c>
      <c r="AI72">
        <f>3.39139812033834*1</f>
        <v>3.3913981203383399</v>
      </c>
      <c r="AJ72">
        <v>1</v>
      </c>
      <c r="AK72">
        <v>0</v>
      </c>
    </row>
    <row r="73" spans="1:37" hidden="1" x14ac:dyDescent="0.2">
      <c r="A73" t="s">
        <v>187</v>
      </c>
      <c r="B73" t="s">
        <v>188</v>
      </c>
      <c r="C73" t="s">
        <v>188</v>
      </c>
      <c r="D73" t="s">
        <v>5</v>
      </c>
      <c r="E73">
        <v>0</v>
      </c>
      <c r="F73">
        <v>0</v>
      </c>
      <c r="G73">
        <v>0</v>
      </c>
      <c r="H73">
        <v>1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7.5</v>
      </c>
      <c r="AE73">
        <v>320</v>
      </c>
      <c r="AF73">
        <v>16.53846153846154</v>
      </c>
      <c r="AG73">
        <v>0</v>
      </c>
      <c r="AH73">
        <v>19.35384615384616</v>
      </c>
      <c r="AI73">
        <f>4.16195267804846*1</f>
        <v>4.1619526780484604</v>
      </c>
      <c r="AJ73">
        <v>1</v>
      </c>
      <c r="AK73">
        <v>0</v>
      </c>
    </row>
    <row r="74" spans="1:37" hidden="1" x14ac:dyDescent="0.2">
      <c r="A74" t="s">
        <v>189</v>
      </c>
      <c r="B74" t="s">
        <v>190</v>
      </c>
      <c r="C74" t="s">
        <v>191</v>
      </c>
      <c r="D74" t="s">
        <v>4</v>
      </c>
      <c r="E74">
        <v>0</v>
      </c>
      <c r="F74">
        <v>0</v>
      </c>
      <c r="G74">
        <v>1</v>
      </c>
      <c r="H74">
        <v>0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7.5</v>
      </c>
      <c r="AE74">
        <v>326</v>
      </c>
      <c r="AF74">
        <v>18.360655737704921</v>
      </c>
      <c r="AG74">
        <v>0</v>
      </c>
      <c r="AH74">
        <v>15.444850167444001</v>
      </c>
      <c r="AI74">
        <f>2.7283602032*1</f>
        <v>2.7283602031999998</v>
      </c>
      <c r="AJ74">
        <v>1</v>
      </c>
      <c r="AK74">
        <v>0</v>
      </c>
    </row>
    <row r="75" spans="1:37" hidden="1" x14ac:dyDescent="0.2">
      <c r="A75" t="s">
        <v>192</v>
      </c>
      <c r="B75" t="s">
        <v>193</v>
      </c>
      <c r="C75" t="s">
        <v>194</v>
      </c>
      <c r="D75" t="s">
        <v>4</v>
      </c>
      <c r="E75">
        <v>0</v>
      </c>
      <c r="F75">
        <v>0</v>
      </c>
      <c r="G75">
        <v>1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12.5</v>
      </c>
      <c r="AE75">
        <v>327</v>
      </c>
      <c r="AF75">
        <v>34.137931034482769</v>
      </c>
      <c r="AG75">
        <v>0</v>
      </c>
      <c r="AH75">
        <v>25.55077712115683</v>
      </c>
      <c r="AI75">
        <f>5.04051281615257*1</f>
        <v>5.0405128161525701</v>
      </c>
      <c r="AJ75">
        <v>1</v>
      </c>
      <c r="AK75">
        <v>0</v>
      </c>
    </row>
    <row r="76" spans="1:37" hidden="1" x14ac:dyDescent="0.2">
      <c r="A76" t="s">
        <v>195</v>
      </c>
      <c r="B76" t="s">
        <v>196</v>
      </c>
      <c r="C76" t="s">
        <v>196</v>
      </c>
      <c r="D76" t="s">
        <v>4</v>
      </c>
      <c r="E76">
        <v>0</v>
      </c>
      <c r="F76">
        <v>0</v>
      </c>
      <c r="G76">
        <v>1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6.5</v>
      </c>
      <c r="AE76">
        <v>328</v>
      </c>
      <c r="AF76">
        <v>16.04370763520981</v>
      </c>
      <c r="AG76">
        <v>0</v>
      </c>
      <c r="AH76">
        <v>23.31193340128431</v>
      </c>
      <c r="AI76">
        <f>3.42366232299676*1</f>
        <v>3.4236623229967602</v>
      </c>
      <c r="AJ76">
        <v>1</v>
      </c>
      <c r="AK76">
        <v>0</v>
      </c>
    </row>
    <row r="77" spans="1:37" hidden="1" x14ac:dyDescent="0.2">
      <c r="A77" t="s">
        <v>197</v>
      </c>
      <c r="B77" t="s">
        <v>198</v>
      </c>
      <c r="C77" t="s">
        <v>198</v>
      </c>
      <c r="D77" t="s">
        <v>3</v>
      </c>
      <c r="E77">
        <v>0</v>
      </c>
      <c r="F77">
        <v>1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5.5</v>
      </c>
      <c r="AE77">
        <v>339</v>
      </c>
      <c r="AF77">
        <v>16.851851851851851</v>
      </c>
      <c r="AG77">
        <v>0</v>
      </c>
      <c r="AH77">
        <v>20.326868539072141</v>
      </c>
      <c r="AI77">
        <f>3.82343882750347*1</f>
        <v>3.8234388275034701</v>
      </c>
      <c r="AJ77">
        <v>1</v>
      </c>
      <c r="AK77">
        <v>0</v>
      </c>
    </row>
    <row r="78" spans="1:37" hidden="1" x14ac:dyDescent="0.2">
      <c r="A78" t="s">
        <v>100</v>
      </c>
      <c r="B78" t="s">
        <v>199</v>
      </c>
      <c r="C78" t="s">
        <v>199</v>
      </c>
      <c r="D78" t="s">
        <v>3</v>
      </c>
      <c r="E78">
        <v>0</v>
      </c>
      <c r="F78">
        <v>1</v>
      </c>
      <c r="G78">
        <v>0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5.5</v>
      </c>
      <c r="AE78">
        <v>340</v>
      </c>
      <c r="AF78">
        <v>16.35416666666665</v>
      </c>
      <c r="AG78">
        <v>0</v>
      </c>
      <c r="AH78">
        <v>8.5855246702754897</v>
      </c>
      <c r="AI78">
        <f>3.16205154936373*1</f>
        <v>3.16205154936373</v>
      </c>
      <c r="AJ78">
        <v>1</v>
      </c>
      <c r="AK78">
        <v>0</v>
      </c>
    </row>
    <row r="79" spans="1:37" hidden="1" x14ac:dyDescent="0.2">
      <c r="A79" t="s">
        <v>200</v>
      </c>
      <c r="B79" t="s">
        <v>201</v>
      </c>
      <c r="C79" t="s">
        <v>200</v>
      </c>
      <c r="D79" t="s">
        <v>4</v>
      </c>
      <c r="E79">
        <v>0</v>
      </c>
      <c r="F79">
        <v>0</v>
      </c>
      <c r="G79">
        <v>1</v>
      </c>
      <c r="H79">
        <v>0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6.5</v>
      </c>
      <c r="AE79">
        <v>341</v>
      </c>
      <c r="AF79">
        <v>18.629032258064509</v>
      </c>
      <c r="AG79">
        <v>0</v>
      </c>
      <c r="AH79">
        <v>23.69826463812532</v>
      </c>
      <c r="AI79">
        <f>4.45655458394069*1</f>
        <v>4.4565545839406902</v>
      </c>
      <c r="AJ79">
        <v>1</v>
      </c>
      <c r="AK79">
        <v>0</v>
      </c>
    </row>
    <row r="80" spans="1:37" hidden="1" x14ac:dyDescent="0.2">
      <c r="A80" t="s">
        <v>202</v>
      </c>
      <c r="B80" t="s">
        <v>203</v>
      </c>
      <c r="C80" t="s">
        <v>203</v>
      </c>
      <c r="D80" t="s">
        <v>4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6.5</v>
      </c>
      <c r="AE80">
        <v>345</v>
      </c>
      <c r="AF80">
        <v>17.592592592592599</v>
      </c>
      <c r="AG80">
        <v>0</v>
      </c>
      <c r="AH80">
        <v>14.914285714285709</v>
      </c>
      <c r="AI80">
        <f>3.55855077942015*1</f>
        <v>3.5585507794201501</v>
      </c>
      <c r="AJ80">
        <v>1</v>
      </c>
      <c r="AK80">
        <v>0</v>
      </c>
    </row>
    <row r="81" spans="1:37" hidden="1" x14ac:dyDescent="0.2">
      <c r="A81" t="s">
        <v>204</v>
      </c>
      <c r="B81" t="s">
        <v>205</v>
      </c>
      <c r="C81" t="s">
        <v>206</v>
      </c>
      <c r="D81" t="s">
        <v>2</v>
      </c>
      <c r="E81">
        <v>1</v>
      </c>
      <c r="F81">
        <v>0</v>
      </c>
      <c r="G81">
        <v>0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5.5</v>
      </c>
      <c r="AE81">
        <v>346</v>
      </c>
      <c r="AF81">
        <v>19.502487562189071</v>
      </c>
      <c r="AG81">
        <v>0</v>
      </c>
      <c r="AH81">
        <v>15.19655981375997</v>
      </c>
      <c r="AI81">
        <f>3.99305437924295*1</f>
        <v>3.9930543792429498</v>
      </c>
      <c r="AJ81">
        <v>1</v>
      </c>
      <c r="AK81">
        <v>0</v>
      </c>
    </row>
    <row r="82" spans="1:37" hidden="1" x14ac:dyDescent="0.2">
      <c r="A82" t="s">
        <v>245</v>
      </c>
      <c r="B82" t="s">
        <v>246</v>
      </c>
      <c r="C82" t="s">
        <v>246</v>
      </c>
      <c r="D82" t="s">
        <v>4</v>
      </c>
      <c r="E82">
        <v>0</v>
      </c>
      <c r="F82">
        <v>0</v>
      </c>
      <c r="G82">
        <v>1</v>
      </c>
      <c r="H82">
        <v>0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6.5</v>
      </c>
      <c r="AE82">
        <v>432</v>
      </c>
      <c r="AF82">
        <v>0</v>
      </c>
      <c r="AG82">
        <v>12.111571749434891</v>
      </c>
      <c r="AH82">
        <v>41.657142857142851</v>
      </c>
      <c r="AI82">
        <f>6.62665856426468*1</f>
        <v>6.6266585642646803</v>
      </c>
      <c r="AJ82">
        <v>1</v>
      </c>
      <c r="AK82">
        <v>0</v>
      </c>
    </row>
    <row r="83" spans="1:37" hidden="1" x14ac:dyDescent="0.2">
      <c r="A83" t="s">
        <v>234</v>
      </c>
      <c r="B83" t="s">
        <v>235</v>
      </c>
      <c r="C83" t="s">
        <v>235</v>
      </c>
      <c r="D83" t="s">
        <v>4</v>
      </c>
      <c r="E83">
        <v>0</v>
      </c>
      <c r="F83">
        <v>0</v>
      </c>
      <c r="G83">
        <v>1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7.5</v>
      </c>
      <c r="AE83">
        <v>397</v>
      </c>
      <c r="AF83">
        <v>0</v>
      </c>
      <c r="AG83">
        <v>12.44379993898057</v>
      </c>
      <c r="AH83">
        <v>34.005337662337674</v>
      </c>
      <c r="AI83">
        <f>5.87536734419209*1</f>
        <v>5.8753673441920897</v>
      </c>
      <c r="AJ83">
        <v>1</v>
      </c>
      <c r="AK83">
        <v>0</v>
      </c>
    </row>
    <row r="84" spans="1:37" x14ac:dyDescent="0.2">
      <c r="A84" t="s">
        <v>166</v>
      </c>
      <c r="B84" t="s">
        <v>167</v>
      </c>
      <c r="C84" t="s">
        <v>167</v>
      </c>
      <c r="D84" t="s">
        <v>3</v>
      </c>
      <c r="E84">
        <v>0</v>
      </c>
      <c r="F84">
        <v>1</v>
      </c>
      <c r="G84">
        <v>0</v>
      </c>
      <c r="H84">
        <v>0</v>
      </c>
      <c r="I84" t="s">
        <v>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4.5</v>
      </c>
      <c r="AE84">
        <v>230</v>
      </c>
      <c r="AF84">
        <v>0</v>
      </c>
      <c r="AG84">
        <v>19.815569097393901</v>
      </c>
      <c r="AH84">
        <v>0</v>
      </c>
      <c r="AI84">
        <f>5.34699678659221*1</f>
        <v>5.3469967865922099</v>
      </c>
      <c r="AJ84">
        <v>1</v>
      </c>
      <c r="AK84">
        <v>1</v>
      </c>
    </row>
    <row r="85" spans="1:37" hidden="1" x14ac:dyDescent="0.2">
      <c r="A85" t="s">
        <v>213</v>
      </c>
      <c r="B85" t="s">
        <v>214</v>
      </c>
      <c r="C85" t="s">
        <v>215</v>
      </c>
      <c r="D85" t="s">
        <v>5</v>
      </c>
      <c r="E85">
        <v>0</v>
      </c>
      <c r="F85">
        <v>0</v>
      </c>
      <c r="G85">
        <v>0</v>
      </c>
      <c r="H85">
        <v>1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351</v>
      </c>
      <c r="AF85">
        <v>18.571428571428569</v>
      </c>
      <c r="AG85">
        <v>0</v>
      </c>
      <c r="AH85">
        <v>16.55288068217116</v>
      </c>
      <c r="AI85">
        <f>3.95499581108834*1</f>
        <v>3.9549958110883399</v>
      </c>
      <c r="AJ85">
        <v>1</v>
      </c>
      <c r="AK85">
        <v>0</v>
      </c>
    </row>
    <row r="86" spans="1:37" hidden="1" x14ac:dyDescent="0.2">
      <c r="A86" t="s">
        <v>216</v>
      </c>
      <c r="B86" t="s">
        <v>217</v>
      </c>
      <c r="C86" t="s">
        <v>216</v>
      </c>
      <c r="D86" t="s">
        <v>3</v>
      </c>
      <c r="E86">
        <v>0</v>
      </c>
      <c r="F86">
        <v>1</v>
      </c>
      <c r="G86">
        <v>0</v>
      </c>
      <c r="H86">
        <v>0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360</v>
      </c>
      <c r="AF86">
        <v>15.19230769230769</v>
      </c>
      <c r="AG86">
        <v>0</v>
      </c>
      <c r="AH86">
        <v>24.08335022867632</v>
      </c>
      <c r="AI86">
        <f>3.96547435377008*1</f>
        <v>3.9654743537700798</v>
      </c>
      <c r="AJ86">
        <v>1</v>
      </c>
      <c r="AK86">
        <v>0</v>
      </c>
    </row>
    <row r="87" spans="1:37" hidden="1" x14ac:dyDescent="0.2">
      <c r="A87" t="s">
        <v>218</v>
      </c>
      <c r="B87" t="s">
        <v>219</v>
      </c>
      <c r="C87" t="s">
        <v>219</v>
      </c>
      <c r="D87" t="s">
        <v>3</v>
      </c>
      <c r="E87">
        <v>0</v>
      </c>
      <c r="F87">
        <v>1</v>
      </c>
      <c r="G87">
        <v>0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5.5</v>
      </c>
      <c r="AE87">
        <v>362</v>
      </c>
      <c r="AF87">
        <v>19.15032679738562</v>
      </c>
      <c r="AG87">
        <v>0</v>
      </c>
      <c r="AH87">
        <v>15.33972127637468</v>
      </c>
      <c r="AI87">
        <f>4.02565905104487*1</f>
        <v>4.0256590510448698</v>
      </c>
      <c r="AJ87">
        <v>1</v>
      </c>
      <c r="AK87">
        <v>0</v>
      </c>
    </row>
    <row r="88" spans="1:37" hidden="1" x14ac:dyDescent="0.2">
      <c r="A88" t="s">
        <v>220</v>
      </c>
      <c r="B88" t="s">
        <v>221</v>
      </c>
      <c r="C88" t="s">
        <v>222</v>
      </c>
      <c r="D88" t="s">
        <v>4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8.5</v>
      </c>
      <c r="AE88">
        <v>365</v>
      </c>
      <c r="AF88">
        <v>0</v>
      </c>
      <c r="AG88">
        <v>16.295055028997851</v>
      </c>
      <c r="AH88">
        <v>41.577777777777783</v>
      </c>
      <c r="AI88">
        <f>3.18813893011369*1</f>
        <v>3.18813893011369</v>
      </c>
      <c r="AJ88">
        <v>1</v>
      </c>
      <c r="AK88">
        <v>0</v>
      </c>
    </row>
    <row r="89" spans="1:37" hidden="1" x14ac:dyDescent="0.2">
      <c r="A89" t="s">
        <v>131</v>
      </c>
      <c r="B89" t="s">
        <v>132</v>
      </c>
      <c r="C89" t="s">
        <v>133</v>
      </c>
      <c r="D89" t="s">
        <v>5</v>
      </c>
      <c r="E89">
        <v>0</v>
      </c>
      <c r="F89">
        <v>0</v>
      </c>
      <c r="G89">
        <v>0</v>
      </c>
      <c r="H89">
        <v>1</v>
      </c>
      <c r="I89" t="s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7.5</v>
      </c>
      <c r="AE89">
        <v>179</v>
      </c>
      <c r="AF89">
        <v>20.45454545454545</v>
      </c>
      <c r="AG89">
        <v>0</v>
      </c>
      <c r="AH89">
        <v>44.333406458592783</v>
      </c>
      <c r="AI89">
        <f>6.47012288615008*1</f>
        <v>6.4701228861500804</v>
      </c>
      <c r="AJ89">
        <v>1</v>
      </c>
      <c r="AK89">
        <v>0</v>
      </c>
    </row>
    <row r="90" spans="1:37" hidden="1" x14ac:dyDescent="0.2">
      <c r="A90" t="s">
        <v>226</v>
      </c>
      <c r="B90" t="s">
        <v>227</v>
      </c>
      <c r="C90" t="s">
        <v>227</v>
      </c>
      <c r="D90" t="s">
        <v>4</v>
      </c>
      <c r="E90">
        <v>0</v>
      </c>
      <c r="F90">
        <v>0</v>
      </c>
      <c r="G90">
        <v>1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6.5</v>
      </c>
      <c r="AE90">
        <v>371</v>
      </c>
      <c r="AF90">
        <v>0</v>
      </c>
      <c r="AG90">
        <v>10.878955669164011</v>
      </c>
      <c r="AH90">
        <v>20.28223649919579</v>
      </c>
      <c r="AI90">
        <f>2.24753352988707*1</f>
        <v>2.24753352988707</v>
      </c>
      <c r="AJ90">
        <v>1</v>
      </c>
      <c r="AK90">
        <v>0</v>
      </c>
    </row>
    <row r="91" spans="1:37" hidden="1" x14ac:dyDescent="0.2">
      <c r="A91" t="s">
        <v>228</v>
      </c>
      <c r="B91" t="s">
        <v>229</v>
      </c>
      <c r="C91" t="s">
        <v>229</v>
      </c>
      <c r="D91" t="s">
        <v>5</v>
      </c>
      <c r="E91">
        <v>0</v>
      </c>
      <c r="F91">
        <v>0</v>
      </c>
      <c r="G91">
        <v>0</v>
      </c>
      <c r="H91">
        <v>1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374</v>
      </c>
      <c r="AF91">
        <v>0</v>
      </c>
      <c r="AG91">
        <v>29.943177137572128</v>
      </c>
      <c r="AH91">
        <v>19.8</v>
      </c>
      <c r="AI91">
        <f>4.04734784631105*1</f>
        <v>4.0473478463110499</v>
      </c>
      <c r="AJ91">
        <v>1</v>
      </c>
      <c r="AK91">
        <v>0</v>
      </c>
    </row>
    <row r="92" spans="1:37" hidden="1" x14ac:dyDescent="0.2">
      <c r="A92" t="s">
        <v>209</v>
      </c>
      <c r="B92" t="s">
        <v>210</v>
      </c>
      <c r="C92" t="s">
        <v>210</v>
      </c>
      <c r="D92" t="s">
        <v>3</v>
      </c>
      <c r="E92">
        <v>0</v>
      </c>
      <c r="F92">
        <v>1</v>
      </c>
      <c r="G92">
        <v>0</v>
      </c>
      <c r="H92">
        <v>0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</v>
      </c>
      <c r="AE92">
        <v>349</v>
      </c>
      <c r="AF92">
        <v>18.888888888888889</v>
      </c>
      <c r="AG92">
        <v>0</v>
      </c>
      <c r="AH92">
        <v>34.76</v>
      </c>
      <c r="AI92">
        <f>5.14493645094466*1</f>
        <v>5.1449364509446598</v>
      </c>
      <c r="AJ92">
        <v>1</v>
      </c>
      <c r="AK92">
        <v>0</v>
      </c>
    </row>
    <row r="93" spans="1:37" hidden="1" x14ac:dyDescent="0.2">
      <c r="A93" t="s">
        <v>220</v>
      </c>
      <c r="B93" t="s">
        <v>232</v>
      </c>
      <c r="C93" t="s">
        <v>233</v>
      </c>
      <c r="D93" t="s">
        <v>4</v>
      </c>
      <c r="E93">
        <v>0</v>
      </c>
      <c r="F93">
        <v>0</v>
      </c>
      <c r="G93">
        <v>1</v>
      </c>
      <c r="H93">
        <v>0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6.5</v>
      </c>
      <c r="AE93">
        <v>393</v>
      </c>
      <c r="AF93">
        <v>0</v>
      </c>
      <c r="AG93">
        <v>12.139096496105831</v>
      </c>
      <c r="AH93">
        <v>28.222117940062869</v>
      </c>
      <c r="AI93">
        <f>5.02727352914601*1</f>
        <v>5.0272735291460098</v>
      </c>
      <c r="AJ93">
        <v>1</v>
      </c>
      <c r="AK93">
        <v>0</v>
      </c>
    </row>
    <row r="94" spans="1:37" hidden="1" x14ac:dyDescent="0.2">
      <c r="A94" t="s">
        <v>223</v>
      </c>
      <c r="B94" t="s">
        <v>224</v>
      </c>
      <c r="C94" t="s">
        <v>225</v>
      </c>
      <c r="D94" t="s">
        <v>3</v>
      </c>
      <c r="E94">
        <v>0</v>
      </c>
      <c r="F94">
        <v>1</v>
      </c>
      <c r="G94">
        <v>0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368</v>
      </c>
      <c r="AF94">
        <v>0</v>
      </c>
      <c r="AG94">
        <v>19.228983210099791</v>
      </c>
      <c r="AH94">
        <v>20.971428571428572</v>
      </c>
      <c r="AI94">
        <f>4.52637995834635*1</f>
        <v>4.5263799583463502</v>
      </c>
      <c r="AJ94">
        <v>1</v>
      </c>
      <c r="AK94">
        <v>0</v>
      </c>
    </row>
    <row r="95" spans="1:37" hidden="1" x14ac:dyDescent="0.2">
      <c r="A95" t="s">
        <v>138</v>
      </c>
      <c r="B95" t="s">
        <v>139</v>
      </c>
      <c r="C95" t="s">
        <v>139</v>
      </c>
      <c r="D95" t="s">
        <v>3</v>
      </c>
      <c r="E95">
        <v>0</v>
      </c>
      <c r="F95">
        <v>1</v>
      </c>
      <c r="G95">
        <v>0</v>
      </c>
      <c r="H95">
        <v>0</v>
      </c>
      <c r="I95" t="s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4.5</v>
      </c>
      <c r="AE95">
        <v>190</v>
      </c>
      <c r="AF95">
        <v>16.216805790194581</v>
      </c>
      <c r="AG95">
        <v>0</v>
      </c>
      <c r="AH95">
        <v>20.86929875984718</v>
      </c>
      <c r="AI95">
        <f>4.33812344758622*1</f>
        <v>4.33812344758622</v>
      </c>
      <c r="AJ95">
        <v>1</v>
      </c>
      <c r="AK95">
        <v>0</v>
      </c>
    </row>
    <row r="96" spans="1:37" hidden="1" x14ac:dyDescent="0.2">
      <c r="A96" t="s">
        <v>238</v>
      </c>
      <c r="B96" t="s">
        <v>239</v>
      </c>
      <c r="C96" t="s">
        <v>239</v>
      </c>
      <c r="D96" t="s">
        <v>4</v>
      </c>
      <c r="E96">
        <v>0</v>
      </c>
      <c r="F96">
        <v>0</v>
      </c>
      <c r="G96">
        <v>1</v>
      </c>
      <c r="H96">
        <v>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409</v>
      </c>
      <c r="AF96">
        <v>0</v>
      </c>
      <c r="AG96">
        <v>10.346662384926219</v>
      </c>
      <c r="AH96">
        <v>14.0504398414667</v>
      </c>
      <c r="AI96">
        <f>4.27445378859692*1</f>
        <v>4.2744537885969196</v>
      </c>
      <c r="AJ96">
        <v>1</v>
      </c>
      <c r="AK96">
        <v>0</v>
      </c>
    </row>
    <row r="97" spans="1:37" hidden="1" x14ac:dyDescent="0.2">
      <c r="A97" t="s">
        <v>240</v>
      </c>
      <c r="B97" t="s">
        <v>241</v>
      </c>
      <c r="C97" t="s">
        <v>241</v>
      </c>
      <c r="D97" t="s">
        <v>3</v>
      </c>
      <c r="E97">
        <v>0</v>
      </c>
      <c r="F97">
        <v>1</v>
      </c>
      <c r="G97">
        <v>0</v>
      </c>
      <c r="H97">
        <v>0</v>
      </c>
      <c r="I97" t="s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5.5</v>
      </c>
      <c r="AE97">
        <v>414</v>
      </c>
      <c r="AF97">
        <v>0</v>
      </c>
      <c r="AG97">
        <v>15.17389083248454</v>
      </c>
      <c r="AH97">
        <v>6.0680650161709524</v>
      </c>
      <c r="AI97">
        <f>2.05791580167493*1</f>
        <v>2.0579158016749299</v>
      </c>
      <c r="AJ97">
        <v>1</v>
      </c>
      <c r="AK97">
        <v>0</v>
      </c>
    </row>
    <row r="98" spans="1:37" hidden="1" x14ac:dyDescent="0.2">
      <c r="A98" t="s">
        <v>242</v>
      </c>
      <c r="B98" t="s">
        <v>243</v>
      </c>
      <c r="C98" t="s">
        <v>242</v>
      </c>
      <c r="D98" t="s">
        <v>4</v>
      </c>
      <c r="E98">
        <v>0</v>
      </c>
      <c r="F98">
        <v>0</v>
      </c>
      <c r="G98">
        <v>1</v>
      </c>
      <c r="H98">
        <v>0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428</v>
      </c>
      <c r="AF98">
        <v>0</v>
      </c>
      <c r="AG98">
        <v>17.396572394554489</v>
      </c>
      <c r="AH98">
        <v>12.5</v>
      </c>
      <c r="AI98">
        <f>2.65454360190669*1</f>
        <v>2.6545436019066901</v>
      </c>
      <c r="AJ98">
        <v>1</v>
      </c>
      <c r="AK98">
        <v>0</v>
      </c>
    </row>
    <row r="99" spans="1:37" hidden="1" x14ac:dyDescent="0.2">
      <c r="A99" t="s">
        <v>234</v>
      </c>
      <c r="B99" t="s">
        <v>244</v>
      </c>
      <c r="C99" t="s">
        <v>244</v>
      </c>
      <c r="D99" t="s">
        <v>4</v>
      </c>
      <c r="E99">
        <v>0</v>
      </c>
      <c r="F99">
        <v>0</v>
      </c>
      <c r="G99">
        <v>1</v>
      </c>
      <c r="H99">
        <v>0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5.5</v>
      </c>
      <c r="AE99">
        <v>431</v>
      </c>
      <c r="AF99">
        <v>0</v>
      </c>
      <c r="AG99">
        <v>10.69080618074095</v>
      </c>
      <c r="AH99">
        <v>12.79142331817232</v>
      </c>
      <c r="AI99">
        <f>2.654499312226*1</f>
        <v>2.6544993122260001</v>
      </c>
      <c r="AJ99">
        <v>1</v>
      </c>
      <c r="AK99">
        <v>0</v>
      </c>
    </row>
    <row r="100" spans="1:37" hidden="1" x14ac:dyDescent="0.2">
      <c r="A100" t="s">
        <v>140</v>
      </c>
      <c r="B100" t="s">
        <v>168</v>
      </c>
      <c r="C100" t="s">
        <v>168</v>
      </c>
      <c r="D100" t="s">
        <v>2</v>
      </c>
      <c r="E100">
        <v>1</v>
      </c>
      <c r="F100">
        <v>0</v>
      </c>
      <c r="G100">
        <v>0</v>
      </c>
      <c r="H100">
        <v>0</v>
      </c>
      <c r="I100" t="s">
        <v>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>
        <v>234</v>
      </c>
      <c r="AF100">
        <v>0</v>
      </c>
      <c r="AG100">
        <v>18.008365808748849</v>
      </c>
      <c r="AH100">
        <v>0</v>
      </c>
      <c r="AI100">
        <f>4.33609484652555*1</f>
        <v>4.3360948465255502</v>
      </c>
      <c r="AJ100">
        <v>1</v>
      </c>
      <c r="AK100">
        <v>0</v>
      </c>
    </row>
    <row r="101" spans="1:37" hidden="1" x14ac:dyDescent="0.2">
      <c r="A101" t="s">
        <v>56</v>
      </c>
      <c r="B101" t="s">
        <v>57</v>
      </c>
      <c r="C101" t="s">
        <v>57</v>
      </c>
      <c r="D101" t="s">
        <v>3</v>
      </c>
      <c r="E101">
        <v>0</v>
      </c>
      <c r="F101">
        <v>1</v>
      </c>
      <c r="G101">
        <v>0</v>
      </c>
      <c r="H101">
        <v>0</v>
      </c>
      <c r="I101" t="s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6.5</v>
      </c>
      <c r="AE101">
        <v>23</v>
      </c>
      <c r="AF101">
        <v>0</v>
      </c>
      <c r="AG101">
        <v>19.938553748755162</v>
      </c>
      <c r="AH101">
        <v>24.447861663494201</v>
      </c>
      <c r="AI101">
        <f>4.22182995026464*1</f>
        <v>4.2218299502646399</v>
      </c>
      <c r="AJ101">
        <v>1</v>
      </c>
      <c r="AK101">
        <v>0</v>
      </c>
    </row>
    <row r="102" spans="1:37" hidden="1" x14ac:dyDescent="0.2">
      <c r="A102" t="s">
        <v>249</v>
      </c>
      <c r="B102" t="s">
        <v>250</v>
      </c>
      <c r="C102" t="s">
        <v>250</v>
      </c>
      <c r="D102" t="s">
        <v>5</v>
      </c>
      <c r="E102">
        <v>0</v>
      </c>
      <c r="F102">
        <v>0</v>
      </c>
      <c r="G102">
        <v>0</v>
      </c>
      <c r="H102">
        <v>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446</v>
      </c>
      <c r="AF102">
        <v>0</v>
      </c>
      <c r="AG102">
        <v>15.91031136951835</v>
      </c>
      <c r="AH102">
        <v>23.704541884028949</v>
      </c>
      <c r="AI102">
        <f>4.24323665554506*1</f>
        <v>4.2432366555450596</v>
      </c>
      <c r="AJ102">
        <v>1</v>
      </c>
      <c r="AK102">
        <v>0</v>
      </c>
    </row>
    <row r="103" spans="1:37" hidden="1" x14ac:dyDescent="0.2">
      <c r="A103" t="s">
        <v>251</v>
      </c>
      <c r="B103" t="s">
        <v>252</v>
      </c>
      <c r="C103" t="s">
        <v>252</v>
      </c>
      <c r="D103" t="s">
        <v>4</v>
      </c>
      <c r="E103">
        <v>0</v>
      </c>
      <c r="F103">
        <v>0</v>
      </c>
      <c r="G103">
        <v>1</v>
      </c>
      <c r="H103">
        <v>0</v>
      </c>
      <c r="I103" t="s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6.5</v>
      </c>
      <c r="AE103">
        <v>490</v>
      </c>
      <c r="AF103">
        <v>17.142857142857139</v>
      </c>
      <c r="AG103">
        <v>12.325210560492881</v>
      </c>
      <c r="AH103">
        <v>17.703900319145419</v>
      </c>
      <c r="AI103">
        <f>3.05767649844574*1</f>
        <v>3.0576764984457401</v>
      </c>
      <c r="AJ103">
        <v>1</v>
      </c>
      <c r="AK103">
        <v>0</v>
      </c>
    </row>
    <row r="104" spans="1:37" hidden="1" x14ac:dyDescent="0.2">
      <c r="A104" t="s">
        <v>253</v>
      </c>
      <c r="B104" t="s">
        <v>254</v>
      </c>
      <c r="C104" t="s">
        <v>254</v>
      </c>
      <c r="D104" t="s">
        <v>4</v>
      </c>
      <c r="E104">
        <v>0</v>
      </c>
      <c r="F104">
        <v>0</v>
      </c>
      <c r="G104">
        <v>1</v>
      </c>
      <c r="H104">
        <v>0</v>
      </c>
      <c r="I104" t="s">
        <v>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6.5</v>
      </c>
      <c r="AE104">
        <v>491</v>
      </c>
      <c r="AF104">
        <v>19.551690135098259</v>
      </c>
      <c r="AG104">
        <v>23.441590938256919</v>
      </c>
      <c r="AH104">
        <v>23.605594709468761</v>
      </c>
      <c r="AI104">
        <f>4.42226292543457*1</f>
        <v>4.4222629254345698</v>
      </c>
      <c r="AJ104">
        <v>1</v>
      </c>
      <c r="AK104">
        <v>0</v>
      </c>
    </row>
    <row r="105" spans="1:37" hidden="1" x14ac:dyDescent="0.2">
      <c r="A105" t="s">
        <v>160</v>
      </c>
      <c r="B105" t="s">
        <v>255</v>
      </c>
      <c r="C105" t="s">
        <v>255</v>
      </c>
      <c r="D105" t="s">
        <v>4</v>
      </c>
      <c r="E105">
        <v>0</v>
      </c>
      <c r="F105">
        <v>0</v>
      </c>
      <c r="G105">
        <v>1</v>
      </c>
      <c r="H105">
        <v>0</v>
      </c>
      <c r="I105" t="s">
        <v>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7.5</v>
      </c>
      <c r="AE105">
        <v>493</v>
      </c>
      <c r="AF105">
        <v>20.81745350729787</v>
      </c>
      <c r="AG105">
        <v>22.215908437662769</v>
      </c>
      <c r="AH105">
        <v>19.778827169167151</v>
      </c>
      <c r="AI105">
        <f>3.95800863986531*1</f>
        <v>3.95800863986531</v>
      </c>
      <c r="AJ105">
        <v>1</v>
      </c>
      <c r="AK105">
        <v>0</v>
      </c>
    </row>
    <row r="106" spans="1:37" hidden="1" x14ac:dyDescent="0.2">
      <c r="A106" t="s">
        <v>256</v>
      </c>
      <c r="B106" t="s">
        <v>257</v>
      </c>
      <c r="C106" t="s">
        <v>258</v>
      </c>
      <c r="D106" t="s">
        <v>3</v>
      </c>
      <c r="E106">
        <v>0</v>
      </c>
      <c r="F106">
        <v>1</v>
      </c>
      <c r="G106">
        <v>0</v>
      </c>
      <c r="H106">
        <v>0</v>
      </c>
      <c r="I106" t="s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5.5</v>
      </c>
      <c r="AE106">
        <v>494</v>
      </c>
      <c r="AF106">
        <v>19.270833333333339</v>
      </c>
      <c r="AG106">
        <v>20.079849953354572</v>
      </c>
      <c r="AH106">
        <v>35.114285714285707</v>
      </c>
      <c r="AI106">
        <f>3.88587077101076*1</f>
        <v>3.8858707710107598</v>
      </c>
      <c r="AJ106">
        <v>1</v>
      </c>
      <c r="AK106">
        <v>0</v>
      </c>
    </row>
    <row r="107" spans="1:37" hidden="1" x14ac:dyDescent="0.2">
      <c r="A107" t="s">
        <v>259</v>
      </c>
      <c r="B107" t="s">
        <v>260</v>
      </c>
      <c r="C107" t="s">
        <v>259</v>
      </c>
      <c r="D107" t="s">
        <v>5</v>
      </c>
      <c r="E107">
        <v>0</v>
      </c>
      <c r="F107">
        <v>0</v>
      </c>
      <c r="G107">
        <v>0</v>
      </c>
      <c r="H107">
        <v>1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7</v>
      </c>
      <c r="AE107">
        <v>496</v>
      </c>
      <c r="AF107">
        <v>19.527777777777761</v>
      </c>
      <c r="AG107">
        <v>16.648568922075679</v>
      </c>
      <c r="AH107">
        <v>27.54314418082814</v>
      </c>
      <c r="AI107">
        <f>3.59278960300283*1</f>
        <v>3.5927896030028301</v>
      </c>
      <c r="AJ107">
        <v>1</v>
      </c>
      <c r="AK107">
        <v>0</v>
      </c>
    </row>
    <row r="108" spans="1:37" hidden="1" x14ac:dyDescent="0.2">
      <c r="A108" t="s">
        <v>261</v>
      </c>
      <c r="B108" t="s">
        <v>262</v>
      </c>
      <c r="C108" t="s">
        <v>261</v>
      </c>
      <c r="D108" t="s">
        <v>4</v>
      </c>
      <c r="E108">
        <v>0</v>
      </c>
      <c r="F108">
        <v>0</v>
      </c>
      <c r="G108">
        <v>1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10</v>
      </c>
      <c r="AE108">
        <v>502</v>
      </c>
      <c r="AF108">
        <v>25.73306768699268</v>
      </c>
      <c r="AG108">
        <v>24.700850840345289</v>
      </c>
      <c r="AH108">
        <v>25.882072601640079</v>
      </c>
      <c r="AI108">
        <f>4.65064984985592*1</f>
        <v>4.6506498498559203</v>
      </c>
      <c r="AJ108">
        <v>1</v>
      </c>
      <c r="AK108">
        <v>0</v>
      </c>
    </row>
    <row r="109" spans="1:37" hidden="1" x14ac:dyDescent="0.2">
      <c r="A109" t="s">
        <v>263</v>
      </c>
      <c r="B109" t="s">
        <v>264</v>
      </c>
      <c r="C109" t="s">
        <v>264</v>
      </c>
      <c r="D109" t="s">
        <v>2</v>
      </c>
      <c r="E109">
        <v>1</v>
      </c>
      <c r="F109">
        <v>0</v>
      </c>
      <c r="G109">
        <v>0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5</v>
      </c>
      <c r="AE109">
        <v>507</v>
      </c>
      <c r="AF109">
        <v>13.427923242415959</v>
      </c>
      <c r="AG109">
        <v>23.829728325325078</v>
      </c>
      <c r="AH109">
        <v>9.1108095238095252</v>
      </c>
      <c r="AI109">
        <f>2.64506394277887*1</f>
        <v>2.64506394277887</v>
      </c>
      <c r="AJ109">
        <v>1</v>
      </c>
      <c r="AK109">
        <v>0</v>
      </c>
    </row>
    <row r="110" spans="1:37" hidden="1" x14ac:dyDescent="0.2">
      <c r="A110" t="s">
        <v>265</v>
      </c>
      <c r="B110" t="s">
        <v>266</v>
      </c>
      <c r="C110" t="s">
        <v>266</v>
      </c>
      <c r="D110" t="s">
        <v>5</v>
      </c>
      <c r="E110">
        <v>0</v>
      </c>
      <c r="F110">
        <v>0</v>
      </c>
      <c r="G110">
        <v>0</v>
      </c>
      <c r="H110">
        <v>1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5.5</v>
      </c>
      <c r="AE110">
        <v>511</v>
      </c>
      <c r="AF110">
        <v>17.95977011494255</v>
      </c>
      <c r="AG110">
        <v>19.551933697824769</v>
      </c>
      <c r="AH110">
        <v>12.17599517589284</v>
      </c>
      <c r="AI110">
        <f>3.03384314116984*1</f>
        <v>3.0338431411698399</v>
      </c>
      <c r="AJ110">
        <v>1</v>
      </c>
      <c r="AK110">
        <v>0</v>
      </c>
    </row>
    <row r="111" spans="1:37" hidden="1" x14ac:dyDescent="0.2">
      <c r="A111" t="s">
        <v>267</v>
      </c>
      <c r="B111" t="s">
        <v>268</v>
      </c>
      <c r="C111" t="s">
        <v>268</v>
      </c>
      <c r="D111" t="s">
        <v>2</v>
      </c>
      <c r="E111">
        <v>1</v>
      </c>
      <c r="F111">
        <v>0</v>
      </c>
      <c r="G111">
        <v>0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4.5</v>
      </c>
      <c r="AE111">
        <v>512</v>
      </c>
      <c r="AF111">
        <v>17.976770190350361</v>
      </c>
      <c r="AG111">
        <v>26.615348698770578</v>
      </c>
      <c r="AH111">
        <v>10.72294781388905</v>
      </c>
      <c r="AI111">
        <f>4.1623759994456*1</f>
        <v>4.1623759994456</v>
      </c>
      <c r="AJ111">
        <v>1</v>
      </c>
      <c r="AK111">
        <v>0</v>
      </c>
    </row>
    <row r="112" spans="1:37" hidden="1" x14ac:dyDescent="0.2">
      <c r="A112" t="s">
        <v>269</v>
      </c>
      <c r="B112" t="s">
        <v>270</v>
      </c>
      <c r="C112" t="s">
        <v>270</v>
      </c>
      <c r="D112" t="s">
        <v>4</v>
      </c>
      <c r="E112">
        <v>0</v>
      </c>
      <c r="F112">
        <v>0</v>
      </c>
      <c r="G112">
        <v>1</v>
      </c>
      <c r="H112">
        <v>0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7.5</v>
      </c>
      <c r="AE112">
        <v>513</v>
      </c>
      <c r="AF112">
        <v>22.061473284673809</v>
      </c>
      <c r="AG112">
        <v>21.955051055635671</v>
      </c>
      <c r="AH112">
        <v>38.846985501816178</v>
      </c>
      <c r="AI112">
        <f>4.71934636205313*1</f>
        <v>4.7193463620531304</v>
      </c>
      <c r="AJ112">
        <v>1</v>
      </c>
      <c r="AK112">
        <v>0</v>
      </c>
    </row>
    <row r="113" spans="1:37" hidden="1" x14ac:dyDescent="0.2">
      <c r="A113" t="s">
        <v>271</v>
      </c>
      <c r="B113" t="s">
        <v>272</v>
      </c>
      <c r="C113" t="s">
        <v>272</v>
      </c>
      <c r="D113" t="s">
        <v>2</v>
      </c>
      <c r="E113">
        <v>1</v>
      </c>
      <c r="F113">
        <v>0</v>
      </c>
      <c r="G113">
        <v>0</v>
      </c>
      <c r="H113">
        <v>0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4.5</v>
      </c>
      <c r="AE113">
        <v>521</v>
      </c>
      <c r="AF113">
        <v>11.666666666666661</v>
      </c>
      <c r="AG113">
        <v>14.411409030323769</v>
      </c>
      <c r="AH113">
        <v>11.152014194110651</v>
      </c>
      <c r="AI113">
        <f>2.17646624452676*1</f>
        <v>2.1764662445267602</v>
      </c>
      <c r="AJ113">
        <v>1</v>
      </c>
      <c r="AK113">
        <v>0</v>
      </c>
    </row>
    <row r="114" spans="1:37" hidden="1" x14ac:dyDescent="0.2">
      <c r="A114" t="s">
        <v>273</v>
      </c>
      <c r="B114" t="s">
        <v>274</v>
      </c>
      <c r="C114" t="s">
        <v>274</v>
      </c>
      <c r="D114" t="s">
        <v>4</v>
      </c>
      <c r="E114">
        <v>0</v>
      </c>
      <c r="F114">
        <v>0</v>
      </c>
      <c r="G114">
        <v>1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6.5</v>
      </c>
      <c r="AE114">
        <v>524</v>
      </c>
      <c r="AF114">
        <v>20.757575757575751</v>
      </c>
      <c r="AG114">
        <v>30.305672419777089</v>
      </c>
      <c r="AH114">
        <v>19.752941176470589</v>
      </c>
      <c r="AI114">
        <f>4.81472992040858*1</f>
        <v>4.8147299204085803</v>
      </c>
      <c r="AJ114">
        <v>1</v>
      </c>
      <c r="AK114">
        <v>0</v>
      </c>
    </row>
    <row r="115" spans="1:37" hidden="1" x14ac:dyDescent="0.2">
      <c r="A115" t="s">
        <v>275</v>
      </c>
      <c r="B115" t="s">
        <v>276</v>
      </c>
      <c r="C115" t="s">
        <v>276</v>
      </c>
      <c r="D115" t="s">
        <v>4</v>
      </c>
      <c r="E115">
        <v>0</v>
      </c>
      <c r="F115">
        <v>0</v>
      </c>
      <c r="G115">
        <v>1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5</v>
      </c>
      <c r="AE115">
        <v>529</v>
      </c>
      <c r="AF115">
        <v>15.675675675675681</v>
      </c>
      <c r="AG115">
        <v>21.41985002381637</v>
      </c>
      <c r="AH115">
        <v>20.56</v>
      </c>
      <c r="AI115">
        <f>4.36172396565533*1</f>
        <v>4.3617239656553304</v>
      </c>
      <c r="AJ115">
        <v>1</v>
      </c>
      <c r="AK115">
        <v>0</v>
      </c>
    </row>
    <row r="116" spans="1:37" hidden="1" x14ac:dyDescent="0.2">
      <c r="A116" t="s">
        <v>160</v>
      </c>
      <c r="B116" t="s">
        <v>277</v>
      </c>
      <c r="C116" t="s">
        <v>277</v>
      </c>
      <c r="D116" t="s">
        <v>4</v>
      </c>
      <c r="E116">
        <v>0</v>
      </c>
      <c r="F116">
        <v>0</v>
      </c>
      <c r="G116">
        <v>1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6.5</v>
      </c>
      <c r="AE116">
        <v>530</v>
      </c>
      <c r="AF116">
        <v>18.849093859842121</v>
      </c>
      <c r="AG116">
        <v>19.16969057054466</v>
      </c>
      <c r="AH116">
        <v>22.304769553841229</v>
      </c>
      <c r="AI116">
        <f>3.55954364590999*1</f>
        <v>3.5595436459099901</v>
      </c>
      <c r="AJ116">
        <v>1</v>
      </c>
      <c r="AK116">
        <v>0</v>
      </c>
    </row>
    <row r="117" spans="1:37" hidden="1" x14ac:dyDescent="0.2">
      <c r="A117" t="s">
        <v>278</v>
      </c>
      <c r="B117" t="s">
        <v>279</v>
      </c>
      <c r="C117" t="s">
        <v>280</v>
      </c>
      <c r="D117" t="s">
        <v>5</v>
      </c>
      <c r="E117">
        <v>0</v>
      </c>
      <c r="F117">
        <v>0</v>
      </c>
      <c r="G117">
        <v>0</v>
      </c>
      <c r="H117">
        <v>1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6.5</v>
      </c>
      <c r="AE117">
        <v>540</v>
      </c>
      <c r="AF117">
        <v>0</v>
      </c>
      <c r="AG117">
        <v>15.29742186248142</v>
      </c>
      <c r="AH117">
        <v>14.688292771899579</v>
      </c>
      <c r="AI117">
        <f>2.57460675511583*1</f>
        <v>2.57460675511583</v>
      </c>
      <c r="AJ117">
        <v>1</v>
      </c>
      <c r="AK117">
        <v>0</v>
      </c>
    </row>
    <row r="118" spans="1:37" hidden="1" x14ac:dyDescent="0.2">
      <c r="A118" t="s">
        <v>281</v>
      </c>
      <c r="B118" t="s">
        <v>282</v>
      </c>
      <c r="C118" t="s">
        <v>283</v>
      </c>
      <c r="D118" t="s">
        <v>4</v>
      </c>
      <c r="E118">
        <v>0</v>
      </c>
      <c r="F118">
        <v>0</v>
      </c>
      <c r="G118">
        <v>1</v>
      </c>
      <c r="H118">
        <v>0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6.5</v>
      </c>
      <c r="AE118">
        <v>549</v>
      </c>
      <c r="AF118">
        <v>0</v>
      </c>
      <c r="AG118">
        <v>13.40807106234177</v>
      </c>
      <c r="AH118">
        <v>23.24</v>
      </c>
      <c r="AI118">
        <f>3.03456757357643*1</f>
        <v>3.0345675735764299</v>
      </c>
      <c r="AJ118">
        <v>1</v>
      </c>
      <c r="AK118">
        <v>0</v>
      </c>
    </row>
    <row r="119" spans="1:37" hidden="1" x14ac:dyDescent="0.2">
      <c r="A119" t="s">
        <v>284</v>
      </c>
      <c r="B119" t="s">
        <v>285</v>
      </c>
      <c r="C119" t="s">
        <v>286</v>
      </c>
      <c r="D119" t="s">
        <v>2</v>
      </c>
      <c r="E119">
        <v>1</v>
      </c>
      <c r="F119">
        <v>0</v>
      </c>
      <c r="G119">
        <v>0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4.5</v>
      </c>
      <c r="AE119">
        <v>553</v>
      </c>
      <c r="AF119">
        <v>0</v>
      </c>
      <c r="AG119">
        <v>21.5278081458233</v>
      </c>
      <c r="AH119">
        <v>19.357142857142861</v>
      </c>
      <c r="AI119">
        <f>3.7291534545402*1</f>
        <v>3.7291534545401999</v>
      </c>
      <c r="AJ119">
        <v>1</v>
      </c>
      <c r="AK119">
        <v>0</v>
      </c>
    </row>
    <row r="120" spans="1:37" hidden="1" x14ac:dyDescent="0.2">
      <c r="A120" t="s">
        <v>287</v>
      </c>
      <c r="B120" t="s">
        <v>288</v>
      </c>
      <c r="C120" t="s">
        <v>289</v>
      </c>
      <c r="D120" t="s">
        <v>4</v>
      </c>
      <c r="E120">
        <v>0</v>
      </c>
      <c r="F120">
        <v>0</v>
      </c>
      <c r="G120">
        <v>1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5</v>
      </c>
      <c r="AE120">
        <v>556</v>
      </c>
      <c r="AF120">
        <v>0</v>
      </c>
      <c r="AG120">
        <v>9.2663767674741244</v>
      </c>
      <c r="AH120">
        <v>9.7969293657198566</v>
      </c>
      <c r="AI120">
        <f>1.78217932940654*1</f>
        <v>1.78217932940654</v>
      </c>
      <c r="AJ120">
        <v>1</v>
      </c>
      <c r="AK120">
        <v>0</v>
      </c>
    </row>
    <row r="121" spans="1:37" hidden="1" x14ac:dyDescent="0.2">
      <c r="A121" t="s">
        <v>290</v>
      </c>
      <c r="B121" t="s">
        <v>291</v>
      </c>
      <c r="C121" t="s">
        <v>292</v>
      </c>
      <c r="D121" t="s">
        <v>3</v>
      </c>
      <c r="E121">
        <v>0</v>
      </c>
      <c r="F121">
        <v>1</v>
      </c>
      <c r="G121">
        <v>0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4.5</v>
      </c>
      <c r="AE121">
        <v>566</v>
      </c>
      <c r="AF121">
        <v>0</v>
      </c>
      <c r="AG121">
        <v>12.24493052289472</v>
      </c>
      <c r="AH121">
        <v>9.0490998244838607</v>
      </c>
      <c r="AI121">
        <f>2.18235289233304*1</f>
        <v>2.1823528923330402</v>
      </c>
      <c r="AJ121">
        <v>1</v>
      </c>
      <c r="AK121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2024-08-10T17:06:25Z</dcterms:created>
  <dcterms:modified xsi:type="dcterms:W3CDTF">2024-08-10T17:19:27Z</dcterms:modified>
</cp:coreProperties>
</file>