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21319F94-AA63-094C-9540-036D6C6697EC}" xr6:coauthVersionLast="47" xr6:coauthVersionMax="47" xr10:uidLastSave="{00000000-0000-0000-0000-000000000000}"/>
  <bookViews>
    <workbookView xWindow="240" yWindow="760" windowWidth="29040" windowHeight="20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21" i="1" l="1"/>
  <c r="AI121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I111" i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83" i="1"/>
  <c r="AI83" i="1"/>
  <c r="AJ63" i="1"/>
  <c r="AI63" i="1"/>
  <c r="AJ99" i="1"/>
  <c r="AI99" i="1"/>
  <c r="AJ98" i="1"/>
  <c r="AI98" i="1"/>
  <c r="AJ97" i="1"/>
  <c r="AI97" i="1"/>
  <c r="AJ96" i="1"/>
  <c r="AI96" i="1"/>
  <c r="AJ53" i="1"/>
  <c r="AI53" i="1"/>
  <c r="AJ94" i="1"/>
  <c r="AI94" i="1"/>
  <c r="AJ93" i="1"/>
  <c r="AI93" i="1"/>
  <c r="AJ62" i="1"/>
  <c r="AI62" i="1"/>
  <c r="AJ91" i="1"/>
  <c r="AI91" i="1"/>
  <c r="AJ90" i="1"/>
  <c r="AI90" i="1"/>
  <c r="AJ95" i="1"/>
  <c r="AI95" i="1"/>
  <c r="AJ88" i="1"/>
  <c r="AI88" i="1"/>
  <c r="AJ87" i="1"/>
  <c r="AI87" i="1"/>
  <c r="AJ86" i="1"/>
  <c r="AI86" i="1"/>
  <c r="AJ85" i="1"/>
  <c r="AI85" i="1"/>
  <c r="AJ84" i="1"/>
  <c r="AI84" i="1"/>
  <c r="AJ92" i="1"/>
  <c r="AI92" i="1"/>
  <c r="AJ47" i="1"/>
  <c r="AI47" i="1"/>
  <c r="AJ81" i="1"/>
  <c r="AI81" i="1"/>
  <c r="AJ80" i="1"/>
  <c r="AI80" i="1"/>
  <c r="AJ79" i="1"/>
  <c r="AI79" i="1"/>
  <c r="AJ78" i="1"/>
  <c r="AI78" i="1"/>
  <c r="AJ77" i="1"/>
  <c r="AI77" i="1"/>
  <c r="AJ76" i="1"/>
  <c r="AI76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68" i="1"/>
  <c r="AI68" i="1"/>
  <c r="AJ67" i="1"/>
  <c r="AI67" i="1"/>
  <c r="AJ66" i="1"/>
  <c r="AI66" i="1"/>
  <c r="AJ65" i="1"/>
  <c r="AI65" i="1"/>
  <c r="AJ64" i="1"/>
  <c r="AI64" i="1"/>
  <c r="AJ101" i="1"/>
  <c r="AI101" i="1"/>
  <c r="AJ89" i="1"/>
  <c r="AI89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J54" i="1"/>
  <c r="AI54" i="1"/>
  <c r="AJ49" i="1"/>
  <c r="AI49" i="1"/>
  <c r="AJ52" i="1"/>
  <c r="AI52" i="1"/>
  <c r="AJ51" i="1"/>
  <c r="AI51" i="1"/>
  <c r="AJ50" i="1"/>
  <c r="AI50" i="1"/>
  <c r="AJ100" i="1"/>
  <c r="AI100" i="1"/>
  <c r="AJ48" i="1"/>
  <c r="AI48" i="1"/>
  <c r="AJ46" i="1"/>
  <c r="AI46" i="1"/>
  <c r="AJ82" i="1"/>
  <c r="AI82" i="1"/>
  <c r="AJ45" i="1"/>
  <c r="AI45" i="1"/>
  <c r="AJ44" i="1"/>
  <c r="AI44" i="1"/>
  <c r="AJ43" i="1"/>
  <c r="AI43" i="1"/>
  <c r="AJ42" i="1"/>
  <c r="AI42" i="1"/>
  <c r="AJ41" i="1"/>
  <c r="AI41" i="1"/>
  <c r="AJ40" i="1"/>
  <c r="AI40" i="1"/>
  <c r="AJ39" i="1"/>
  <c r="AI39" i="1"/>
  <c r="AJ38" i="1"/>
  <c r="AI38" i="1"/>
  <c r="AP37" i="1"/>
  <c r="AJ37" i="1"/>
  <c r="AI37" i="1"/>
  <c r="AP36" i="1"/>
  <c r="AJ36" i="1"/>
  <c r="AI36" i="1"/>
  <c r="AP35" i="1"/>
  <c r="AJ35" i="1"/>
  <c r="AI35" i="1"/>
  <c r="AP34" i="1"/>
  <c r="AJ34" i="1"/>
  <c r="AI34" i="1"/>
  <c r="AP33" i="1"/>
  <c r="AJ33" i="1"/>
  <c r="AI33" i="1"/>
  <c r="AP32" i="1"/>
  <c r="AJ32" i="1"/>
  <c r="AI32" i="1"/>
  <c r="AP31" i="1"/>
  <c r="AJ31" i="1"/>
  <c r="AI31" i="1"/>
  <c r="AP30" i="1"/>
  <c r="AJ30" i="1"/>
  <c r="AI30" i="1"/>
  <c r="AP29" i="1"/>
  <c r="AJ29" i="1"/>
  <c r="AI29" i="1"/>
  <c r="AP28" i="1"/>
  <c r="AJ28" i="1"/>
  <c r="AI28" i="1"/>
  <c r="AP27" i="1"/>
  <c r="AJ27" i="1"/>
  <c r="AI27" i="1"/>
  <c r="AP26" i="1"/>
  <c r="AJ26" i="1"/>
  <c r="AI26" i="1"/>
  <c r="AP25" i="1"/>
  <c r="AJ25" i="1"/>
  <c r="AI25" i="1"/>
  <c r="AP24" i="1"/>
  <c r="AJ24" i="1"/>
  <c r="AI24" i="1"/>
  <c r="AP23" i="1"/>
  <c r="AJ23" i="1"/>
  <c r="AI23" i="1"/>
  <c r="AP22" i="1"/>
  <c r="AJ22" i="1"/>
  <c r="AI22" i="1"/>
  <c r="AP21" i="1"/>
  <c r="AJ21" i="1"/>
  <c r="AI21" i="1"/>
  <c r="AP20" i="1"/>
  <c r="AJ20" i="1"/>
  <c r="AI20" i="1"/>
  <c r="AP19" i="1"/>
  <c r="AJ19" i="1"/>
  <c r="AI19" i="1"/>
  <c r="AP18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J12" i="1"/>
  <c r="AI12" i="1"/>
  <c r="AP11" i="1"/>
  <c r="AP14" i="1" s="1"/>
  <c r="AJ11" i="1"/>
  <c r="AI11" i="1"/>
  <c r="AJ10" i="1"/>
  <c r="AI10" i="1"/>
  <c r="AP9" i="1"/>
  <c r="AJ9" i="1"/>
  <c r="AI9" i="1"/>
  <c r="AP8" i="1"/>
  <c r="AJ8" i="1"/>
  <c r="AI8" i="1"/>
  <c r="AP7" i="1"/>
  <c r="AJ7" i="1"/>
  <c r="AI7" i="1"/>
  <c r="AP6" i="1"/>
  <c r="AJ6" i="1"/>
  <c r="AI6" i="1"/>
  <c r="AJ5" i="1"/>
  <c r="AI5" i="1"/>
  <c r="AP4" i="1"/>
  <c r="AJ4" i="1"/>
  <c r="AI4" i="1"/>
  <c r="AJ3" i="1"/>
  <c r="AI3" i="1"/>
  <c r="AJ2" i="1"/>
  <c r="AI2" i="1"/>
  <c r="AP2" i="1" s="1"/>
  <c r="AP16" i="1" l="1"/>
</calcChain>
</file>

<file path=xl/sharedStrings.xml><?xml version="1.0" encoding="utf-8"?>
<sst xmlns="http://schemas.openxmlformats.org/spreadsheetml/2006/main" count="670" uniqueCount="299">
  <si>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</si>
  <si>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</si>
  <si>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</si>
  <si>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</si>
  <si>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</si>
  <si>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</si>
  <si>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</si>
  <si>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</si>
  <si>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</si>
  <si>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</si>
  <si>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</si>
  <si>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</si>
  <si>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</si>
  <si>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</si>
  <si>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</si>
  <si>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</si>
  <si>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</si>
  <si>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</si>
  <si>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</si>
  <si>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</si>
  <si>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</si>
  <si>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</si>
  <si>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</si>
  <si>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</si>
  <si>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</si>
  <si>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</si>
  <si>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</si>
  <si>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</si>
  <si>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</si>
  <si>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</si>
  <si>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</si>
  <si>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</si>
  <si>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</si>
  <si>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</si>
  <si>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</si>
  <si>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</si>
  <si>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</si>
  <si>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</si>
  <si>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</si>
  <si>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</si>
  <si>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</si>
  <si>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</si>
  <si>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</si>
  <si>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</si>
  <si>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</si>
  <si>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</si>
  <si>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</si>
  <si>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</si>
  <si>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</si>
  <si>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Martin</t>
  </si>
  <si>
    <t>Ødegaard</t>
  </si>
  <si>
    <t>David</t>
  </si>
  <si>
    <t>Raya Martin</t>
  </si>
  <si>
    <t>Raya</t>
  </si>
  <si>
    <t>Declan</t>
  </si>
  <si>
    <t>Rice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</si>
  <si>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</si>
  <si>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</si>
  <si>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</si>
  <si>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</si>
  <si>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</si>
  <si>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</si>
  <si>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</si>
  <si>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</si>
  <si>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</si>
  <si>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</si>
  <si>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Cameron</t>
  </si>
  <si>
    <t>Archer</t>
  </si>
  <si>
    <t>Leon</t>
  </si>
  <si>
    <t>Bailey</t>
  </si>
  <si>
    <t>Ross</t>
  </si>
  <si>
    <t>Barkley</t>
  </si>
  <si>
    <t>Moussa</t>
  </si>
  <si>
    <t>Diaby</t>
  </si>
  <si>
    <t>Emiliano</t>
  </si>
  <si>
    <t>Martínez Romero</t>
  </si>
  <si>
    <t>Martinez</t>
  </si>
  <si>
    <t>John</t>
  </si>
  <si>
    <t>McGinn</t>
  </si>
  <si>
    <t>Pau</t>
  </si>
  <si>
    <t>Torres</t>
  </si>
  <si>
    <t>Youri</t>
  </si>
  <si>
    <t>Tielemans</t>
  </si>
  <si>
    <t>Ollie</t>
  </si>
  <si>
    <t>Watkins</t>
  </si>
  <si>
    <t>Ryan</t>
  </si>
  <si>
    <t>Christie</t>
  </si>
  <si>
    <t>Lewis</t>
  </si>
  <si>
    <t>Cook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</si>
  <si>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</si>
  <si>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</si>
  <si>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</si>
  <si>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</si>
  <si>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</si>
  <si>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</si>
  <si>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</si>
  <si>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</si>
  <si>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</si>
  <si>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Adam</t>
  </si>
  <si>
    <t>Smith</t>
  </si>
  <si>
    <t>Marcus</t>
  </si>
  <si>
    <t>Tavernier</t>
  </si>
  <si>
    <t>Illia</t>
  </si>
  <si>
    <t>Zabarnyi</t>
  </si>
  <si>
    <t>Kristoffer</t>
  </si>
  <si>
    <t>Ajer</t>
  </si>
  <si>
    <t>Nathan</t>
  </si>
  <si>
    <t>Collins</t>
  </si>
  <si>
    <t>Mark</t>
  </si>
  <si>
    <t>Flekken</t>
  </si>
  <si>
    <t>Vitaly</t>
  </si>
  <si>
    <t>Janelt</t>
  </si>
  <si>
    <t>Keane</t>
  </si>
  <si>
    <t>Lewis-Potter</t>
  </si>
  <si>
    <t>Christian</t>
  </si>
  <si>
    <t>Nørgaard</t>
  </si>
  <si>
    <t>Ethan</t>
  </si>
  <si>
    <t>Pinnock</t>
  </si>
  <si>
    <t>Yoane</t>
  </si>
  <si>
    <t>Wissa</t>
  </si>
  <si>
    <t>Dunk</t>
  </si>
  <si>
    <t>Pascal</t>
  </si>
  <si>
    <t>Groß</t>
  </si>
  <si>
    <t>Gross</t>
  </si>
  <si>
    <t>João Pedro</t>
  </si>
  <si>
    <t>Junqueira de Jesus</t>
  </si>
  <si>
    <t>Danny</t>
  </si>
  <si>
    <t>Welbeck</t>
  </si>
  <si>
    <t>Moisés</t>
  </si>
  <si>
    <t>Caicedo Corozo</t>
  </si>
  <si>
    <t>Caicedo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</si>
  <si>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</si>
  <si>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</si>
  <si>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</si>
  <si>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</si>
  <si>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</si>
  <si>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</si>
  <si>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</si>
  <si>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</si>
  <si>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</si>
  <si>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Cole</t>
  </si>
  <si>
    <t>Palmer</t>
  </si>
  <si>
    <t>Raheem</t>
  </si>
  <si>
    <t>Sterling</t>
  </si>
  <si>
    <t>Joachim</t>
  </si>
  <si>
    <t>Andersen</t>
  </si>
  <si>
    <t>Jordan</t>
  </si>
  <si>
    <t>Ayew</t>
  </si>
  <si>
    <t>J.Ayew</t>
  </si>
  <si>
    <t>Eberechi</t>
  </si>
  <si>
    <t>Eze</t>
  </si>
  <si>
    <t>Will</t>
  </si>
  <si>
    <t>Hughes</t>
  </si>
  <si>
    <t>Jean-Philippe</t>
  </si>
  <si>
    <t>Mateta</t>
  </si>
  <si>
    <t>Tyrick</t>
  </si>
  <si>
    <t>Mitchell</t>
  </si>
  <si>
    <t>Jeffrey</t>
  </si>
  <si>
    <t>Schlupp</t>
  </si>
  <si>
    <t>Abdoulaye</t>
  </si>
  <si>
    <t>Doucouré</t>
  </si>
  <si>
    <t>A.Doucoure</t>
  </si>
  <si>
    <t>Jarrad</t>
  </si>
  <si>
    <t>Branthwaite</t>
  </si>
  <si>
    <t>Dominic</t>
  </si>
  <si>
    <t>Calvert-Lewin</t>
  </si>
  <si>
    <t>James</t>
  </si>
  <si>
    <t>Garner</t>
  </si>
  <si>
    <t>Jack</t>
  </si>
  <si>
    <t>Harrison</t>
  </si>
  <si>
    <t>Dwight</t>
  </si>
  <si>
    <t>McNeil</t>
  </si>
  <si>
    <t>Vitalii</t>
  </si>
  <si>
    <t>Mykolenko</t>
  </si>
  <si>
    <t>Pickford</t>
  </si>
  <si>
    <t>Tarkowski</t>
  </si>
  <si>
    <t>Ashley</t>
  </si>
  <si>
    <t>Young</t>
  </si>
  <si>
    <t>Andreas</t>
  </si>
  <si>
    <t>Hoelgebaum Pereira</t>
  </si>
  <si>
    <t>Timothy</t>
  </si>
  <si>
    <t>Castagne</t>
  </si>
  <si>
    <t>Alex</t>
  </si>
  <si>
    <t>Iwobi</t>
  </si>
  <si>
    <t>Bernd</t>
  </si>
  <si>
    <t>Leno</t>
  </si>
  <si>
    <t>Harry</t>
  </si>
  <si>
    <t>Wilson</t>
  </si>
  <si>
    <t>Alisson</t>
  </si>
  <si>
    <t>Ramses Becker</t>
  </si>
  <si>
    <t>A.Becker</t>
  </si>
  <si>
    <t>Harvey</t>
  </si>
  <si>
    <t>Elliott</t>
  </si>
  <si>
    <t>Cody</t>
  </si>
  <si>
    <t>Gakpo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</si>
  <si>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</si>
  <si>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</si>
  <si>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</si>
  <si>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</si>
  <si>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</si>
  <si>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</si>
  <si>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</si>
  <si>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</si>
  <si>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Manuel</t>
  </si>
  <si>
    <t>Akanji</t>
  </si>
  <si>
    <t>Aké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</si>
  <si>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</si>
  <si>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</si>
  <si>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</si>
  <si>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</si>
  <si>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</si>
  <si>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</si>
  <si>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</si>
  <si>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Phil</t>
  </si>
  <si>
    <t>Foden</t>
  </si>
  <si>
    <t>Joško</t>
  </si>
  <si>
    <t>Gvardiol</t>
  </si>
  <si>
    <t>Erling</t>
  </si>
  <si>
    <t>Haaland</t>
  </si>
  <si>
    <t>Julián</t>
  </si>
  <si>
    <t>Álvarez</t>
  </si>
  <si>
    <t>J.Alvarez</t>
  </si>
  <si>
    <t>Rúben</t>
  </si>
  <si>
    <t>Gato Alves Dias</t>
  </si>
  <si>
    <t>Kyle</t>
  </si>
  <si>
    <t>Walker</t>
  </si>
  <si>
    <t>Bruno</t>
  </si>
  <si>
    <t>Borges Fernandes</t>
  </si>
  <si>
    <t>B.Fernandes</t>
  </si>
  <si>
    <t>Diogo</t>
  </si>
  <si>
    <t>Dalot Teixeira</t>
  </si>
  <si>
    <t>Dalot</t>
  </si>
  <si>
    <t>Alejandro</t>
  </si>
  <si>
    <t>Garnacho</t>
  </si>
  <si>
    <t>Rasmus</t>
  </si>
  <si>
    <t>Højlund</t>
  </si>
  <si>
    <t>André</t>
  </si>
  <si>
    <t>Onana</t>
  </si>
  <si>
    <t>Guimarães Rodriguez Moura</t>
  </si>
  <si>
    <t>Bruno G.</t>
  </si>
  <si>
    <t>Anthony</t>
  </si>
  <si>
    <t>Gordon</t>
  </si>
  <si>
    <t>Alexander</t>
  </si>
  <si>
    <t>Isak</t>
  </si>
  <si>
    <t>Sean</t>
  </si>
  <si>
    <t>Longstaff</t>
  </si>
  <si>
    <t>Fabian</t>
  </si>
  <si>
    <t>Schär</t>
  </si>
  <si>
    <t>Danilo</t>
  </si>
  <si>
    <t>dos Santos de Oliveira</t>
  </si>
  <si>
    <t>Elanga</t>
  </si>
  <si>
    <t>Morgan</t>
  </si>
  <si>
    <t>Gibbs-White</t>
  </si>
  <si>
    <t>Callum</t>
  </si>
  <si>
    <t>Hudson-Odoi</t>
  </si>
  <si>
    <t>Chris</t>
  </si>
  <si>
    <t>Wood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</si>
  <si>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</si>
  <si>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</si>
  <si>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</si>
  <si>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</si>
  <si>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</si>
  <si>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</si>
  <si>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</si>
  <si>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</si>
  <si>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</si>
  <si>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</si>
  <si>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Son</t>
  </si>
  <si>
    <t>Heung-min</t>
  </si>
  <si>
    <t>Guglielmo</t>
  </si>
  <si>
    <t>Vicario</t>
  </si>
  <si>
    <t>Michail</t>
  </si>
  <si>
    <t>Antonio</t>
  </si>
  <si>
    <t>Alphonse</t>
  </si>
  <si>
    <t>Areola</t>
  </si>
  <si>
    <t>Jarrod</t>
  </si>
  <si>
    <t>Bowen</t>
  </si>
  <si>
    <t>Wes</t>
  </si>
  <si>
    <t>Foderingham</t>
  </si>
  <si>
    <t>Mohammed</t>
  </si>
  <si>
    <t>Kudus</t>
  </si>
  <si>
    <t>Tomáš</t>
  </si>
  <si>
    <t>Souček</t>
  </si>
  <si>
    <t>Ward-Prowse</t>
  </si>
  <si>
    <t>Matheus</t>
  </si>
  <si>
    <t>Santos Carneiro Da Cunha</t>
  </si>
  <si>
    <t>Cunha</t>
  </si>
  <si>
    <t>Hwang</t>
  </si>
  <si>
    <t>Hee-chan</t>
  </si>
  <si>
    <t>Hee Chan</t>
  </si>
  <si>
    <t>José</t>
  </si>
  <si>
    <t>Malheiro de Sá</t>
  </si>
  <si>
    <t>José Sá</t>
  </si>
  <si>
    <t>Mario</t>
  </si>
  <si>
    <t>Lemina</t>
  </si>
  <si>
    <t>Mario Jr.</t>
  </si>
  <si>
    <t>Toti António</t>
  </si>
  <si>
    <t>Gomes</t>
  </si>
  <si>
    <t>Toti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</si>
</sst>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M121" totalsRowShown="0">
  <autoFilter ref="A1:AM121" xr:uid="{00000000-0009-0000-0100-000001000000}">
    <filterColumn colId="38">
      <filters>
        <filter val="1"/>
      </filters>
    </filterColumn>
  </autoFilter>
  <sortState xmlns:xlrd2="http://schemas.microsoft.com/office/spreadsheetml/2017/richdata2" ref="A46:AM106">
    <sortCondition descending="1" ref="AJ1:AJ121"/>
  </sortState>
  <tableColumns count="39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5" xr3:uid="{00000000-0010-0000-0000-000023000000}" name="PP"/>
    <tableColumn id="36" xr3:uid="{00000000-0010-0000-0000-000024000000}" name="NEXT"/>
    <tableColumn id="37" xr3:uid="{00000000-0010-0000-0000-000025000000}" name="Health"/>
    <tableColumn id="38" xr3:uid="{00000000-0010-0000-0000-000026000000}" name="PREV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1"/>
  <sheetViews>
    <sheetView tabSelected="1" workbookViewId="0">
      <selection activeCell="C47" sqref="C47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4" width="0" hidden="1" customWidth="1"/>
  </cols>
  <sheetData>
    <row r="1" spans="1:43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</row>
    <row r="2" spans="1:43" hidden="1" x14ac:dyDescent="0.2">
      <c r="A2" t="s">
        <v>45</v>
      </c>
      <c r="B2" t="s">
        <v>46</v>
      </c>
      <c r="C2" t="s">
        <v>45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</v>
      </c>
      <c r="AE2">
        <v>2</v>
      </c>
      <c r="AF2">
        <v>0</v>
      </c>
      <c r="AG2">
        <v>19.18665858842348</v>
      </c>
      <c r="AH2">
        <v>17.984280571635711</v>
      </c>
      <c r="AI2">
        <f>18.8284882406489*1</f>
        <v>18.828488240648898</v>
      </c>
      <c r="AJ2">
        <f>3.59843538348932*1</f>
        <v>3.5984353834893201</v>
      </c>
      <c r="AK2">
        <v>1</v>
      </c>
      <c r="AL2">
        <v>0</v>
      </c>
      <c r="AM2">
        <v>0</v>
      </c>
      <c r="AO2" t="s">
        <v>0</v>
      </c>
      <c r="AP2">
        <f>SUMPRODUCT(Table1[Selected], Table1[PP])</f>
        <v>498.23844882231884</v>
      </c>
      <c r="AQ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6</v>
      </c>
      <c r="E3">
        <v>0</v>
      </c>
      <c r="F3">
        <v>0</v>
      </c>
      <c r="G3">
        <v>0</v>
      </c>
      <c r="H3">
        <v>1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8</v>
      </c>
      <c r="AE3">
        <v>3</v>
      </c>
      <c r="AF3">
        <v>0</v>
      </c>
      <c r="AG3">
        <v>15.159243452564869</v>
      </c>
      <c r="AH3">
        <v>25.89489795918368</v>
      </c>
      <c r="AI3">
        <f>17.9217899987004*1</f>
        <v>17.921789998700401</v>
      </c>
      <c r="AJ3">
        <f>3.43875206031624*1</f>
        <v>3.43875206031624</v>
      </c>
      <c r="AK3">
        <v>1</v>
      </c>
      <c r="AL3">
        <v>0</v>
      </c>
      <c r="AM3">
        <v>0</v>
      </c>
    </row>
    <row r="4" spans="1:43" hidden="1" x14ac:dyDescent="0.2">
      <c r="A4" t="s">
        <v>49</v>
      </c>
      <c r="B4" t="s">
        <v>50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8.5</v>
      </c>
      <c r="AE4">
        <v>12</v>
      </c>
      <c r="AF4">
        <v>0</v>
      </c>
      <c r="AG4">
        <v>23.555036908435689</v>
      </c>
      <c r="AH4">
        <v>34.272604791893428</v>
      </c>
      <c r="AI4">
        <f>26.2932639696073*1</f>
        <v>26.293263969607299</v>
      </c>
      <c r="AJ4">
        <f>4.94627679868766*1</f>
        <v>4.9462767986876601</v>
      </c>
      <c r="AK4">
        <v>1</v>
      </c>
      <c r="AL4">
        <v>0</v>
      </c>
      <c r="AM4">
        <v>0</v>
      </c>
      <c r="AO4" t="s">
        <v>2</v>
      </c>
      <c r="AP4">
        <f>SUMPRODUCT(Table1[Selected],Table1[Cost])</f>
        <v>98</v>
      </c>
      <c r="AQ4">
        <v>100</v>
      </c>
    </row>
    <row r="5" spans="1:43" hidden="1" x14ac:dyDescent="0.2">
      <c r="A5" t="s">
        <v>51</v>
      </c>
      <c r="B5" t="s">
        <v>52</v>
      </c>
      <c r="C5" t="s">
        <v>53</v>
      </c>
      <c r="D5" t="s">
        <v>3</v>
      </c>
      <c r="E5">
        <v>1</v>
      </c>
      <c r="F5">
        <v>0</v>
      </c>
      <c r="G5">
        <v>0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5.5</v>
      </c>
      <c r="AE5">
        <v>14</v>
      </c>
      <c r="AF5">
        <v>0</v>
      </c>
      <c r="AG5">
        <v>18.68496316595493</v>
      </c>
      <c r="AH5">
        <v>17.751895280122749</v>
      </c>
      <c r="AI5">
        <f>18.3981524739059*1</f>
        <v>18.398152473905899</v>
      </c>
      <c r="AJ5">
        <f>3.68516799141216*1</f>
        <v>3.6851679914121598</v>
      </c>
      <c r="AK5">
        <v>1</v>
      </c>
      <c r="AL5">
        <v>0</v>
      </c>
      <c r="AM5">
        <v>0</v>
      </c>
    </row>
    <row r="6" spans="1:43" hidden="1" x14ac:dyDescent="0.2">
      <c r="A6" t="s">
        <v>54</v>
      </c>
      <c r="B6" t="s">
        <v>55</v>
      </c>
      <c r="C6" t="s">
        <v>55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6.5</v>
      </c>
      <c r="AE6">
        <v>15</v>
      </c>
      <c r="AF6">
        <v>0</v>
      </c>
      <c r="AG6">
        <v>14.188914662979879</v>
      </c>
      <c r="AH6">
        <v>43.804003990251623</v>
      </c>
      <c r="AI6">
        <f>21.8741203664128*1</f>
        <v>21.8741203664128</v>
      </c>
      <c r="AJ6">
        <f>3.91324363732087*1</f>
        <v>3.9132436373208699</v>
      </c>
      <c r="AK6">
        <v>1</v>
      </c>
      <c r="AL6">
        <v>0</v>
      </c>
      <c r="AM6">
        <v>0</v>
      </c>
      <c r="AO6" t="s">
        <v>3</v>
      </c>
      <c r="AP6">
        <f>SUMPRODUCT(Table1[Selected],Table1[GKP])</f>
        <v>2</v>
      </c>
      <c r="AQ6">
        <v>2</v>
      </c>
    </row>
    <row r="7" spans="1:43" hidden="1" x14ac:dyDescent="0.2">
      <c r="A7" t="s">
        <v>56</v>
      </c>
      <c r="B7" t="s">
        <v>57</v>
      </c>
      <c r="C7" t="s">
        <v>57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10</v>
      </c>
      <c r="AE7">
        <v>16</v>
      </c>
      <c r="AF7">
        <v>0</v>
      </c>
      <c r="AG7">
        <v>23.20864804616053</v>
      </c>
      <c r="AH7">
        <v>41.2</v>
      </c>
      <c r="AI7">
        <f>27.8433910619966*1</f>
        <v>27.843391061996599</v>
      </c>
      <c r="AJ7">
        <f>5.72114227512408*1</f>
        <v>5.7211422751240804</v>
      </c>
      <c r="AK7">
        <v>1</v>
      </c>
      <c r="AL7">
        <v>0</v>
      </c>
      <c r="AM7">
        <v>0</v>
      </c>
      <c r="AO7" t="s">
        <v>4</v>
      </c>
      <c r="AP7">
        <f>SUMPRODUCT(Table1[Selected],Table1[DEF])</f>
        <v>5</v>
      </c>
      <c r="AQ7">
        <v>5</v>
      </c>
    </row>
    <row r="8" spans="1:43" hidden="1" x14ac:dyDescent="0.2">
      <c r="A8" t="s">
        <v>58</v>
      </c>
      <c r="B8" t="s">
        <v>59</v>
      </c>
      <c r="C8" t="s">
        <v>59</v>
      </c>
      <c r="D8" t="s">
        <v>4</v>
      </c>
      <c r="E8">
        <v>0</v>
      </c>
      <c r="F8">
        <v>1</v>
      </c>
      <c r="G8">
        <v>0</v>
      </c>
      <c r="H8">
        <v>0</v>
      </c>
      <c r="I8" t="s">
        <v>11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</v>
      </c>
      <c r="AE8">
        <v>17</v>
      </c>
      <c r="AF8">
        <v>0</v>
      </c>
      <c r="AG8">
        <v>20.702827178835889</v>
      </c>
      <c r="AH8">
        <v>21.964094707872981</v>
      </c>
      <c r="AI8">
        <f>20.9831961637165*1</f>
        <v>20.983196163716499</v>
      </c>
      <c r="AJ8">
        <f>3.94501333176391*1</f>
        <v>3.94501333176391</v>
      </c>
      <c r="AK8">
        <v>1</v>
      </c>
      <c r="AL8">
        <v>0</v>
      </c>
      <c r="AM8">
        <v>0</v>
      </c>
      <c r="AO8" t="s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61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7</v>
      </c>
      <c r="AE9">
        <v>22</v>
      </c>
      <c r="AF9">
        <v>0</v>
      </c>
      <c r="AG9">
        <v>22.396824021913059</v>
      </c>
      <c r="AH9">
        <v>29.698536776179711</v>
      </c>
      <c r="AI9">
        <f>24.2475092334731*1</f>
        <v>24.247509233473099</v>
      </c>
      <c r="AJ9">
        <f>4.37155505746924*1</f>
        <v>4.3715550574692399</v>
      </c>
      <c r="AK9">
        <v>1</v>
      </c>
      <c r="AL9">
        <v>0</v>
      </c>
      <c r="AM9">
        <v>0</v>
      </c>
      <c r="AO9" t="s">
        <v>6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6.5</v>
      </c>
      <c r="AE10">
        <v>23</v>
      </c>
      <c r="AF10">
        <v>0</v>
      </c>
      <c r="AG10">
        <v>19.938553748755162</v>
      </c>
      <c r="AH10">
        <v>24.447861663494201</v>
      </c>
      <c r="AI10">
        <f>21.0672177517878*1</f>
        <v>21.067217751787801</v>
      </c>
      <c r="AJ10">
        <f>4.22182995026464*1</f>
        <v>4.2218299502646399</v>
      </c>
      <c r="AK10">
        <v>1</v>
      </c>
      <c r="AL10">
        <v>0</v>
      </c>
      <c r="AM10">
        <v>0</v>
      </c>
    </row>
    <row r="11" spans="1:43" hidden="1" x14ac:dyDescent="0.2">
      <c r="A11" t="s">
        <v>64</v>
      </c>
      <c r="B11" t="s">
        <v>65</v>
      </c>
      <c r="C11" t="s">
        <v>65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</v>
      </c>
      <c r="AE11">
        <v>24</v>
      </c>
      <c r="AF11">
        <v>0</v>
      </c>
      <c r="AG11">
        <v>16.291612952995521</v>
      </c>
      <c r="AH11">
        <v>17.553222277749121</v>
      </c>
      <c r="AI11">
        <f>16.5823720106163*1</f>
        <v>16.5823720106163</v>
      </c>
      <c r="AJ11">
        <f>2.85132989645374*1</f>
        <v>2.8513298964537399</v>
      </c>
      <c r="AK11">
        <v>1</v>
      </c>
      <c r="AL11">
        <v>0</v>
      </c>
      <c r="AM11">
        <v>0</v>
      </c>
      <c r="AO11" t="s">
        <v>7</v>
      </c>
      <c r="AP11">
        <f>SUMPRODUCT(Table1[Selected], -- (Table1[PREV] = 0))</f>
        <v>15</v>
      </c>
    </row>
    <row r="12" spans="1:43" hidden="1" x14ac:dyDescent="0.2">
      <c r="A12" t="s">
        <v>66</v>
      </c>
      <c r="B12" t="s">
        <v>67</v>
      </c>
      <c r="C12" t="s">
        <v>67</v>
      </c>
      <c r="D12" t="s">
        <v>6</v>
      </c>
      <c r="E12">
        <v>0</v>
      </c>
      <c r="F12">
        <v>0</v>
      </c>
      <c r="G12">
        <v>0</v>
      </c>
      <c r="H12">
        <v>1</v>
      </c>
      <c r="I12" t="s">
        <v>12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</v>
      </c>
      <c r="AE12">
        <v>26</v>
      </c>
      <c r="AF12">
        <v>0</v>
      </c>
      <c r="AG12">
        <v>10.810306949078059</v>
      </c>
      <c r="AH12">
        <v>12.878707126774071</v>
      </c>
      <c r="AI12">
        <f>11.9944841045615*1</f>
        <v>11.994484104561501</v>
      </c>
      <c r="AJ12">
        <f>2.11591067251363*1</f>
        <v>2.1159106725136301</v>
      </c>
      <c r="AK12">
        <v>1</v>
      </c>
      <c r="AL12">
        <v>0</v>
      </c>
      <c r="AM12">
        <v>0</v>
      </c>
      <c r="AO12" t="s">
        <v>8</v>
      </c>
      <c r="AP12">
        <v>15</v>
      </c>
    </row>
    <row r="13" spans="1:43" hidden="1" x14ac:dyDescent="0.2">
      <c r="A13" t="s">
        <v>68</v>
      </c>
      <c r="B13" t="s">
        <v>69</v>
      </c>
      <c r="C13" t="s">
        <v>69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6.5</v>
      </c>
      <c r="AE13">
        <v>27</v>
      </c>
      <c r="AF13">
        <v>0</v>
      </c>
      <c r="AG13">
        <v>11.83777660359369</v>
      </c>
      <c r="AH13">
        <v>10.26698386172651</v>
      </c>
      <c r="AI13">
        <f>12.5174643942625*1</f>
        <v>12.5174643942625</v>
      </c>
      <c r="AJ13">
        <f>2.25376985291087*1</f>
        <v>2.2537698529108701</v>
      </c>
      <c r="AK13">
        <v>1</v>
      </c>
      <c r="AL13">
        <v>0</v>
      </c>
      <c r="AM13">
        <v>0</v>
      </c>
    </row>
    <row r="14" spans="1:43" hidden="1" x14ac:dyDescent="0.2">
      <c r="A14" t="s">
        <v>70</v>
      </c>
      <c r="B14" t="s">
        <v>71</v>
      </c>
      <c r="C14" t="s">
        <v>71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5.5</v>
      </c>
      <c r="AE14">
        <v>28</v>
      </c>
      <c r="AF14">
        <v>0</v>
      </c>
      <c r="AG14">
        <v>11.173943935822971</v>
      </c>
      <c r="AH14">
        <v>7.2438189770944064</v>
      </c>
      <c r="AI14">
        <f>11.4218148958015*1</f>
        <v>11.4218148958015</v>
      </c>
      <c r="AJ14">
        <f>2.14869088984092*1</f>
        <v>2.1486908898409198</v>
      </c>
      <c r="AK14">
        <v>1</v>
      </c>
      <c r="AL14">
        <v>0</v>
      </c>
      <c r="AM14">
        <v>0</v>
      </c>
      <c r="AO14" t="s">
        <v>9</v>
      </c>
      <c r="AP14">
        <f>((AP11-AP12)+ABS((AP11-AP12)))/2*4</f>
        <v>0</v>
      </c>
    </row>
    <row r="15" spans="1:43" hidden="1" x14ac:dyDescent="0.2">
      <c r="A15" t="s">
        <v>72</v>
      </c>
      <c r="B15" t="s">
        <v>73</v>
      </c>
      <c r="C15" t="s">
        <v>73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6.5</v>
      </c>
      <c r="AE15">
        <v>33</v>
      </c>
      <c r="AF15">
        <v>0</v>
      </c>
      <c r="AG15">
        <v>22.6768586669176</v>
      </c>
      <c r="AH15">
        <v>13.657032152207231</v>
      </c>
      <c r="AI15">
        <f>23.0119769193197*1</f>
        <v>23.0119769193197</v>
      </c>
      <c r="AJ15">
        <f>4.23161018463982*1</f>
        <v>4.2316101846398197</v>
      </c>
      <c r="AK15">
        <v>1</v>
      </c>
      <c r="AL15">
        <v>0</v>
      </c>
      <c r="AM15">
        <v>0</v>
      </c>
    </row>
    <row r="16" spans="1:43" hidden="1" x14ac:dyDescent="0.2">
      <c r="A16" t="s">
        <v>74</v>
      </c>
      <c r="B16" t="s">
        <v>75</v>
      </c>
      <c r="C16" t="s">
        <v>76</v>
      </c>
      <c r="D16" t="s">
        <v>3</v>
      </c>
      <c r="E16">
        <v>1</v>
      </c>
      <c r="F16">
        <v>0</v>
      </c>
      <c r="G16">
        <v>0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</v>
      </c>
      <c r="AE16">
        <v>46</v>
      </c>
      <c r="AF16">
        <v>0</v>
      </c>
      <c r="AG16">
        <v>17.126428293321599</v>
      </c>
      <c r="AH16">
        <v>12.24026297790186</v>
      </c>
      <c r="AI16">
        <f>17.6893387703548*1</f>
        <v>17.689338770354802</v>
      </c>
      <c r="AJ16">
        <f>3.34947531939216*1</f>
        <v>3.3494753193921598</v>
      </c>
      <c r="AK16">
        <v>1</v>
      </c>
      <c r="AL16">
        <v>0</v>
      </c>
      <c r="AM16">
        <v>0</v>
      </c>
      <c r="AO16" t="s">
        <v>10</v>
      </c>
      <c r="AP16">
        <f>AP2-AP14*5</f>
        <v>498.23844882231884</v>
      </c>
    </row>
    <row r="17" spans="1:43" hidden="1" x14ac:dyDescent="0.2">
      <c r="A17" t="s">
        <v>77</v>
      </c>
      <c r="B17" t="s">
        <v>78</v>
      </c>
      <c r="C17" t="s">
        <v>78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5.5</v>
      </c>
      <c r="AE17">
        <v>47</v>
      </c>
      <c r="AF17">
        <v>0</v>
      </c>
      <c r="AG17">
        <v>14.482312509120669</v>
      </c>
      <c r="AH17">
        <v>13.168431464991739</v>
      </c>
      <c r="AI17">
        <f>15.4116181979876*1</f>
        <v>15.4116181979876</v>
      </c>
      <c r="AJ17">
        <f>2.94695851079237*1</f>
        <v>2.9469585107923701</v>
      </c>
      <c r="AK17">
        <v>1</v>
      </c>
      <c r="AL17">
        <v>0</v>
      </c>
      <c r="AM17">
        <v>0</v>
      </c>
    </row>
    <row r="18" spans="1:43" hidden="1" x14ac:dyDescent="0.2">
      <c r="A18" t="s">
        <v>79</v>
      </c>
      <c r="B18" t="s">
        <v>80</v>
      </c>
      <c r="C18" t="s">
        <v>79</v>
      </c>
      <c r="D18" t="s">
        <v>4</v>
      </c>
      <c r="E18">
        <v>0</v>
      </c>
      <c r="F18">
        <v>1</v>
      </c>
      <c r="G18">
        <v>0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4.5</v>
      </c>
      <c r="AE18">
        <v>51</v>
      </c>
      <c r="AF18">
        <v>0</v>
      </c>
      <c r="AG18">
        <v>12.93805464625958</v>
      </c>
      <c r="AH18">
        <v>10.46343948597381</v>
      </c>
      <c r="AI18">
        <f>13.5590104483817*1</f>
        <v>13.5590104483817</v>
      </c>
      <c r="AJ18">
        <f>2.33265371909912*1</f>
        <v>2.3326537190991199</v>
      </c>
      <c r="AK18">
        <v>1</v>
      </c>
      <c r="AL18">
        <v>0</v>
      </c>
      <c r="AM18">
        <v>0</v>
      </c>
      <c r="AO18" t="s">
        <v>11</v>
      </c>
      <c r="AP18">
        <f>SUMPRODUCT(Table1[Selected],Table1[ARS])</f>
        <v>0</v>
      </c>
      <c r="AQ18">
        <v>3</v>
      </c>
    </row>
    <row r="19" spans="1:43" hidden="1" x14ac:dyDescent="0.2">
      <c r="A19" t="s">
        <v>81</v>
      </c>
      <c r="B19" t="s">
        <v>82</v>
      </c>
      <c r="C19" t="s">
        <v>82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5.5</v>
      </c>
      <c r="AE19">
        <v>56</v>
      </c>
      <c r="AF19">
        <v>0</v>
      </c>
      <c r="AG19">
        <v>14.93281178917303</v>
      </c>
      <c r="AH19">
        <v>17.597206871519589</v>
      </c>
      <c r="AI19">
        <f>16.5375615500708*1</f>
        <v>16.537561550070802</v>
      </c>
      <c r="AJ19">
        <f>2.8476833735335*1</f>
        <v>2.8476833735335001</v>
      </c>
      <c r="AK19">
        <v>1</v>
      </c>
      <c r="AL19">
        <v>0</v>
      </c>
      <c r="AM19">
        <v>0</v>
      </c>
      <c r="AO19" t="s">
        <v>12</v>
      </c>
      <c r="AP19">
        <f>SUMPRODUCT(Table1[Selected],Table1[AVL])</f>
        <v>0</v>
      </c>
      <c r="AQ19">
        <v>3</v>
      </c>
    </row>
    <row r="20" spans="1:43" hidden="1" x14ac:dyDescent="0.2">
      <c r="A20" t="s">
        <v>83</v>
      </c>
      <c r="B20" t="s">
        <v>84</v>
      </c>
      <c r="C20" t="s">
        <v>84</v>
      </c>
      <c r="D20" t="s">
        <v>6</v>
      </c>
      <c r="E20">
        <v>0</v>
      </c>
      <c r="F20">
        <v>0</v>
      </c>
      <c r="G20">
        <v>0</v>
      </c>
      <c r="H20">
        <v>1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9</v>
      </c>
      <c r="AE20">
        <v>57</v>
      </c>
      <c r="AF20">
        <v>0</v>
      </c>
      <c r="AG20">
        <v>21.92125734783879</v>
      </c>
      <c r="AH20">
        <v>21.52795103977413</v>
      </c>
      <c r="AI20">
        <f>23.5845597013223*1</f>
        <v>23.584559701322299</v>
      </c>
      <c r="AJ20">
        <f>4.70434711701819*1</f>
        <v>4.7043471170181901</v>
      </c>
      <c r="AK20">
        <v>1</v>
      </c>
      <c r="AL20">
        <v>0</v>
      </c>
      <c r="AM20">
        <v>0</v>
      </c>
      <c r="AO20" t="s">
        <v>13</v>
      </c>
      <c r="AP20">
        <f>SUMPRODUCT(Table1[Selected],Table1[BOU])</f>
        <v>0</v>
      </c>
      <c r="AQ20">
        <v>3</v>
      </c>
    </row>
    <row r="21" spans="1:43" hidden="1" x14ac:dyDescent="0.2">
      <c r="A21" t="s">
        <v>85</v>
      </c>
      <c r="B21" t="s">
        <v>86</v>
      </c>
      <c r="C21" t="s">
        <v>86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13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</v>
      </c>
      <c r="AE21">
        <v>62</v>
      </c>
      <c r="AF21">
        <v>10.68181818181818</v>
      </c>
      <c r="AG21">
        <v>0</v>
      </c>
      <c r="AH21">
        <v>11.24444444444444</v>
      </c>
      <c r="AI21">
        <f>11.8102707904146*1</f>
        <v>11.8102707904146</v>
      </c>
      <c r="AJ21">
        <f>2.35410948089218*1</f>
        <v>2.3541094808921801</v>
      </c>
      <c r="AK21">
        <v>1</v>
      </c>
      <c r="AL21">
        <v>0</v>
      </c>
      <c r="AM21">
        <v>0</v>
      </c>
      <c r="AO21" t="s">
        <v>14</v>
      </c>
      <c r="AP21">
        <f>SUMPRODUCT(Table1[Selected],Table1[BRE])</f>
        <v>0</v>
      </c>
      <c r="AQ21">
        <v>3</v>
      </c>
    </row>
    <row r="22" spans="1:43" hidden="1" x14ac:dyDescent="0.2">
      <c r="A22" t="s">
        <v>87</v>
      </c>
      <c r="B22" t="s">
        <v>88</v>
      </c>
      <c r="C22" t="s">
        <v>88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63</v>
      </c>
      <c r="AF22">
        <v>9.3939393939393909</v>
      </c>
      <c r="AG22">
        <v>0</v>
      </c>
      <c r="AH22">
        <v>11.196492023256591</v>
      </c>
      <c r="AI22">
        <f>10.5988547786396*1</f>
        <v>10.5988547786396</v>
      </c>
      <c r="AJ22">
        <f>2.12015893546548*1</f>
        <v>2.1201589354654802</v>
      </c>
      <c r="AK22">
        <v>1</v>
      </c>
      <c r="AL22">
        <v>0</v>
      </c>
      <c r="AM22">
        <v>0</v>
      </c>
      <c r="AO22" t="s">
        <v>15</v>
      </c>
      <c r="AP22">
        <f>SUMPRODUCT(Table1[Selected],Table1[BHA])</f>
        <v>0</v>
      </c>
      <c r="AQ22">
        <v>3</v>
      </c>
    </row>
    <row r="23" spans="1:43" hidden="1" x14ac:dyDescent="0.2">
      <c r="A23" t="s">
        <v>89</v>
      </c>
      <c r="B23" t="s">
        <v>90</v>
      </c>
      <c r="C23" t="s">
        <v>90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5.5</v>
      </c>
      <c r="AE23">
        <v>70</v>
      </c>
      <c r="AF23">
        <v>15.806451612903221</v>
      </c>
      <c r="AG23">
        <v>0</v>
      </c>
      <c r="AH23">
        <v>19.514285714285709</v>
      </c>
      <c r="AI23">
        <f>17.9435303558668*1</f>
        <v>17.943530355866798</v>
      </c>
      <c r="AJ23">
        <f>3.61377823425588*1</f>
        <v>3.61377823425588</v>
      </c>
      <c r="AK23">
        <v>1</v>
      </c>
      <c r="AL23">
        <v>0</v>
      </c>
      <c r="AM23">
        <v>0</v>
      </c>
      <c r="AO23" t="s">
        <v>16</v>
      </c>
      <c r="AP23">
        <f>SUMPRODUCT(Table1[Selected],Table1[CHE])</f>
        <v>2</v>
      </c>
      <c r="AQ23">
        <v>3</v>
      </c>
    </row>
    <row r="24" spans="1:43" hidden="1" x14ac:dyDescent="0.2">
      <c r="A24" t="s">
        <v>91</v>
      </c>
      <c r="B24" t="s">
        <v>92</v>
      </c>
      <c r="C24" t="s">
        <v>93</v>
      </c>
      <c r="D24" t="s">
        <v>3</v>
      </c>
      <c r="E24">
        <v>1</v>
      </c>
      <c r="F24">
        <v>0</v>
      </c>
      <c r="G24">
        <v>0</v>
      </c>
      <c r="H24">
        <v>0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</v>
      </c>
      <c r="AE24">
        <v>72</v>
      </c>
      <c r="AF24">
        <v>18.057450379631469</v>
      </c>
      <c r="AG24">
        <v>0</v>
      </c>
      <c r="AH24">
        <v>12.144236374744301</v>
      </c>
      <c r="AI24">
        <f>18.8495967592848*1</f>
        <v>18.8495967592848</v>
      </c>
      <c r="AJ24">
        <f>4.131991330177*1</f>
        <v>4.1319913301769997</v>
      </c>
      <c r="AK24">
        <v>1</v>
      </c>
      <c r="AL24">
        <v>0</v>
      </c>
      <c r="AM24">
        <v>0</v>
      </c>
      <c r="AO24" t="s">
        <v>17</v>
      </c>
      <c r="AP24">
        <f>SUMPRODUCT(Table1[Selected],Table1[CRY])</f>
        <v>3</v>
      </c>
      <c r="AQ24">
        <v>3</v>
      </c>
    </row>
    <row r="25" spans="1:43" hidden="1" x14ac:dyDescent="0.2">
      <c r="A25" t="s">
        <v>94</v>
      </c>
      <c r="B25" t="s">
        <v>95</v>
      </c>
      <c r="C25" t="s">
        <v>95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5.5</v>
      </c>
      <c r="AE25">
        <v>77</v>
      </c>
      <c r="AF25">
        <v>14.75609756097561</v>
      </c>
      <c r="AG25">
        <v>0</v>
      </c>
      <c r="AH25">
        <v>8.2916666666666679</v>
      </c>
      <c r="AI25">
        <f>15.1381632719708*1</f>
        <v>15.1381632719708</v>
      </c>
      <c r="AJ25">
        <f>3.03023273056568*1</f>
        <v>3.0302327305656802</v>
      </c>
      <c r="AK25">
        <v>1</v>
      </c>
      <c r="AL25">
        <v>0</v>
      </c>
      <c r="AM25">
        <v>0</v>
      </c>
      <c r="AO25" t="s">
        <v>18</v>
      </c>
      <c r="AP25">
        <f>SUMPRODUCT(Table1[Selected],Table1[EVE])</f>
        <v>2</v>
      </c>
      <c r="AQ25">
        <v>3</v>
      </c>
    </row>
    <row r="26" spans="1:43" hidden="1" x14ac:dyDescent="0.2">
      <c r="A26" t="s">
        <v>96</v>
      </c>
      <c r="B26" t="s">
        <v>97</v>
      </c>
      <c r="C26" t="s">
        <v>97</v>
      </c>
      <c r="D26" t="s">
        <v>4</v>
      </c>
      <c r="E26">
        <v>0</v>
      </c>
      <c r="F26">
        <v>1</v>
      </c>
      <c r="G26">
        <v>0</v>
      </c>
      <c r="H26">
        <v>0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</v>
      </c>
      <c r="AE26">
        <v>78</v>
      </c>
      <c r="AF26">
        <v>13.05987433239822</v>
      </c>
      <c r="AG26">
        <v>0</v>
      </c>
      <c r="AH26">
        <v>13.36956091620798</v>
      </c>
      <c r="AI26">
        <f>14.3780919105557*1</f>
        <v>14.3780919105557</v>
      </c>
      <c r="AJ26">
        <f>2.33260590849477*1</f>
        <v>2.3326059084947701</v>
      </c>
      <c r="AK26">
        <v>1</v>
      </c>
      <c r="AL26">
        <v>0</v>
      </c>
      <c r="AM26">
        <v>0</v>
      </c>
      <c r="AO26" t="s">
        <v>19</v>
      </c>
      <c r="AP26">
        <f>SUMPRODUCT(Table1[Selected],Table1[FUL])</f>
        <v>0</v>
      </c>
      <c r="AQ26">
        <v>3</v>
      </c>
    </row>
    <row r="27" spans="1:43" hidden="1" x14ac:dyDescent="0.2">
      <c r="A27" t="s">
        <v>98</v>
      </c>
      <c r="B27" t="s">
        <v>99</v>
      </c>
      <c r="C27" t="s">
        <v>99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</v>
      </c>
      <c r="AE27">
        <v>80</v>
      </c>
      <c r="AF27">
        <v>12.20720720720721</v>
      </c>
      <c r="AG27">
        <v>0</v>
      </c>
      <c r="AH27">
        <v>26.2</v>
      </c>
      <c r="AI27">
        <f>15.666215186654*1</f>
        <v>15.666215186654</v>
      </c>
      <c r="AJ27">
        <f>3.32174855976601*1</f>
        <v>3.3217485597660099</v>
      </c>
      <c r="AK27">
        <v>1</v>
      </c>
      <c r="AL27">
        <v>0</v>
      </c>
      <c r="AM27">
        <v>0</v>
      </c>
      <c r="AO27" t="s">
        <v>20</v>
      </c>
      <c r="AP27">
        <f>SUMPRODUCT(Table1[Selected],Table1[IPS])</f>
        <v>0</v>
      </c>
      <c r="AQ27">
        <v>3</v>
      </c>
    </row>
    <row r="28" spans="1:43" hidden="1" x14ac:dyDescent="0.2">
      <c r="A28" t="s">
        <v>100</v>
      </c>
      <c r="B28" t="s">
        <v>101</v>
      </c>
      <c r="C28" t="s">
        <v>101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5.5</v>
      </c>
      <c r="AE28">
        <v>82</v>
      </c>
      <c r="AF28">
        <v>17.43862057757222</v>
      </c>
      <c r="AG28">
        <v>0</v>
      </c>
      <c r="AH28">
        <v>14.653333333333331</v>
      </c>
      <c r="AI28">
        <f>18.6789920812987*1</f>
        <v>18.678992081298698</v>
      </c>
      <c r="AJ28">
        <f>3.98564896324178*1</f>
        <v>3.98564896324178</v>
      </c>
      <c r="AK28">
        <v>1</v>
      </c>
      <c r="AL28">
        <v>0</v>
      </c>
      <c r="AM28">
        <v>0</v>
      </c>
      <c r="AO28" t="s">
        <v>21</v>
      </c>
      <c r="AP28">
        <f>SUMPRODUCT(Table1[Selected],Table1[LEI])</f>
        <v>0</v>
      </c>
      <c r="AQ28">
        <v>3</v>
      </c>
    </row>
    <row r="29" spans="1:43" hidden="1" x14ac:dyDescent="0.2">
      <c r="A29" t="s">
        <v>102</v>
      </c>
      <c r="B29" t="s">
        <v>103</v>
      </c>
      <c r="C29" t="s">
        <v>103</v>
      </c>
      <c r="D29" t="s">
        <v>4</v>
      </c>
      <c r="E29">
        <v>0</v>
      </c>
      <c r="F29">
        <v>1</v>
      </c>
      <c r="G29">
        <v>0</v>
      </c>
      <c r="H29">
        <v>0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4.5</v>
      </c>
      <c r="AE29">
        <v>84</v>
      </c>
      <c r="AF29">
        <v>11.25</v>
      </c>
      <c r="AG29">
        <v>0</v>
      </c>
      <c r="AH29">
        <v>13.12012093231162</v>
      </c>
      <c r="AI29">
        <f>12.6460875235477*1</f>
        <v>12.646087523547701</v>
      </c>
      <c r="AJ29">
        <f>2.50473370739634*1</f>
        <v>2.50473370739634</v>
      </c>
      <c r="AK29">
        <v>1</v>
      </c>
      <c r="AL29">
        <v>0</v>
      </c>
      <c r="AM29">
        <v>0</v>
      </c>
      <c r="AO29" t="s">
        <v>22</v>
      </c>
      <c r="AP29">
        <f>SUMPRODUCT(Table1[Selected],Table1[LIV])</f>
        <v>0</v>
      </c>
      <c r="AQ29">
        <v>3</v>
      </c>
    </row>
    <row r="30" spans="1:43" hidden="1" x14ac:dyDescent="0.2">
      <c r="A30" t="s">
        <v>104</v>
      </c>
      <c r="B30" t="s">
        <v>105</v>
      </c>
      <c r="C30" t="s">
        <v>105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14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</v>
      </c>
      <c r="AE30">
        <v>85</v>
      </c>
      <c r="AF30">
        <v>14.83333333333333</v>
      </c>
      <c r="AG30">
        <v>0</v>
      </c>
      <c r="AH30">
        <v>15.726175178588109</v>
      </c>
      <c r="AI30">
        <f>17.4048217938214*1</f>
        <v>17.404821793821402</v>
      </c>
      <c r="AJ30">
        <f>3.47825671493044*1</f>
        <v>3.4782567149304402</v>
      </c>
      <c r="AK30">
        <v>1</v>
      </c>
      <c r="AL30">
        <v>0</v>
      </c>
      <c r="AM30">
        <v>0</v>
      </c>
      <c r="AO30" t="s">
        <v>23</v>
      </c>
      <c r="AP30">
        <f>SUMPRODUCT(Table1[Selected],Table1[MCI])</f>
        <v>2</v>
      </c>
      <c r="AQ30">
        <v>3</v>
      </c>
    </row>
    <row r="31" spans="1:43" hidden="1" x14ac:dyDescent="0.2">
      <c r="A31" t="s">
        <v>106</v>
      </c>
      <c r="B31" t="s">
        <v>107</v>
      </c>
      <c r="C31" t="s">
        <v>107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14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</v>
      </c>
      <c r="AE31">
        <v>87</v>
      </c>
      <c r="AF31">
        <v>12.26666666666666</v>
      </c>
      <c r="AG31">
        <v>0</v>
      </c>
      <c r="AH31">
        <v>18.907201692432281</v>
      </c>
      <c r="AI31">
        <f>14.4521843779054*1</f>
        <v>14.4521843779054</v>
      </c>
      <c r="AJ31">
        <f>2.90237422411967*1</f>
        <v>2.9023742241196699</v>
      </c>
      <c r="AK31">
        <v>1</v>
      </c>
      <c r="AL31">
        <v>0</v>
      </c>
      <c r="AM31">
        <v>0</v>
      </c>
      <c r="AO31" t="s">
        <v>24</v>
      </c>
      <c r="AP31">
        <f>SUMPRODUCT(Table1[Selected],Table1[MUN])</f>
        <v>2</v>
      </c>
      <c r="AQ31">
        <v>3</v>
      </c>
    </row>
    <row r="32" spans="1:43" hidden="1" x14ac:dyDescent="0.2">
      <c r="A32" t="s">
        <v>108</v>
      </c>
      <c r="B32" t="s">
        <v>109</v>
      </c>
      <c r="C32" t="s">
        <v>109</v>
      </c>
      <c r="D32" t="s">
        <v>3</v>
      </c>
      <c r="E32">
        <v>1</v>
      </c>
      <c r="F32">
        <v>0</v>
      </c>
      <c r="G32">
        <v>0</v>
      </c>
      <c r="H32">
        <v>0</v>
      </c>
      <c r="I32" t="s">
        <v>14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4.5</v>
      </c>
      <c r="AE32">
        <v>90</v>
      </c>
      <c r="AF32">
        <v>16.388888888888889</v>
      </c>
      <c r="AG32">
        <v>0</v>
      </c>
      <c r="AH32">
        <v>19.904761904761902</v>
      </c>
      <c r="AI32">
        <f>19.2553240863664*1</f>
        <v>19.2553240863664</v>
      </c>
      <c r="AJ32">
        <f>3.87181320880357*1</f>
        <v>3.8718132088035699</v>
      </c>
      <c r="AK32">
        <v>1</v>
      </c>
      <c r="AL32">
        <v>0</v>
      </c>
      <c r="AM32">
        <v>0</v>
      </c>
      <c r="AO32" t="s">
        <v>25</v>
      </c>
      <c r="AP32">
        <f>SUMPRODUCT(Table1[Selected],Table1[NEW])</f>
        <v>1</v>
      </c>
      <c r="AQ32">
        <v>3</v>
      </c>
    </row>
    <row r="33" spans="1:43" hidden="1" x14ac:dyDescent="0.2">
      <c r="A33" t="s">
        <v>110</v>
      </c>
      <c r="B33" t="s">
        <v>111</v>
      </c>
      <c r="C33" t="s">
        <v>111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14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</v>
      </c>
      <c r="AE33">
        <v>93</v>
      </c>
      <c r="AF33">
        <v>13.05000000000001</v>
      </c>
      <c r="AG33">
        <v>0</v>
      </c>
      <c r="AH33">
        <v>12.567778163206389</v>
      </c>
      <c r="AI33">
        <f>15.2996630136141*1</f>
        <v>15.299663013614101</v>
      </c>
      <c r="AJ33">
        <f>3.06087436381269*1</f>
        <v>3.0608743638126898</v>
      </c>
      <c r="AK33">
        <v>1</v>
      </c>
      <c r="AL33">
        <v>0</v>
      </c>
      <c r="AM33">
        <v>0</v>
      </c>
      <c r="AO33" t="s">
        <v>26</v>
      </c>
      <c r="AP33">
        <f>SUMPRODUCT(Table1[Selected],Table1[NFO])</f>
        <v>2</v>
      </c>
      <c r="AQ33">
        <v>3</v>
      </c>
    </row>
    <row r="34" spans="1:43" hidden="1" x14ac:dyDescent="0.2">
      <c r="A34" t="s">
        <v>112</v>
      </c>
      <c r="B34" t="s">
        <v>113</v>
      </c>
      <c r="C34" t="s">
        <v>113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</v>
      </c>
      <c r="AE34">
        <v>97</v>
      </c>
      <c r="AF34">
        <v>11.025641025641031</v>
      </c>
      <c r="AG34">
        <v>0</v>
      </c>
      <c r="AH34">
        <v>28.84</v>
      </c>
      <c r="AI34">
        <f>13.108428074568*1</f>
        <v>13.108428074568</v>
      </c>
      <c r="AJ34">
        <f>2.6144103532229*1</f>
        <v>2.6144103532229002</v>
      </c>
      <c r="AK34">
        <v>1</v>
      </c>
      <c r="AL34">
        <v>0</v>
      </c>
      <c r="AM34">
        <v>0</v>
      </c>
      <c r="AO34" t="s">
        <v>27</v>
      </c>
      <c r="AP34">
        <f>SUMPRODUCT(Table1[Selected],Table1[SOU])</f>
        <v>0</v>
      </c>
      <c r="AQ34">
        <v>3</v>
      </c>
    </row>
    <row r="35" spans="1:43" hidden="1" x14ac:dyDescent="0.2">
      <c r="A35" t="s">
        <v>114</v>
      </c>
      <c r="B35" t="s">
        <v>115</v>
      </c>
      <c r="C35" t="s">
        <v>115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</v>
      </c>
      <c r="AE35">
        <v>100</v>
      </c>
      <c r="AF35">
        <v>14.27710843373494</v>
      </c>
      <c r="AG35">
        <v>0</v>
      </c>
      <c r="AH35">
        <v>11.70999746948867</v>
      </c>
      <c r="AI35">
        <f>16.7179280025869*1</f>
        <v>16.717928002586898</v>
      </c>
      <c r="AJ35">
        <f>3.34380860256405*1</f>
        <v>3.3438086025640499</v>
      </c>
      <c r="AK35">
        <v>1</v>
      </c>
      <c r="AL35">
        <v>0</v>
      </c>
      <c r="AM35">
        <v>0</v>
      </c>
      <c r="AO35" t="s">
        <v>28</v>
      </c>
      <c r="AP35">
        <f>SUMPRODUCT(Table1[Selected],Table1[TOT])</f>
        <v>1</v>
      </c>
      <c r="AQ35">
        <v>3</v>
      </c>
    </row>
    <row r="36" spans="1:43" hidden="1" x14ac:dyDescent="0.2">
      <c r="A36" t="s">
        <v>116</v>
      </c>
      <c r="B36" t="s">
        <v>117</v>
      </c>
      <c r="C36" t="s">
        <v>117</v>
      </c>
      <c r="D36" t="s">
        <v>4</v>
      </c>
      <c r="E36">
        <v>0</v>
      </c>
      <c r="F36">
        <v>1</v>
      </c>
      <c r="G36">
        <v>0</v>
      </c>
      <c r="H36">
        <v>0</v>
      </c>
      <c r="I36" t="s">
        <v>14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4.5</v>
      </c>
      <c r="AE36">
        <v>103</v>
      </c>
      <c r="AF36">
        <v>15.3448275862069</v>
      </c>
      <c r="AG36">
        <v>0</v>
      </c>
      <c r="AH36">
        <v>14.13061665049781</v>
      </c>
      <c r="AI36">
        <f>17.9836235727564*1</f>
        <v>17.9836235727564</v>
      </c>
      <c r="AJ36">
        <f>3.60302194437517*1</f>
        <v>3.6030219443751701</v>
      </c>
      <c r="AK36">
        <v>1</v>
      </c>
      <c r="AL36">
        <v>0</v>
      </c>
      <c r="AM36">
        <v>0</v>
      </c>
      <c r="AO36" t="s">
        <v>29</v>
      </c>
      <c r="AP36">
        <f>SUMPRODUCT(Table1[Selected],Table1[WHU])</f>
        <v>0</v>
      </c>
      <c r="AQ36">
        <v>3</v>
      </c>
    </row>
    <row r="37" spans="1:43" hidden="1" x14ac:dyDescent="0.2">
      <c r="A37" t="s">
        <v>118</v>
      </c>
      <c r="B37" t="s">
        <v>119</v>
      </c>
      <c r="C37" t="s">
        <v>119</v>
      </c>
      <c r="D37" t="s">
        <v>6</v>
      </c>
      <c r="E37">
        <v>0</v>
      </c>
      <c r="F37">
        <v>0</v>
      </c>
      <c r="G37">
        <v>0</v>
      </c>
      <c r="H37">
        <v>1</v>
      </c>
      <c r="I37" t="s">
        <v>14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6</v>
      </c>
      <c r="AE37">
        <v>109</v>
      </c>
      <c r="AF37">
        <v>17.520814070554209</v>
      </c>
      <c r="AG37">
        <v>0</v>
      </c>
      <c r="AH37">
        <v>45.119712885154058</v>
      </c>
      <c r="AI37">
        <f>20.8234710575635*1</f>
        <v>20.823471057563498</v>
      </c>
      <c r="AJ37">
        <f>5.01741204862791*1</f>
        <v>5.0174120486279099</v>
      </c>
      <c r="AK37">
        <v>1</v>
      </c>
      <c r="AL37">
        <v>0</v>
      </c>
      <c r="AM37">
        <v>0</v>
      </c>
      <c r="AO37" t="s">
        <v>30</v>
      </c>
      <c r="AP37">
        <f>SUMPRODUCT(Table1[Selected],Table1[WOL])</f>
        <v>0</v>
      </c>
      <c r="AQ37">
        <v>3</v>
      </c>
    </row>
    <row r="38" spans="1:43" hidden="1" x14ac:dyDescent="0.2">
      <c r="A38" t="s">
        <v>87</v>
      </c>
      <c r="B38" t="s">
        <v>120</v>
      </c>
      <c r="C38" t="s">
        <v>120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15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4.5</v>
      </c>
      <c r="AE38">
        <v>119</v>
      </c>
      <c r="AF38">
        <v>15.80729166666667</v>
      </c>
      <c r="AG38">
        <v>17.82829752494953</v>
      </c>
      <c r="AH38">
        <v>10.713923360604969</v>
      </c>
      <c r="AI38">
        <f>11.3428550801198*1</f>
        <v>11.342855080119801</v>
      </c>
      <c r="AJ38">
        <f>2.38673908376012*1</f>
        <v>2.3867390837601201</v>
      </c>
      <c r="AK38">
        <v>1</v>
      </c>
      <c r="AL38">
        <v>0</v>
      </c>
      <c r="AM38">
        <v>0</v>
      </c>
    </row>
    <row r="39" spans="1:43" hidden="1" x14ac:dyDescent="0.2">
      <c r="A39" t="s">
        <v>121</v>
      </c>
      <c r="B39" t="s">
        <v>122</v>
      </c>
      <c r="C39" t="s">
        <v>123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15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6.5</v>
      </c>
      <c r="AE39">
        <v>124</v>
      </c>
      <c r="AF39">
        <v>17.8611111111111</v>
      </c>
      <c r="AG39">
        <v>16.420634489206261</v>
      </c>
      <c r="AH39">
        <v>12.06401847252368</v>
      </c>
      <c r="AI39">
        <f>12.2674173727671*1</f>
        <v>12.267417372767101</v>
      </c>
      <c r="AJ39">
        <f>2.39069823848336*1</f>
        <v>2.3906982384833602</v>
      </c>
      <c r="AK39">
        <v>1</v>
      </c>
      <c r="AL39">
        <v>0</v>
      </c>
      <c r="AM39">
        <v>0</v>
      </c>
    </row>
    <row r="40" spans="1:43" hidden="1" x14ac:dyDescent="0.2">
      <c r="A40" t="s">
        <v>124</v>
      </c>
      <c r="B40" t="s">
        <v>125</v>
      </c>
      <c r="C40" t="s">
        <v>124</v>
      </c>
      <c r="D40" t="s">
        <v>6</v>
      </c>
      <c r="E40">
        <v>0</v>
      </c>
      <c r="F40">
        <v>0</v>
      </c>
      <c r="G40">
        <v>0</v>
      </c>
      <c r="H40">
        <v>1</v>
      </c>
      <c r="I40" t="s">
        <v>15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5.5</v>
      </c>
      <c r="AE40">
        <v>128</v>
      </c>
      <c r="AF40">
        <v>15.59365841129026</v>
      </c>
      <c r="AG40">
        <v>11.62255788203284</v>
      </c>
      <c r="AH40">
        <v>30.426217948717952</v>
      </c>
      <c r="AI40">
        <f>11.9091119890914*1</f>
        <v>11.9091119890914</v>
      </c>
      <c r="AJ40">
        <f>1.59113698120833*1</f>
        <v>1.59113698120833</v>
      </c>
      <c r="AK40">
        <v>1</v>
      </c>
      <c r="AL40">
        <v>0</v>
      </c>
      <c r="AM40">
        <v>0</v>
      </c>
    </row>
    <row r="41" spans="1:43" hidden="1" x14ac:dyDescent="0.2">
      <c r="A41" t="s">
        <v>126</v>
      </c>
      <c r="B41" t="s">
        <v>127</v>
      </c>
      <c r="C41" t="s">
        <v>127</v>
      </c>
      <c r="D41" t="s">
        <v>6</v>
      </c>
      <c r="E41">
        <v>0</v>
      </c>
      <c r="F41">
        <v>0</v>
      </c>
      <c r="G41">
        <v>0</v>
      </c>
      <c r="H41">
        <v>1</v>
      </c>
      <c r="I41" t="s">
        <v>15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5.5</v>
      </c>
      <c r="AE41">
        <v>147</v>
      </c>
      <c r="AF41">
        <v>14.794698093841779</v>
      </c>
      <c r="AG41">
        <v>16.291582649334039</v>
      </c>
      <c r="AH41">
        <v>14.43727530495323</v>
      </c>
      <c r="AI41">
        <f>10.9123397113602*1</f>
        <v>10.9123397113602</v>
      </c>
      <c r="AJ41">
        <f>2.03602125800834*1</f>
        <v>2.0360212580083399</v>
      </c>
      <c r="AK41">
        <v>1</v>
      </c>
      <c r="AL41">
        <v>0</v>
      </c>
      <c r="AM41">
        <v>0</v>
      </c>
    </row>
    <row r="42" spans="1:43" hidden="1" x14ac:dyDescent="0.2">
      <c r="A42" t="s">
        <v>128</v>
      </c>
      <c r="B42" t="s">
        <v>129</v>
      </c>
      <c r="C42" t="s">
        <v>130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16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</v>
      </c>
      <c r="AE42">
        <v>156</v>
      </c>
      <c r="AF42">
        <v>12.489331937635029</v>
      </c>
      <c r="AG42">
        <v>0</v>
      </c>
      <c r="AH42">
        <v>22.752593808449429</v>
      </c>
      <c r="AI42">
        <f>19.6022635941029*1</f>
        <v>19.602263594102901</v>
      </c>
      <c r="AJ42">
        <f>2.50757269666529*1</f>
        <v>2.50757269666529</v>
      </c>
      <c r="AK42">
        <v>1</v>
      </c>
      <c r="AL42">
        <v>0</v>
      </c>
      <c r="AM42">
        <v>0</v>
      </c>
    </row>
    <row r="43" spans="1:43" hidden="1" x14ac:dyDescent="0.2">
      <c r="A43" t="s">
        <v>131</v>
      </c>
      <c r="B43" t="s">
        <v>132</v>
      </c>
      <c r="C43" t="s">
        <v>131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16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</v>
      </c>
      <c r="AE43">
        <v>167</v>
      </c>
      <c r="AF43">
        <v>13.29545454545454</v>
      </c>
      <c r="AG43">
        <v>0</v>
      </c>
      <c r="AH43">
        <v>13.08820321920941</v>
      </c>
      <c r="AI43">
        <f>18.4334261472164*1</f>
        <v>18.433426147216402</v>
      </c>
      <c r="AJ43">
        <f>3.68950266933522*1</f>
        <v>3.6895026693352202</v>
      </c>
      <c r="AK43">
        <v>1</v>
      </c>
      <c r="AL43">
        <v>0</v>
      </c>
      <c r="AM43">
        <v>0</v>
      </c>
    </row>
    <row r="44" spans="1:43" hidden="1" x14ac:dyDescent="0.2">
      <c r="A44" t="s">
        <v>133</v>
      </c>
      <c r="B44" t="s">
        <v>134</v>
      </c>
      <c r="C44" t="s">
        <v>134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16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6</v>
      </c>
      <c r="AE44">
        <v>168</v>
      </c>
      <c r="AF44">
        <v>15.14988984423073</v>
      </c>
      <c r="AG44">
        <v>0</v>
      </c>
      <c r="AH44">
        <v>13.172409016803471</v>
      </c>
      <c r="AI44">
        <f>20.6237844749928*1</f>
        <v>20.623784474992799</v>
      </c>
      <c r="AJ44">
        <f>4.59302748998519*1</f>
        <v>4.5930274899851904</v>
      </c>
      <c r="AK44">
        <v>1</v>
      </c>
      <c r="AL44">
        <v>0</v>
      </c>
      <c r="AM44">
        <v>0</v>
      </c>
    </row>
    <row r="45" spans="1:43" hidden="1" x14ac:dyDescent="0.2">
      <c r="A45" t="s">
        <v>135</v>
      </c>
      <c r="B45" t="s">
        <v>136</v>
      </c>
      <c r="C45" t="s">
        <v>136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16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6.5</v>
      </c>
      <c r="AE45">
        <v>178</v>
      </c>
      <c r="AF45">
        <v>12.976190476190469</v>
      </c>
      <c r="AG45">
        <v>0</v>
      </c>
      <c r="AH45">
        <v>14.416547368817969</v>
      </c>
      <c r="AI45">
        <f>18.3499220535431*1</f>
        <v>18.3499220535431</v>
      </c>
      <c r="AJ45">
        <f>3.66998441070862*1</f>
        <v>3.6699844107086199</v>
      </c>
      <c r="AK45">
        <v>1</v>
      </c>
      <c r="AL45">
        <v>0</v>
      </c>
      <c r="AM45">
        <v>0</v>
      </c>
    </row>
    <row r="46" spans="1:43" x14ac:dyDescent="0.2">
      <c r="A46" t="s">
        <v>140</v>
      </c>
      <c r="B46" t="s">
        <v>141</v>
      </c>
      <c r="C46" t="s">
        <v>141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10.5</v>
      </c>
      <c r="AE46">
        <v>181</v>
      </c>
      <c r="AF46">
        <v>47.807611880834763</v>
      </c>
      <c r="AG46">
        <v>0</v>
      </c>
      <c r="AH46">
        <v>47.37777777777778</v>
      </c>
      <c r="AI46">
        <f>66.3516164090744*1</f>
        <v>66.351616409074396</v>
      </c>
      <c r="AJ46">
        <f>13.2732384271266*1</f>
        <v>13.2732384271266</v>
      </c>
      <c r="AK46">
        <v>1</v>
      </c>
      <c r="AL46">
        <v>0</v>
      </c>
      <c r="AM46">
        <v>1</v>
      </c>
    </row>
    <row r="47" spans="1:43" x14ac:dyDescent="0.2">
      <c r="A47" t="s">
        <v>213</v>
      </c>
      <c r="B47" t="s">
        <v>214</v>
      </c>
      <c r="C47" t="s">
        <v>214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23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9.5</v>
      </c>
      <c r="AE47">
        <v>347</v>
      </c>
      <c r="AF47">
        <v>45.086611687470388</v>
      </c>
      <c r="AG47">
        <v>0</v>
      </c>
      <c r="AH47">
        <v>48.765534571944102</v>
      </c>
      <c r="AI47">
        <f>50.4332467735927*1</f>
        <v>50.4332467735927</v>
      </c>
      <c r="AJ47">
        <f>11.2202402393493*1</f>
        <v>11.2202402393493</v>
      </c>
      <c r="AK47">
        <v>1</v>
      </c>
      <c r="AL47">
        <v>0</v>
      </c>
      <c r="AM47">
        <v>1</v>
      </c>
    </row>
    <row r="48" spans="1:43" hidden="1" x14ac:dyDescent="0.2">
      <c r="A48" t="s">
        <v>142</v>
      </c>
      <c r="B48" t="s">
        <v>143</v>
      </c>
      <c r="C48" t="s">
        <v>143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7</v>
      </c>
      <c r="AE48">
        <v>185</v>
      </c>
      <c r="AF48">
        <v>19.185200005024878</v>
      </c>
      <c r="AG48">
        <v>0</v>
      </c>
      <c r="AH48">
        <v>13.78815544001243</v>
      </c>
      <c r="AI48">
        <f>25.4846364601073*1</f>
        <v>25.4846364601073</v>
      </c>
      <c r="AJ48">
        <f>5.36380540501025*1</f>
        <v>5.3638054050102504</v>
      </c>
      <c r="AK48">
        <v>1</v>
      </c>
      <c r="AL48">
        <v>0</v>
      </c>
      <c r="AM48">
        <v>0</v>
      </c>
    </row>
    <row r="49" spans="1:39" x14ac:dyDescent="0.2">
      <c r="A49" t="s">
        <v>153</v>
      </c>
      <c r="B49" t="s">
        <v>154</v>
      </c>
      <c r="C49" t="s">
        <v>154</v>
      </c>
      <c r="D49" t="s">
        <v>6</v>
      </c>
      <c r="E49">
        <v>0</v>
      </c>
      <c r="F49">
        <v>0</v>
      </c>
      <c r="G49">
        <v>0</v>
      </c>
      <c r="H49">
        <v>1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7.5</v>
      </c>
      <c r="AE49">
        <v>206</v>
      </c>
      <c r="AF49">
        <v>41.791139963838162</v>
      </c>
      <c r="AG49">
        <v>0</v>
      </c>
      <c r="AH49">
        <v>41</v>
      </c>
      <c r="AI49">
        <f>55.0503739932467*1</f>
        <v>55.050373993246701</v>
      </c>
      <c r="AJ49">
        <f>11.0100747986493*1</f>
        <v>11.010074798649301</v>
      </c>
      <c r="AK49">
        <v>1</v>
      </c>
      <c r="AL49">
        <v>0</v>
      </c>
      <c r="AM49">
        <v>1</v>
      </c>
    </row>
    <row r="50" spans="1:39" hidden="1" x14ac:dyDescent="0.2">
      <c r="A50" t="s">
        <v>146</v>
      </c>
      <c r="B50" t="s">
        <v>147</v>
      </c>
      <c r="C50" t="s">
        <v>148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5.5</v>
      </c>
      <c r="AE50">
        <v>191</v>
      </c>
      <c r="AF50">
        <v>14.042553191489359</v>
      </c>
      <c r="AG50">
        <v>0</v>
      </c>
      <c r="AH50">
        <v>11.985645642326119</v>
      </c>
      <c r="AI50">
        <f>18.3514592953383*1</f>
        <v>18.351459295338302</v>
      </c>
      <c r="AJ50">
        <f>3.67029185906766*1</f>
        <v>3.6702918590676599</v>
      </c>
      <c r="AK50">
        <v>1</v>
      </c>
      <c r="AL50">
        <v>0</v>
      </c>
      <c r="AM50">
        <v>0</v>
      </c>
    </row>
    <row r="51" spans="1:39" x14ac:dyDescent="0.2">
      <c r="A51" t="s">
        <v>149</v>
      </c>
      <c r="B51" t="s">
        <v>150</v>
      </c>
      <c r="C51" t="s">
        <v>150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7</v>
      </c>
      <c r="AE51">
        <v>198</v>
      </c>
      <c r="AF51">
        <v>25.105518356635532</v>
      </c>
      <c r="AG51">
        <v>0</v>
      </c>
      <c r="AH51">
        <v>60.222222222222221</v>
      </c>
      <c r="AI51">
        <f>35.9806475887233*1</f>
        <v>35.980647588723301</v>
      </c>
      <c r="AJ51">
        <f>7.19612951774467*1</f>
        <v>7.1961295177446702</v>
      </c>
      <c r="AK51">
        <v>1</v>
      </c>
      <c r="AL51">
        <v>0</v>
      </c>
      <c r="AM51">
        <v>1</v>
      </c>
    </row>
    <row r="52" spans="1:39" hidden="1" x14ac:dyDescent="0.2">
      <c r="A52" t="s">
        <v>151</v>
      </c>
      <c r="B52" t="s">
        <v>152</v>
      </c>
      <c r="C52" t="s">
        <v>152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</v>
      </c>
      <c r="AE52">
        <v>202</v>
      </c>
      <c r="AF52">
        <v>10.572519083969469</v>
      </c>
      <c r="AG52">
        <v>0</v>
      </c>
      <c r="AH52">
        <v>9.0394050292319665</v>
      </c>
      <c r="AI52">
        <f>13.8179262638745*1</f>
        <v>13.817926263874501</v>
      </c>
      <c r="AJ52">
        <f>2.75896325460838*1</f>
        <v>2.7589632546083802</v>
      </c>
      <c r="AK52">
        <v>1</v>
      </c>
      <c r="AL52">
        <v>0</v>
      </c>
      <c r="AM52">
        <v>0</v>
      </c>
    </row>
    <row r="53" spans="1:39" x14ac:dyDescent="0.2">
      <c r="A53" t="s">
        <v>242</v>
      </c>
      <c r="B53" t="s">
        <v>243</v>
      </c>
      <c r="C53" t="s">
        <v>243</v>
      </c>
      <c r="D53" t="s">
        <v>6</v>
      </c>
      <c r="E53">
        <v>0</v>
      </c>
      <c r="F53">
        <v>0</v>
      </c>
      <c r="G53">
        <v>0</v>
      </c>
      <c r="H53">
        <v>1</v>
      </c>
      <c r="I53" t="s">
        <v>25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8.5</v>
      </c>
      <c r="AE53">
        <v>400</v>
      </c>
      <c r="AF53">
        <v>0</v>
      </c>
      <c r="AG53">
        <v>18.68375903008787</v>
      </c>
      <c r="AH53">
        <v>39.590618235288659</v>
      </c>
      <c r="AI53">
        <f>36.2121045812125*1</f>
        <v>36.2121045812125</v>
      </c>
      <c r="AJ53">
        <f>6.85939084406819*1</f>
        <v>6.8593908440681899</v>
      </c>
      <c r="AK53">
        <v>1</v>
      </c>
      <c r="AL53">
        <v>0</v>
      </c>
      <c r="AM53">
        <v>1</v>
      </c>
    </row>
    <row r="54" spans="1:39" hidden="1" x14ac:dyDescent="0.2">
      <c r="A54" t="s">
        <v>155</v>
      </c>
      <c r="B54" t="s">
        <v>156</v>
      </c>
      <c r="C54" t="s">
        <v>156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</v>
      </c>
      <c r="AE54">
        <v>209</v>
      </c>
      <c r="AF54">
        <v>14.22638470657488</v>
      </c>
      <c r="AG54">
        <v>0</v>
      </c>
      <c r="AH54">
        <v>28.82594270743849</v>
      </c>
      <c r="AI54">
        <f>19.9556422121672*1</f>
        <v>19.955642212167199</v>
      </c>
      <c r="AJ54">
        <f>3.98200589673389*1</f>
        <v>3.9820058967338898</v>
      </c>
      <c r="AK54">
        <v>1</v>
      </c>
      <c r="AL54">
        <v>0</v>
      </c>
      <c r="AM54">
        <v>0</v>
      </c>
    </row>
    <row r="55" spans="1:39" hidden="1" x14ac:dyDescent="0.2">
      <c r="A55" t="s">
        <v>157</v>
      </c>
      <c r="B55" t="s">
        <v>158</v>
      </c>
      <c r="C55" t="s">
        <v>158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</v>
      </c>
      <c r="AE55">
        <v>213</v>
      </c>
      <c r="AF55">
        <v>13.12883435582822</v>
      </c>
      <c r="AG55">
        <v>0</v>
      </c>
      <c r="AH55">
        <v>9.848639077932221</v>
      </c>
      <c r="AI55">
        <f>17.0464179165507*1</f>
        <v>17.046417916550698</v>
      </c>
      <c r="AJ55">
        <f>3.47093481855825*1</f>
        <v>3.4709348185582498</v>
      </c>
      <c r="AK55">
        <v>1</v>
      </c>
      <c r="AL55">
        <v>0</v>
      </c>
      <c r="AM55">
        <v>0</v>
      </c>
    </row>
    <row r="56" spans="1:39" hidden="1" x14ac:dyDescent="0.2">
      <c r="A56" t="s">
        <v>159</v>
      </c>
      <c r="B56" t="s">
        <v>160</v>
      </c>
      <c r="C56" t="s">
        <v>161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5.5</v>
      </c>
      <c r="AE56">
        <v>216</v>
      </c>
      <c r="AF56">
        <v>0</v>
      </c>
      <c r="AG56">
        <v>12.96831862166767</v>
      </c>
      <c r="AH56">
        <v>0</v>
      </c>
      <c r="AI56">
        <f>15.6974122908857*1</f>
        <v>15.697412290885699</v>
      </c>
      <c r="AJ56">
        <f>1.93189821477574*1</f>
        <v>1.93189821477574</v>
      </c>
      <c r="AK56">
        <v>1</v>
      </c>
      <c r="AL56">
        <v>0</v>
      </c>
      <c r="AM56">
        <v>0</v>
      </c>
    </row>
    <row r="57" spans="1:39" hidden="1" x14ac:dyDescent="0.2">
      <c r="A57" t="s">
        <v>162</v>
      </c>
      <c r="B57" t="s">
        <v>163</v>
      </c>
      <c r="C57" t="s">
        <v>163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</v>
      </c>
      <c r="AE57">
        <v>218</v>
      </c>
      <c r="AF57">
        <v>0</v>
      </c>
      <c r="AG57">
        <v>13.40895536864574</v>
      </c>
      <c r="AH57">
        <v>0</v>
      </c>
      <c r="AI57">
        <f>16.2307780177481*1</f>
        <v>16.230778017748101</v>
      </c>
      <c r="AJ57">
        <f>2.45721345773881*1</f>
        <v>2.4572134577388098</v>
      </c>
      <c r="AK57">
        <v>1</v>
      </c>
      <c r="AL57">
        <v>0</v>
      </c>
      <c r="AM57">
        <v>0</v>
      </c>
    </row>
    <row r="58" spans="1:39" hidden="1" x14ac:dyDescent="0.2">
      <c r="A58" t="s">
        <v>164</v>
      </c>
      <c r="B58" t="s">
        <v>165</v>
      </c>
      <c r="C58" t="s">
        <v>165</v>
      </c>
      <c r="D58" t="s">
        <v>6</v>
      </c>
      <c r="E58">
        <v>0</v>
      </c>
      <c r="F58">
        <v>0</v>
      </c>
      <c r="G58">
        <v>0</v>
      </c>
      <c r="H58">
        <v>1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</v>
      </c>
      <c r="AE58">
        <v>219</v>
      </c>
      <c r="AF58">
        <v>0</v>
      </c>
      <c r="AG58">
        <v>17.8202392359591</v>
      </c>
      <c r="AH58">
        <v>0</v>
      </c>
      <c r="AI58">
        <f>21.5703863060311*1</f>
        <v>21.5703863060311</v>
      </c>
      <c r="AJ58">
        <f>4.60737290459291*1</f>
        <v>4.6073729045929097</v>
      </c>
      <c r="AK58">
        <v>1</v>
      </c>
      <c r="AL58">
        <v>0</v>
      </c>
      <c r="AM58">
        <v>0</v>
      </c>
    </row>
    <row r="59" spans="1:39" hidden="1" x14ac:dyDescent="0.2">
      <c r="A59" t="s">
        <v>166</v>
      </c>
      <c r="B59" t="s">
        <v>167</v>
      </c>
      <c r="C59" t="s">
        <v>167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222</v>
      </c>
      <c r="AF59">
        <v>0</v>
      </c>
      <c r="AG59">
        <v>11.525636498808311</v>
      </c>
      <c r="AH59">
        <v>0</v>
      </c>
      <c r="AI59">
        <f>13.9511276145225*1</f>
        <v>13.9511276145225</v>
      </c>
      <c r="AJ59">
        <f>2.92757489130389*1</f>
        <v>2.9275748913038901</v>
      </c>
      <c r="AK59">
        <v>1</v>
      </c>
      <c r="AL59">
        <v>0</v>
      </c>
      <c r="AM59">
        <v>0</v>
      </c>
    </row>
    <row r="60" spans="1:39" hidden="1" x14ac:dyDescent="0.2">
      <c r="A60" t="s">
        <v>168</v>
      </c>
      <c r="B60" t="s">
        <v>169</v>
      </c>
      <c r="C60" t="s">
        <v>169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5.5</v>
      </c>
      <c r="AE60">
        <v>223</v>
      </c>
      <c r="AF60">
        <v>0</v>
      </c>
      <c r="AG60">
        <v>17.640770500567179</v>
      </c>
      <c r="AH60">
        <v>0</v>
      </c>
      <c r="AI60">
        <f>21.3531496067365*1</f>
        <v>21.353149606736501</v>
      </c>
      <c r="AJ60">
        <f>3.25613574133886*1</f>
        <v>3.2561357413388601</v>
      </c>
      <c r="AK60">
        <v>1</v>
      </c>
      <c r="AL60">
        <v>0</v>
      </c>
      <c r="AM60">
        <v>0</v>
      </c>
    </row>
    <row r="61" spans="1:39" hidden="1" x14ac:dyDescent="0.2">
      <c r="A61" t="s">
        <v>170</v>
      </c>
      <c r="B61" t="s">
        <v>171</v>
      </c>
      <c r="C61" t="s">
        <v>171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5.5</v>
      </c>
      <c r="AE61">
        <v>229</v>
      </c>
      <c r="AF61">
        <v>0</v>
      </c>
      <c r="AG61">
        <v>14.511157088542401</v>
      </c>
      <c r="AH61">
        <v>0</v>
      </c>
      <c r="AI61">
        <f>17.5649305266195*1</f>
        <v>17.564930526619499</v>
      </c>
      <c r="AJ61">
        <f>3.37767811640712*1</f>
        <v>3.3776781164071199</v>
      </c>
      <c r="AK61">
        <v>1</v>
      </c>
      <c r="AL61">
        <v>0</v>
      </c>
      <c r="AM61">
        <v>0</v>
      </c>
    </row>
    <row r="62" spans="1:39" x14ac:dyDescent="0.2">
      <c r="A62" t="s">
        <v>236</v>
      </c>
      <c r="B62" t="s">
        <v>237</v>
      </c>
      <c r="C62" t="s">
        <v>237</v>
      </c>
      <c r="D62" t="s">
        <v>3</v>
      </c>
      <c r="E62">
        <v>1</v>
      </c>
      <c r="F62">
        <v>0</v>
      </c>
      <c r="G62">
        <v>0</v>
      </c>
      <c r="H62">
        <v>0</v>
      </c>
      <c r="I62" t="s">
        <v>24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</v>
      </c>
      <c r="AE62">
        <v>382</v>
      </c>
      <c r="AF62">
        <v>0</v>
      </c>
      <c r="AG62">
        <v>25.65758533134235</v>
      </c>
      <c r="AH62">
        <v>15.634672904764519</v>
      </c>
      <c r="AI62">
        <f>26.4325001942101*1</f>
        <v>26.4325001942101</v>
      </c>
      <c r="AJ62">
        <f>6.66818970699619*1</f>
        <v>6.6681897069961904</v>
      </c>
      <c r="AK62">
        <v>1</v>
      </c>
      <c r="AL62">
        <v>0</v>
      </c>
      <c r="AM62">
        <v>1</v>
      </c>
    </row>
    <row r="63" spans="1:39" x14ac:dyDescent="0.2">
      <c r="A63" t="s">
        <v>251</v>
      </c>
      <c r="B63" t="s">
        <v>252</v>
      </c>
      <c r="C63" t="s">
        <v>252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26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6.5</v>
      </c>
      <c r="AE63">
        <v>432</v>
      </c>
      <c r="AF63">
        <v>0</v>
      </c>
      <c r="AG63">
        <v>12.111571749434891</v>
      </c>
      <c r="AH63">
        <v>41.657142857142851</v>
      </c>
      <c r="AI63">
        <f>31.0801493356115*1</f>
        <v>31.080149335611502</v>
      </c>
      <c r="AJ63">
        <f>6.62665856426468*1</f>
        <v>6.6266585642646803</v>
      </c>
      <c r="AK63">
        <v>1</v>
      </c>
      <c r="AL63">
        <v>0</v>
      </c>
      <c r="AM63">
        <v>1</v>
      </c>
    </row>
    <row r="64" spans="1:39" hidden="1" x14ac:dyDescent="0.2">
      <c r="A64" t="s">
        <v>166</v>
      </c>
      <c r="B64" t="s">
        <v>175</v>
      </c>
      <c r="C64" t="s">
        <v>175</v>
      </c>
      <c r="D64" t="s">
        <v>4</v>
      </c>
      <c r="E64">
        <v>0</v>
      </c>
      <c r="F64">
        <v>1</v>
      </c>
      <c r="G64">
        <v>0</v>
      </c>
      <c r="H64">
        <v>0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</v>
      </c>
      <c r="AE64">
        <v>235</v>
      </c>
      <c r="AF64">
        <v>0</v>
      </c>
      <c r="AG64">
        <v>14.9086340266081</v>
      </c>
      <c r="AH64">
        <v>0</v>
      </c>
      <c r="AI64">
        <f>18.0460537589336*1</f>
        <v>18.046053758933599</v>
      </c>
      <c r="AJ64">
        <f>4.0547087116141*1</f>
        <v>4.0547087116140998</v>
      </c>
      <c r="AK64">
        <v>1</v>
      </c>
      <c r="AL64">
        <v>0</v>
      </c>
      <c r="AM64">
        <v>0</v>
      </c>
    </row>
    <row r="65" spans="1:39" hidden="1" x14ac:dyDescent="0.2">
      <c r="A65" t="s">
        <v>176</v>
      </c>
      <c r="B65" t="s">
        <v>177</v>
      </c>
      <c r="C65" t="s">
        <v>177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4.5</v>
      </c>
      <c r="AE65">
        <v>237</v>
      </c>
      <c r="AF65">
        <v>0</v>
      </c>
      <c r="AG65">
        <v>11.36757615428448</v>
      </c>
      <c r="AH65">
        <v>0</v>
      </c>
      <c r="AI65">
        <f>13.7598045550563*1</f>
        <v>13.7598045550563</v>
      </c>
      <c r="AJ65">
        <f>2.6131827000153*1</f>
        <v>2.6131827000153001</v>
      </c>
      <c r="AK65">
        <v>1</v>
      </c>
      <c r="AL65">
        <v>0</v>
      </c>
      <c r="AM65">
        <v>0</v>
      </c>
    </row>
    <row r="66" spans="1:39" hidden="1" x14ac:dyDescent="0.2">
      <c r="A66" t="s">
        <v>178</v>
      </c>
      <c r="B66" t="s">
        <v>179</v>
      </c>
      <c r="C66" t="s">
        <v>178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5.5</v>
      </c>
      <c r="AE66">
        <v>239</v>
      </c>
      <c r="AF66">
        <v>18.043478260869559</v>
      </c>
      <c r="AG66">
        <v>14.35886625107851</v>
      </c>
      <c r="AH66">
        <v>11.956639271685789</v>
      </c>
      <c r="AI66">
        <f>15.157101353383*1</f>
        <v>15.157101353383</v>
      </c>
      <c r="AJ66">
        <f>3.18759223072895*1</f>
        <v>3.1875922307289501</v>
      </c>
      <c r="AK66">
        <v>1</v>
      </c>
      <c r="AL66">
        <v>0</v>
      </c>
      <c r="AM66">
        <v>0</v>
      </c>
    </row>
    <row r="67" spans="1:39" hidden="1" x14ac:dyDescent="0.2">
      <c r="A67" t="s">
        <v>180</v>
      </c>
      <c r="B67" t="s">
        <v>181</v>
      </c>
      <c r="C67" t="s">
        <v>181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4.5</v>
      </c>
      <c r="AE67">
        <v>243</v>
      </c>
      <c r="AF67">
        <v>15.41263805126057</v>
      </c>
      <c r="AG67">
        <v>14.1317966448868</v>
      </c>
      <c r="AH67">
        <v>13.849741607417579</v>
      </c>
      <c r="AI67">
        <f>14.8704899966822*1</f>
        <v>14.870489996682201</v>
      </c>
      <c r="AJ67">
        <f>2.48584656878413*1</f>
        <v>2.48584656878413</v>
      </c>
      <c r="AK67">
        <v>1</v>
      </c>
      <c r="AL67">
        <v>0</v>
      </c>
      <c r="AM67">
        <v>0</v>
      </c>
    </row>
    <row r="68" spans="1:39" hidden="1" x14ac:dyDescent="0.2">
      <c r="A68" t="s">
        <v>182</v>
      </c>
      <c r="B68" t="s">
        <v>183</v>
      </c>
      <c r="C68" t="s">
        <v>183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5.5</v>
      </c>
      <c r="AE68">
        <v>246</v>
      </c>
      <c r="AF68">
        <v>14.56798787677412</v>
      </c>
      <c r="AG68">
        <v>12.29035802179075</v>
      </c>
      <c r="AH68">
        <v>9.9825455795397797</v>
      </c>
      <c r="AI68">
        <f>12.8662429629904*1</f>
        <v>12.8662429629904</v>
      </c>
      <c r="AJ68">
        <f>2.71646032137411*1</f>
        <v>2.7164603213741101</v>
      </c>
      <c r="AK68">
        <v>1</v>
      </c>
      <c r="AL68">
        <v>0</v>
      </c>
      <c r="AM68">
        <v>0</v>
      </c>
    </row>
    <row r="69" spans="1:39" hidden="1" x14ac:dyDescent="0.2">
      <c r="A69" t="s">
        <v>184</v>
      </c>
      <c r="B69" t="s">
        <v>185</v>
      </c>
      <c r="C69" t="s">
        <v>185</v>
      </c>
      <c r="D69" t="s">
        <v>3</v>
      </c>
      <c r="E69">
        <v>1</v>
      </c>
      <c r="F69">
        <v>0</v>
      </c>
      <c r="G69">
        <v>0</v>
      </c>
      <c r="H69">
        <v>0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</v>
      </c>
      <c r="AE69">
        <v>247</v>
      </c>
      <c r="AF69">
        <v>18.265903035759099</v>
      </c>
      <c r="AG69">
        <v>18.524122217567001</v>
      </c>
      <c r="AH69">
        <v>11.2856373395215</v>
      </c>
      <c r="AI69">
        <f>18.7042305949341*1</f>
        <v>18.704230594934099</v>
      </c>
      <c r="AJ69">
        <f>3.82498755238223*1</f>
        <v>3.8249875523822299</v>
      </c>
      <c r="AK69">
        <v>1</v>
      </c>
      <c r="AL69">
        <v>0</v>
      </c>
      <c r="AM69">
        <v>0</v>
      </c>
    </row>
    <row r="70" spans="1:39" hidden="1" x14ac:dyDescent="0.2">
      <c r="A70" t="s">
        <v>186</v>
      </c>
      <c r="B70" t="s">
        <v>187</v>
      </c>
      <c r="C70" t="s">
        <v>187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5.5</v>
      </c>
      <c r="AE70">
        <v>258</v>
      </c>
      <c r="AF70">
        <v>13.27956989247312</v>
      </c>
      <c r="AG70">
        <v>16.530087024567251</v>
      </c>
      <c r="AH70">
        <v>9.36</v>
      </c>
      <c r="AI70">
        <f>16.3344229776067*1</f>
        <v>16.3344229776067</v>
      </c>
      <c r="AJ70">
        <f>3.4426495846802*1</f>
        <v>3.4426495846802001</v>
      </c>
      <c r="AK70">
        <v>1</v>
      </c>
      <c r="AL70">
        <v>0</v>
      </c>
      <c r="AM70">
        <v>0</v>
      </c>
    </row>
    <row r="71" spans="1:39" hidden="1" x14ac:dyDescent="0.2">
      <c r="A71" t="s">
        <v>188</v>
      </c>
      <c r="B71" t="s">
        <v>189</v>
      </c>
      <c r="C71" t="s">
        <v>190</v>
      </c>
      <c r="D71" t="s">
        <v>3</v>
      </c>
      <c r="E71">
        <v>1</v>
      </c>
      <c r="F71">
        <v>0</v>
      </c>
      <c r="G71">
        <v>0</v>
      </c>
      <c r="H71">
        <v>0</v>
      </c>
      <c r="I71" t="s">
        <v>22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5.5</v>
      </c>
      <c r="AE71">
        <v>309</v>
      </c>
      <c r="AF71">
        <v>22.06222008816065</v>
      </c>
      <c r="AG71">
        <v>0</v>
      </c>
      <c r="AH71">
        <v>17.440246794038931</v>
      </c>
      <c r="AI71">
        <f>15.9635465088341*1</f>
        <v>15.963546508834099</v>
      </c>
      <c r="AJ71">
        <f>3.25924971463975*1</f>
        <v>3.2592497146397501</v>
      </c>
      <c r="AK71">
        <v>1</v>
      </c>
      <c r="AL71">
        <v>0</v>
      </c>
      <c r="AM71">
        <v>0</v>
      </c>
    </row>
    <row r="72" spans="1:39" hidden="1" x14ac:dyDescent="0.2">
      <c r="A72" t="s">
        <v>191</v>
      </c>
      <c r="B72" t="s">
        <v>192</v>
      </c>
      <c r="C72" t="s">
        <v>192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22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5.5</v>
      </c>
      <c r="AE72">
        <v>318</v>
      </c>
      <c r="AF72">
        <v>12.58807710525859</v>
      </c>
      <c r="AG72">
        <v>0</v>
      </c>
      <c r="AH72">
        <v>29.94436392914654</v>
      </c>
      <c r="AI72">
        <f>16.7687359680301*1</f>
        <v>16.7687359680301</v>
      </c>
      <c r="AJ72">
        <f>3.39139812033834*1</f>
        <v>3.3913981203383399</v>
      </c>
      <c r="AK72">
        <v>1</v>
      </c>
      <c r="AL72">
        <v>0</v>
      </c>
      <c r="AM72">
        <v>0</v>
      </c>
    </row>
    <row r="73" spans="1:39" hidden="1" x14ac:dyDescent="0.2">
      <c r="A73" t="s">
        <v>193</v>
      </c>
      <c r="B73" t="s">
        <v>194</v>
      </c>
      <c r="C73" t="s">
        <v>194</v>
      </c>
      <c r="D73" t="s">
        <v>6</v>
      </c>
      <c r="E73">
        <v>0</v>
      </c>
      <c r="F73">
        <v>0</v>
      </c>
      <c r="G73">
        <v>0</v>
      </c>
      <c r="H73">
        <v>1</v>
      </c>
      <c r="I73" t="s">
        <v>22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7.5</v>
      </c>
      <c r="AE73">
        <v>320</v>
      </c>
      <c r="AF73">
        <v>16.53846153846154</v>
      </c>
      <c r="AG73">
        <v>0</v>
      </c>
      <c r="AH73">
        <v>19.35384615384616</v>
      </c>
      <c r="AI73">
        <f>14.3729297178823*1</f>
        <v>14.3729297178823</v>
      </c>
      <c r="AJ73">
        <f>4.16195267804846*1</f>
        <v>4.1619526780484604</v>
      </c>
      <c r="AK73">
        <v>1</v>
      </c>
      <c r="AL73">
        <v>0</v>
      </c>
      <c r="AM73">
        <v>0</v>
      </c>
    </row>
    <row r="74" spans="1:39" hidden="1" x14ac:dyDescent="0.2">
      <c r="A74" t="s">
        <v>195</v>
      </c>
      <c r="B74" t="s">
        <v>196</v>
      </c>
      <c r="C74" t="s">
        <v>197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22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7.5</v>
      </c>
      <c r="AE74">
        <v>326</v>
      </c>
      <c r="AF74">
        <v>18.360655737704921</v>
      </c>
      <c r="AG74">
        <v>0</v>
      </c>
      <c r="AH74">
        <v>15.444850167444001</v>
      </c>
      <c r="AI74">
        <f>13.641801016*1</f>
        <v>13.641801016000001</v>
      </c>
      <c r="AJ74">
        <f>2.7283602032*1</f>
        <v>2.7283602031999998</v>
      </c>
      <c r="AK74">
        <v>1</v>
      </c>
      <c r="AL74">
        <v>0</v>
      </c>
      <c r="AM74">
        <v>0</v>
      </c>
    </row>
    <row r="75" spans="1:39" hidden="1" x14ac:dyDescent="0.2">
      <c r="A75" t="s">
        <v>198</v>
      </c>
      <c r="B75" t="s">
        <v>199</v>
      </c>
      <c r="C75" t="s">
        <v>200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12.5</v>
      </c>
      <c r="AE75">
        <v>327</v>
      </c>
      <c r="AF75">
        <v>34.137931034482769</v>
      </c>
      <c r="AG75">
        <v>0</v>
      </c>
      <c r="AH75">
        <v>25.55077712115683</v>
      </c>
      <c r="AI75">
        <f>24.1512128412978*1</f>
        <v>24.151212841297799</v>
      </c>
      <c r="AJ75">
        <f>5.04051281615257*1</f>
        <v>5.0405128161525701</v>
      </c>
      <c r="AK75">
        <v>1</v>
      </c>
      <c r="AL75">
        <v>0</v>
      </c>
      <c r="AM75">
        <v>0</v>
      </c>
    </row>
    <row r="76" spans="1:39" hidden="1" x14ac:dyDescent="0.2">
      <c r="A76" t="s">
        <v>201</v>
      </c>
      <c r="B76" t="s">
        <v>202</v>
      </c>
      <c r="C76" t="s">
        <v>202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22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6.5</v>
      </c>
      <c r="AE76">
        <v>328</v>
      </c>
      <c r="AF76">
        <v>16.04370763520981</v>
      </c>
      <c r="AG76">
        <v>0</v>
      </c>
      <c r="AH76">
        <v>23.31193340128431</v>
      </c>
      <c r="AI76">
        <f>15.6813113626315*1</f>
        <v>15.681311362631501</v>
      </c>
      <c r="AJ76">
        <f>3.42366232299676*1</f>
        <v>3.4236623229967602</v>
      </c>
      <c r="AK76">
        <v>1</v>
      </c>
      <c r="AL76">
        <v>0</v>
      </c>
      <c r="AM76">
        <v>0</v>
      </c>
    </row>
    <row r="77" spans="1:39" hidden="1" x14ac:dyDescent="0.2">
      <c r="A77" t="s">
        <v>203</v>
      </c>
      <c r="B77" t="s">
        <v>204</v>
      </c>
      <c r="C77" t="s">
        <v>204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23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5.5</v>
      </c>
      <c r="AE77">
        <v>339</v>
      </c>
      <c r="AF77">
        <v>16.851851851851851</v>
      </c>
      <c r="AG77">
        <v>0</v>
      </c>
      <c r="AH77">
        <v>20.326868539072141</v>
      </c>
      <c r="AI77">
        <f>19.3814024351121*1</f>
        <v>19.381402435112101</v>
      </c>
      <c r="AJ77">
        <f>3.82343882750347*1</f>
        <v>3.8234388275034701</v>
      </c>
      <c r="AK77">
        <v>1</v>
      </c>
      <c r="AL77">
        <v>0</v>
      </c>
      <c r="AM77">
        <v>0</v>
      </c>
    </row>
    <row r="78" spans="1:39" hidden="1" x14ac:dyDescent="0.2">
      <c r="A78" t="s">
        <v>106</v>
      </c>
      <c r="B78" t="s">
        <v>205</v>
      </c>
      <c r="C78" t="s">
        <v>205</v>
      </c>
      <c r="D78" t="s">
        <v>4</v>
      </c>
      <c r="E78">
        <v>0</v>
      </c>
      <c r="F78">
        <v>1</v>
      </c>
      <c r="G78">
        <v>0</v>
      </c>
      <c r="H78">
        <v>0</v>
      </c>
      <c r="I78" t="s">
        <v>23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5.5</v>
      </c>
      <c r="AE78">
        <v>340</v>
      </c>
      <c r="AF78">
        <v>16.35416666666665</v>
      </c>
      <c r="AG78">
        <v>0</v>
      </c>
      <c r="AH78">
        <v>8.5855246702754897</v>
      </c>
      <c r="AI78">
        <f>15.9910247674817*1</f>
        <v>15.991024767481701</v>
      </c>
      <c r="AJ78">
        <f>3.16205154936373*1</f>
        <v>3.16205154936373</v>
      </c>
      <c r="AK78">
        <v>1</v>
      </c>
      <c r="AL78">
        <v>0</v>
      </c>
      <c r="AM78">
        <v>0</v>
      </c>
    </row>
    <row r="79" spans="1:39" hidden="1" x14ac:dyDescent="0.2">
      <c r="A79" t="s">
        <v>206</v>
      </c>
      <c r="B79" t="s">
        <v>207</v>
      </c>
      <c r="C79" t="s">
        <v>206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6.5</v>
      </c>
      <c r="AE79">
        <v>341</v>
      </c>
      <c r="AF79">
        <v>18.629032258064509</v>
      </c>
      <c r="AG79">
        <v>0</v>
      </c>
      <c r="AH79">
        <v>23.69826463812532</v>
      </c>
      <c r="AI79">
        <f>21.7358895923428*1</f>
        <v>21.735889592342801</v>
      </c>
      <c r="AJ79">
        <f>4.45655458394069*1</f>
        <v>4.4565545839406902</v>
      </c>
      <c r="AK79">
        <v>1</v>
      </c>
      <c r="AL79">
        <v>0</v>
      </c>
      <c r="AM79">
        <v>0</v>
      </c>
    </row>
    <row r="80" spans="1:39" hidden="1" x14ac:dyDescent="0.2">
      <c r="A80" t="s">
        <v>208</v>
      </c>
      <c r="B80" t="s">
        <v>209</v>
      </c>
      <c r="C80" t="s">
        <v>209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6.5</v>
      </c>
      <c r="AE80">
        <v>345</v>
      </c>
      <c r="AF80">
        <v>17.592592592592599</v>
      </c>
      <c r="AG80">
        <v>0</v>
      </c>
      <c r="AH80">
        <v>14.914285714285709</v>
      </c>
      <c r="AI80">
        <f>18.6382886618879*1</f>
        <v>18.638288661887898</v>
      </c>
      <c r="AJ80">
        <f>3.55855077942015*1</f>
        <v>3.5585507794201501</v>
      </c>
      <c r="AK80">
        <v>1</v>
      </c>
      <c r="AL80">
        <v>0</v>
      </c>
      <c r="AM80">
        <v>0</v>
      </c>
    </row>
    <row r="81" spans="1:39" hidden="1" x14ac:dyDescent="0.2">
      <c r="A81" t="s">
        <v>210</v>
      </c>
      <c r="B81" t="s">
        <v>211</v>
      </c>
      <c r="C81" t="s">
        <v>212</v>
      </c>
      <c r="D81" t="s">
        <v>3</v>
      </c>
      <c r="E81">
        <v>1</v>
      </c>
      <c r="F81">
        <v>0</v>
      </c>
      <c r="G81">
        <v>0</v>
      </c>
      <c r="H81">
        <v>0</v>
      </c>
      <c r="I81" t="s">
        <v>23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5.5</v>
      </c>
      <c r="AE81">
        <v>346</v>
      </c>
      <c r="AF81">
        <v>19.502487562189071</v>
      </c>
      <c r="AG81">
        <v>0</v>
      </c>
      <c r="AH81">
        <v>15.19655981375997</v>
      </c>
      <c r="AI81">
        <f>20.3235652791153*1</f>
        <v>20.3235652791153</v>
      </c>
      <c r="AJ81">
        <f>3.99305437924295*1</f>
        <v>3.9930543792429498</v>
      </c>
      <c r="AK81">
        <v>1</v>
      </c>
      <c r="AL81">
        <v>0</v>
      </c>
      <c r="AM81">
        <v>0</v>
      </c>
    </row>
    <row r="82" spans="1:39" x14ac:dyDescent="0.2">
      <c r="A82" t="s">
        <v>137</v>
      </c>
      <c r="B82" t="s">
        <v>138</v>
      </c>
      <c r="C82" t="s">
        <v>139</v>
      </c>
      <c r="D82" t="s">
        <v>6</v>
      </c>
      <c r="E82">
        <v>0</v>
      </c>
      <c r="F82">
        <v>0</v>
      </c>
      <c r="G82">
        <v>0</v>
      </c>
      <c r="H82">
        <v>1</v>
      </c>
      <c r="I82" t="s">
        <v>16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7.5</v>
      </c>
      <c r="AE82">
        <v>179</v>
      </c>
      <c r="AF82">
        <v>20.45454545454545</v>
      </c>
      <c r="AG82">
        <v>0</v>
      </c>
      <c r="AH82">
        <v>44.333406458592783</v>
      </c>
      <c r="AI82">
        <f>33.6496050388655*1</f>
        <v>33.649605038865502</v>
      </c>
      <c r="AJ82">
        <f>6.47012288615008*1</f>
        <v>6.4701228861500804</v>
      </c>
      <c r="AK82">
        <v>1</v>
      </c>
      <c r="AL82">
        <v>0</v>
      </c>
      <c r="AM82">
        <v>1</v>
      </c>
    </row>
    <row r="83" spans="1:39" x14ac:dyDescent="0.2">
      <c r="A83" t="s">
        <v>253</v>
      </c>
      <c r="B83" t="s">
        <v>254</v>
      </c>
      <c r="C83" t="s">
        <v>254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26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5.5</v>
      </c>
      <c r="AE83">
        <v>433</v>
      </c>
      <c r="AF83">
        <v>0</v>
      </c>
      <c r="AG83">
        <v>11.025538033342929</v>
      </c>
      <c r="AH83">
        <v>41.270432900432901</v>
      </c>
      <c r="AI83">
        <f>30.0693484469899*1</f>
        <v>30.069348446989899</v>
      </c>
      <c r="AJ83">
        <f>5.73928599021129*1</f>
        <v>5.7392859902112896</v>
      </c>
      <c r="AK83">
        <v>1</v>
      </c>
      <c r="AL83">
        <v>0</v>
      </c>
      <c r="AM83">
        <v>1</v>
      </c>
    </row>
    <row r="84" spans="1:39" hidden="1" x14ac:dyDescent="0.2">
      <c r="A84" t="s">
        <v>217</v>
      </c>
      <c r="B84" t="s">
        <v>218</v>
      </c>
      <c r="C84" t="s">
        <v>218</v>
      </c>
      <c r="D84" t="s">
        <v>6</v>
      </c>
      <c r="E84">
        <v>0</v>
      </c>
      <c r="F84">
        <v>0</v>
      </c>
      <c r="G84">
        <v>0</v>
      </c>
      <c r="H84">
        <v>1</v>
      </c>
      <c r="I84" t="s">
        <v>23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15</v>
      </c>
      <c r="AE84">
        <v>350</v>
      </c>
      <c r="AF84">
        <v>39.166666666666671</v>
      </c>
      <c r="AG84">
        <v>0</v>
      </c>
      <c r="AH84">
        <v>51.075999999999993</v>
      </c>
      <c r="AI84">
        <f>46.0152426288614*1</f>
        <v>46.015242628861401</v>
      </c>
      <c r="AJ84">
        <f>11.12153077311*1</f>
        <v>11.121530773110001</v>
      </c>
      <c r="AK84">
        <v>1</v>
      </c>
      <c r="AL84">
        <v>0</v>
      </c>
      <c r="AM84">
        <v>0</v>
      </c>
    </row>
    <row r="85" spans="1:39" hidden="1" x14ac:dyDescent="0.2">
      <c r="A85" t="s">
        <v>219</v>
      </c>
      <c r="B85" t="s">
        <v>220</v>
      </c>
      <c r="C85" t="s">
        <v>221</v>
      </c>
      <c r="D85" t="s">
        <v>6</v>
      </c>
      <c r="E85">
        <v>0</v>
      </c>
      <c r="F85">
        <v>0</v>
      </c>
      <c r="G85">
        <v>0</v>
      </c>
      <c r="H85">
        <v>1</v>
      </c>
      <c r="I85" t="s">
        <v>23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</v>
      </c>
      <c r="AE85">
        <v>351</v>
      </c>
      <c r="AF85">
        <v>18.571428571428569</v>
      </c>
      <c r="AG85">
        <v>0</v>
      </c>
      <c r="AH85">
        <v>16.55288068217116</v>
      </c>
      <c r="AI85">
        <f>19.879876604764*1</f>
        <v>19.879876604764</v>
      </c>
      <c r="AJ85">
        <f>3.95499581108834*1</f>
        <v>3.9549958110883399</v>
      </c>
      <c r="AK85">
        <v>1</v>
      </c>
      <c r="AL85">
        <v>0</v>
      </c>
      <c r="AM85">
        <v>0</v>
      </c>
    </row>
    <row r="86" spans="1:39" hidden="1" x14ac:dyDescent="0.2">
      <c r="A86" t="s">
        <v>222</v>
      </c>
      <c r="B86" t="s">
        <v>223</v>
      </c>
      <c r="C86" t="s">
        <v>222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23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5.5</v>
      </c>
      <c r="AE86">
        <v>360</v>
      </c>
      <c r="AF86">
        <v>15.19230769230769</v>
      </c>
      <c r="AG86">
        <v>0</v>
      </c>
      <c r="AH86">
        <v>24.08335022867632</v>
      </c>
      <c r="AI86">
        <f>18.9292283610851*1</f>
        <v>18.929228361085102</v>
      </c>
      <c r="AJ86">
        <f>3.96547435377008*1</f>
        <v>3.9654743537700798</v>
      </c>
      <c r="AK86">
        <v>1</v>
      </c>
      <c r="AL86">
        <v>0</v>
      </c>
      <c r="AM86">
        <v>0</v>
      </c>
    </row>
    <row r="87" spans="1:39" hidden="1" x14ac:dyDescent="0.2">
      <c r="A87" t="s">
        <v>224</v>
      </c>
      <c r="B87" t="s">
        <v>225</v>
      </c>
      <c r="C87" t="s">
        <v>225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23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5.5</v>
      </c>
      <c r="AE87">
        <v>362</v>
      </c>
      <c r="AF87">
        <v>19.15032679738562</v>
      </c>
      <c r="AG87">
        <v>0</v>
      </c>
      <c r="AH87">
        <v>15.33972127637468</v>
      </c>
      <c r="AI87">
        <f>20.0621971273233*1</f>
        <v>20.062197127323302</v>
      </c>
      <c r="AJ87">
        <f>4.02565905104487*1</f>
        <v>4.0256590510448698</v>
      </c>
      <c r="AK87">
        <v>1</v>
      </c>
      <c r="AL87">
        <v>0</v>
      </c>
      <c r="AM87">
        <v>0</v>
      </c>
    </row>
    <row r="88" spans="1:39" hidden="1" x14ac:dyDescent="0.2">
      <c r="A88" t="s">
        <v>226</v>
      </c>
      <c r="B88" t="s">
        <v>227</v>
      </c>
      <c r="C88" t="s">
        <v>228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8.5</v>
      </c>
      <c r="AE88">
        <v>365</v>
      </c>
      <c r="AF88">
        <v>0</v>
      </c>
      <c r="AG88">
        <v>16.295055028997851</v>
      </c>
      <c r="AH88">
        <v>41.577777777777783</v>
      </c>
      <c r="AI88">
        <f>18.5884942889502*1</f>
        <v>18.588494288950201</v>
      </c>
      <c r="AJ88">
        <f>3.18813893011369*1</f>
        <v>3.18813893011369</v>
      </c>
      <c r="AK88">
        <v>1</v>
      </c>
      <c r="AL88">
        <v>0</v>
      </c>
      <c r="AM88">
        <v>0</v>
      </c>
    </row>
    <row r="89" spans="1:39" x14ac:dyDescent="0.2">
      <c r="A89" t="s">
        <v>172</v>
      </c>
      <c r="B89" t="s">
        <v>173</v>
      </c>
      <c r="C89" t="s">
        <v>173</v>
      </c>
      <c r="D89" t="s">
        <v>4</v>
      </c>
      <c r="E89">
        <v>0</v>
      </c>
      <c r="F89">
        <v>1</v>
      </c>
      <c r="G89">
        <v>0</v>
      </c>
      <c r="H89">
        <v>0</v>
      </c>
      <c r="I89" t="s">
        <v>18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4.5</v>
      </c>
      <c r="AE89">
        <v>230</v>
      </c>
      <c r="AF89">
        <v>0</v>
      </c>
      <c r="AG89">
        <v>19.815569097393901</v>
      </c>
      <c r="AH89">
        <v>0</v>
      </c>
      <c r="AI89">
        <f>23.9856196454499*1</f>
        <v>23.985619645449901</v>
      </c>
      <c r="AJ89">
        <f>5.34699678659221*1</f>
        <v>5.3469967865922099</v>
      </c>
      <c r="AK89">
        <v>1</v>
      </c>
      <c r="AL89">
        <v>0</v>
      </c>
      <c r="AM89">
        <v>1</v>
      </c>
    </row>
    <row r="90" spans="1:39" hidden="1" x14ac:dyDescent="0.2">
      <c r="A90" t="s">
        <v>232</v>
      </c>
      <c r="B90" t="s">
        <v>233</v>
      </c>
      <c r="C90" t="s">
        <v>233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6.5</v>
      </c>
      <c r="AE90">
        <v>371</v>
      </c>
      <c r="AF90">
        <v>0</v>
      </c>
      <c r="AG90">
        <v>10.878955669164011</v>
      </c>
      <c r="AH90">
        <v>20.28223649919579</v>
      </c>
      <c r="AI90">
        <f>11.9846015228323*1</f>
        <v>11.9846015228323</v>
      </c>
      <c r="AJ90">
        <f>2.24753352988707*1</f>
        <v>2.24753352988707</v>
      </c>
      <c r="AK90">
        <v>1</v>
      </c>
      <c r="AL90">
        <v>0</v>
      </c>
      <c r="AM90">
        <v>0</v>
      </c>
    </row>
    <row r="91" spans="1:39" hidden="1" x14ac:dyDescent="0.2">
      <c r="A91" t="s">
        <v>234</v>
      </c>
      <c r="B91" t="s">
        <v>235</v>
      </c>
      <c r="C91" t="s">
        <v>235</v>
      </c>
      <c r="D91" t="s">
        <v>6</v>
      </c>
      <c r="E91">
        <v>0</v>
      </c>
      <c r="F91">
        <v>0</v>
      </c>
      <c r="G91">
        <v>0</v>
      </c>
      <c r="H91">
        <v>1</v>
      </c>
      <c r="I91" t="s">
        <v>24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7</v>
      </c>
      <c r="AE91">
        <v>374</v>
      </c>
      <c r="AF91">
        <v>0</v>
      </c>
      <c r="AG91">
        <v>29.943177137572128</v>
      </c>
      <c r="AH91">
        <v>19.8</v>
      </c>
      <c r="AI91">
        <f>30.9359660225679*1</f>
        <v>30.9359660225679</v>
      </c>
      <c r="AJ91">
        <f>4.04734784631105*1</f>
        <v>4.0473478463110499</v>
      </c>
      <c r="AK91">
        <v>1</v>
      </c>
      <c r="AL91">
        <v>0</v>
      </c>
      <c r="AM91">
        <v>0</v>
      </c>
    </row>
    <row r="92" spans="1:39" x14ac:dyDescent="0.2">
      <c r="A92" t="s">
        <v>215</v>
      </c>
      <c r="B92" t="s">
        <v>216</v>
      </c>
      <c r="C92" t="s">
        <v>216</v>
      </c>
      <c r="D92" t="s">
        <v>4</v>
      </c>
      <c r="E92">
        <v>0</v>
      </c>
      <c r="F92">
        <v>1</v>
      </c>
      <c r="G92">
        <v>0</v>
      </c>
      <c r="H92">
        <v>0</v>
      </c>
      <c r="I92" t="s">
        <v>23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</v>
      </c>
      <c r="AE92">
        <v>349</v>
      </c>
      <c r="AF92">
        <v>18.888888888888889</v>
      </c>
      <c r="AG92">
        <v>0</v>
      </c>
      <c r="AH92">
        <v>34.76</v>
      </c>
      <c r="AI92">
        <f>24.7534012941473*1</f>
        <v>24.753401294147299</v>
      </c>
      <c r="AJ92">
        <f>5.14493645094466*1</f>
        <v>5.1449364509446598</v>
      </c>
      <c r="AK92">
        <v>1</v>
      </c>
      <c r="AL92">
        <v>0</v>
      </c>
      <c r="AM92">
        <v>1</v>
      </c>
    </row>
    <row r="93" spans="1:39" hidden="1" x14ac:dyDescent="0.2">
      <c r="A93" t="s">
        <v>226</v>
      </c>
      <c r="B93" t="s">
        <v>238</v>
      </c>
      <c r="C93" t="s">
        <v>239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25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6.5</v>
      </c>
      <c r="AE93">
        <v>393</v>
      </c>
      <c r="AF93">
        <v>0</v>
      </c>
      <c r="AG93">
        <v>12.139096496105831</v>
      </c>
      <c r="AH93">
        <v>28.222117940062869</v>
      </c>
      <c r="AI93">
        <f>25.1579409472532*1</f>
        <v>25.157940947253199</v>
      </c>
      <c r="AJ93">
        <f>5.02727352914601*1</f>
        <v>5.0272735291460098</v>
      </c>
      <c r="AK93">
        <v>1</v>
      </c>
      <c r="AL93">
        <v>0</v>
      </c>
      <c r="AM93">
        <v>0</v>
      </c>
    </row>
    <row r="94" spans="1:39" hidden="1" x14ac:dyDescent="0.2">
      <c r="A94" t="s">
        <v>240</v>
      </c>
      <c r="B94" t="s">
        <v>241</v>
      </c>
      <c r="C94" t="s">
        <v>241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7.5</v>
      </c>
      <c r="AE94">
        <v>397</v>
      </c>
      <c r="AF94">
        <v>0</v>
      </c>
      <c r="AG94">
        <v>12.44379993898057</v>
      </c>
      <c r="AH94">
        <v>34.005337662337674</v>
      </c>
      <c r="AI94">
        <f>29.0996969394322*1</f>
        <v>29.099696939432199</v>
      </c>
      <c r="AJ94">
        <f>5.87536734419209*1</f>
        <v>5.8753673441920897</v>
      </c>
      <c r="AK94">
        <v>1</v>
      </c>
      <c r="AL94">
        <v>0</v>
      </c>
      <c r="AM94">
        <v>0</v>
      </c>
    </row>
    <row r="95" spans="1:39" x14ac:dyDescent="0.2">
      <c r="A95" t="s">
        <v>229</v>
      </c>
      <c r="B95" t="s">
        <v>230</v>
      </c>
      <c r="C95" t="s">
        <v>231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24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</v>
      </c>
      <c r="AE95">
        <v>368</v>
      </c>
      <c r="AF95">
        <v>0</v>
      </c>
      <c r="AG95">
        <v>19.228983210099791</v>
      </c>
      <c r="AH95">
        <v>20.971428571428572</v>
      </c>
      <c r="AI95">
        <f>20.3364460444623*1</f>
        <v>20.336446044462299</v>
      </c>
      <c r="AJ95">
        <f>4.52637995834635*1</f>
        <v>4.5263799583463502</v>
      </c>
      <c r="AK95">
        <v>1</v>
      </c>
      <c r="AL95">
        <v>0</v>
      </c>
      <c r="AM95">
        <v>1</v>
      </c>
    </row>
    <row r="96" spans="1:39" hidden="1" x14ac:dyDescent="0.2">
      <c r="A96" t="s">
        <v>244</v>
      </c>
      <c r="B96" t="s">
        <v>245</v>
      </c>
      <c r="C96" t="s">
        <v>245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25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</v>
      </c>
      <c r="AE96">
        <v>409</v>
      </c>
      <c r="AF96">
        <v>0</v>
      </c>
      <c r="AG96">
        <v>10.346662384926219</v>
      </c>
      <c r="AH96">
        <v>14.0504398414667</v>
      </c>
      <c r="AI96">
        <f>14.9173342997146*1</f>
        <v>14.9173342997146</v>
      </c>
      <c r="AJ96">
        <f>4.27445378859692*1</f>
        <v>4.2744537885969196</v>
      </c>
      <c r="AK96">
        <v>1</v>
      </c>
      <c r="AL96">
        <v>0</v>
      </c>
      <c r="AM96">
        <v>0</v>
      </c>
    </row>
    <row r="97" spans="1:39" hidden="1" x14ac:dyDescent="0.2">
      <c r="A97" t="s">
        <v>246</v>
      </c>
      <c r="B97" t="s">
        <v>247</v>
      </c>
      <c r="C97" t="s">
        <v>247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5.5</v>
      </c>
      <c r="AE97">
        <v>414</v>
      </c>
      <c r="AF97">
        <v>0</v>
      </c>
      <c r="AG97">
        <v>15.17389083248454</v>
      </c>
      <c r="AH97">
        <v>6.0680650161709524</v>
      </c>
      <c r="AI97">
        <f>12.3942350137243*1</f>
        <v>12.3942350137243</v>
      </c>
      <c r="AJ97">
        <f>2.05791580167493*1</f>
        <v>2.0579158016749299</v>
      </c>
      <c r="AK97">
        <v>1</v>
      </c>
      <c r="AL97">
        <v>0</v>
      </c>
      <c r="AM97">
        <v>0</v>
      </c>
    </row>
    <row r="98" spans="1:39" hidden="1" x14ac:dyDescent="0.2">
      <c r="A98" t="s">
        <v>248</v>
      </c>
      <c r="B98" t="s">
        <v>249</v>
      </c>
      <c r="C98" t="s">
        <v>248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5</v>
      </c>
      <c r="AE98">
        <v>428</v>
      </c>
      <c r="AF98">
        <v>0</v>
      </c>
      <c r="AG98">
        <v>17.396572394554489</v>
      </c>
      <c r="AH98">
        <v>12.5</v>
      </c>
      <c r="AI98">
        <f>19.5359098350707*1</f>
        <v>19.535909835070701</v>
      </c>
      <c r="AJ98">
        <f>2.65454360190669*1</f>
        <v>2.6545436019066901</v>
      </c>
      <c r="AK98">
        <v>1</v>
      </c>
      <c r="AL98">
        <v>0</v>
      </c>
      <c r="AM98">
        <v>0</v>
      </c>
    </row>
    <row r="99" spans="1:39" hidden="1" x14ac:dyDescent="0.2">
      <c r="A99" t="s">
        <v>240</v>
      </c>
      <c r="B99" t="s">
        <v>250</v>
      </c>
      <c r="C99" t="s">
        <v>250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26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5.5</v>
      </c>
      <c r="AE99">
        <v>431</v>
      </c>
      <c r="AF99">
        <v>0</v>
      </c>
      <c r="AG99">
        <v>10.69080618074095</v>
      </c>
      <c r="AH99">
        <v>12.79142331817232</v>
      </c>
      <c r="AI99">
        <f>14.7157143827816*1</f>
        <v>14.7157143827816</v>
      </c>
      <c r="AJ99">
        <f>2.654499312226*1</f>
        <v>2.6544993122260001</v>
      </c>
      <c r="AK99">
        <v>1</v>
      </c>
      <c r="AL99">
        <v>0</v>
      </c>
      <c r="AM99">
        <v>0</v>
      </c>
    </row>
    <row r="100" spans="1:39" x14ac:dyDescent="0.2">
      <c r="A100" t="s">
        <v>144</v>
      </c>
      <c r="B100" t="s">
        <v>145</v>
      </c>
      <c r="C100" t="s">
        <v>145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17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4.5</v>
      </c>
      <c r="AE100">
        <v>190</v>
      </c>
      <c r="AF100">
        <v>16.216805790194581</v>
      </c>
      <c r="AG100">
        <v>0</v>
      </c>
      <c r="AH100">
        <v>20.86929875984718</v>
      </c>
      <c r="AI100">
        <f>21.7674344058324*1</f>
        <v>21.7674344058324</v>
      </c>
      <c r="AJ100">
        <f>4.33812344758622*1</f>
        <v>4.33812344758622</v>
      </c>
      <c r="AK100">
        <v>1</v>
      </c>
      <c r="AL100">
        <v>0</v>
      </c>
      <c r="AM100">
        <v>1</v>
      </c>
    </row>
    <row r="101" spans="1:39" x14ac:dyDescent="0.2">
      <c r="A101" t="s">
        <v>146</v>
      </c>
      <c r="B101" t="s">
        <v>174</v>
      </c>
      <c r="C101" t="s">
        <v>174</v>
      </c>
      <c r="D101" t="s">
        <v>3</v>
      </c>
      <c r="E101">
        <v>1</v>
      </c>
      <c r="F101">
        <v>0</v>
      </c>
      <c r="G101">
        <v>0</v>
      </c>
      <c r="H101">
        <v>0</v>
      </c>
      <c r="I101" t="s">
        <v>18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</v>
      </c>
      <c r="AE101">
        <v>234</v>
      </c>
      <c r="AF101">
        <v>0</v>
      </c>
      <c r="AG101">
        <v>18.008365808748849</v>
      </c>
      <c r="AH101">
        <v>0</v>
      </c>
      <c r="AI101">
        <f>21.7981028251963*1</f>
        <v>21.798102825196299</v>
      </c>
      <c r="AJ101">
        <f>4.33609484652555*1</f>
        <v>4.3360948465255502</v>
      </c>
      <c r="AK101">
        <v>1</v>
      </c>
      <c r="AL101">
        <v>0</v>
      </c>
      <c r="AM101">
        <v>1</v>
      </c>
    </row>
    <row r="102" spans="1:39" hidden="1" x14ac:dyDescent="0.2">
      <c r="A102" t="s">
        <v>255</v>
      </c>
      <c r="B102" t="s">
        <v>256</v>
      </c>
      <c r="C102" t="s">
        <v>256</v>
      </c>
      <c r="D102" t="s">
        <v>6</v>
      </c>
      <c r="E102">
        <v>0</v>
      </c>
      <c r="F102">
        <v>0</v>
      </c>
      <c r="G102">
        <v>0</v>
      </c>
      <c r="H102">
        <v>1</v>
      </c>
      <c r="I102" t="s">
        <v>26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6</v>
      </c>
      <c r="AE102">
        <v>446</v>
      </c>
      <c r="AF102">
        <v>0</v>
      </c>
      <c r="AG102">
        <v>15.91031136951835</v>
      </c>
      <c r="AH102">
        <v>23.704541884028949</v>
      </c>
      <c r="AI102">
        <f>24.3762117112839*1</f>
        <v>24.376211711283901</v>
      </c>
      <c r="AJ102">
        <f>4.24323665554506*1</f>
        <v>4.2432366555450596</v>
      </c>
      <c r="AK102">
        <v>1</v>
      </c>
      <c r="AL102">
        <v>0</v>
      </c>
      <c r="AM102">
        <v>0</v>
      </c>
    </row>
    <row r="103" spans="1:39" hidden="1" x14ac:dyDescent="0.2">
      <c r="A103" t="s">
        <v>257</v>
      </c>
      <c r="B103" t="s">
        <v>258</v>
      </c>
      <c r="C103" t="s">
        <v>258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28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6.5</v>
      </c>
      <c r="AE103">
        <v>490</v>
      </c>
      <c r="AF103">
        <v>17.142857142857139</v>
      </c>
      <c r="AG103">
        <v>12.325210560492881</v>
      </c>
      <c r="AH103">
        <v>17.703900319145419</v>
      </c>
      <c r="AI103">
        <f>15.5585204543189*1</f>
        <v>15.5585204543189</v>
      </c>
      <c r="AJ103">
        <f>3.05767649844574*1</f>
        <v>3.0576764984457401</v>
      </c>
      <c r="AK103">
        <v>1</v>
      </c>
      <c r="AL103">
        <v>0</v>
      </c>
      <c r="AM103">
        <v>0</v>
      </c>
    </row>
    <row r="104" spans="1:39" hidden="1" x14ac:dyDescent="0.2">
      <c r="A104" t="s">
        <v>259</v>
      </c>
      <c r="B104" t="s">
        <v>260</v>
      </c>
      <c r="C104" t="s">
        <v>260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28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6.5</v>
      </c>
      <c r="AE104">
        <v>491</v>
      </c>
      <c r="AF104">
        <v>19.551690135098259</v>
      </c>
      <c r="AG104">
        <v>23.441590938256919</v>
      </c>
      <c r="AH104">
        <v>23.605594709468761</v>
      </c>
      <c r="AI104">
        <f>20.4562845039497*1</f>
        <v>20.4562845039497</v>
      </c>
      <c r="AJ104">
        <f>4.42226292543457*1</f>
        <v>4.4222629254345698</v>
      </c>
      <c r="AK104">
        <v>1</v>
      </c>
      <c r="AL104">
        <v>0</v>
      </c>
      <c r="AM104">
        <v>0</v>
      </c>
    </row>
    <row r="105" spans="1:39" hidden="1" x14ac:dyDescent="0.2">
      <c r="A105" t="s">
        <v>166</v>
      </c>
      <c r="B105" t="s">
        <v>261</v>
      </c>
      <c r="C105" t="s">
        <v>261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28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7.5</v>
      </c>
      <c r="AE105">
        <v>493</v>
      </c>
      <c r="AF105">
        <v>20.81745350729787</v>
      </c>
      <c r="AG105">
        <v>22.215908437662769</v>
      </c>
      <c r="AH105">
        <v>19.778827169167151</v>
      </c>
      <c r="AI105">
        <f>20.6348332309927*1</f>
        <v>20.634833230992701</v>
      </c>
      <c r="AJ105">
        <f>3.95800863986531*1</f>
        <v>3.95800863986531</v>
      </c>
      <c r="AK105">
        <v>1</v>
      </c>
      <c r="AL105">
        <v>0</v>
      </c>
      <c r="AM105">
        <v>0</v>
      </c>
    </row>
    <row r="106" spans="1:39" x14ac:dyDescent="0.2">
      <c r="A106" t="s">
        <v>262</v>
      </c>
      <c r="B106" t="s">
        <v>263</v>
      </c>
      <c r="C106" t="s">
        <v>264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28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5.5</v>
      </c>
      <c r="AE106">
        <v>494</v>
      </c>
      <c r="AF106">
        <v>19.270833333333339</v>
      </c>
      <c r="AG106">
        <v>20.079849953354572</v>
      </c>
      <c r="AH106">
        <v>35.114285714285707</v>
      </c>
      <c r="AI106">
        <f>20.3378522457041*1</f>
        <v>20.337852245704099</v>
      </c>
      <c r="AJ106">
        <f>3.88587077101076*1</f>
        <v>3.8858707710107598</v>
      </c>
      <c r="AK106">
        <v>1</v>
      </c>
      <c r="AL106">
        <v>0</v>
      </c>
      <c r="AM106">
        <v>1</v>
      </c>
    </row>
    <row r="107" spans="1:39" hidden="1" x14ac:dyDescent="0.2">
      <c r="A107" t="s">
        <v>265</v>
      </c>
      <c r="B107" t="s">
        <v>266</v>
      </c>
      <c r="C107" t="s">
        <v>265</v>
      </c>
      <c r="D107" t="s">
        <v>6</v>
      </c>
      <c r="E107">
        <v>0</v>
      </c>
      <c r="F107">
        <v>0</v>
      </c>
      <c r="G107">
        <v>0</v>
      </c>
      <c r="H107">
        <v>1</v>
      </c>
      <c r="I107" t="s">
        <v>28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7</v>
      </c>
      <c r="AE107">
        <v>496</v>
      </c>
      <c r="AF107">
        <v>19.527777777777761</v>
      </c>
      <c r="AG107">
        <v>16.648568922075679</v>
      </c>
      <c r="AH107">
        <v>27.54314418082814</v>
      </c>
      <c r="AI107">
        <f>18.997708096174*1</f>
        <v>18.997708096174001</v>
      </c>
      <c r="AJ107">
        <f>3.59278960300283*1</f>
        <v>3.5927896030028301</v>
      </c>
      <c r="AK107">
        <v>1</v>
      </c>
      <c r="AL107">
        <v>0</v>
      </c>
      <c r="AM107">
        <v>0</v>
      </c>
    </row>
    <row r="108" spans="1:39" hidden="1" x14ac:dyDescent="0.2">
      <c r="A108" t="s">
        <v>267</v>
      </c>
      <c r="B108" t="s">
        <v>268</v>
      </c>
      <c r="C108" t="s">
        <v>267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28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10</v>
      </c>
      <c r="AE108">
        <v>502</v>
      </c>
      <c r="AF108">
        <v>25.73306768699268</v>
      </c>
      <c r="AG108">
        <v>24.700850840345289</v>
      </c>
      <c r="AH108">
        <v>25.882072601640079</v>
      </c>
      <c r="AI108">
        <f>24.9071377459143*1</f>
        <v>24.907137745914302</v>
      </c>
      <c r="AJ108">
        <f>4.65064984985592*1</f>
        <v>4.6506498498559203</v>
      </c>
      <c r="AK108">
        <v>1</v>
      </c>
      <c r="AL108">
        <v>0</v>
      </c>
      <c r="AM108">
        <v>0</v>
      </c>
    </row>
    <row r="109" spans="1:39" hidden="1" x14ac:dyDescent="0.2">
      <c r="A109" t="s">
        <v>269</v>
      </c>
      <c r="B109" t="s">
        <v>270</v>
      </c>
      <c r="C109" t="s">
        <v>270</v>
      </c>
      <c r="D109" t="s">
        <v>3</v>
      </c>
      <c r="E109">
        <v>1</v>
      </c>
      <c r="F109">
        <v>0</v>
      </c>
      <c r="G109">
        <v>0</v>
      </c>
      <c r="H109">
        <v>0</v>
      </c>
      <c r="I109" t="s">
        <v>28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5</v>
      </c>
      <c r="AE109">
        <v>507</v>
      </c>
      <c r="AF109">
        <v>13.427923242415959</v>
      </c>
      <c r="AG109">
        <v>23.829728325325078</v>
      </c>
      <c r="AH109">
        <v>9.1108095238095252</v>
      </c>
      <c r="AI109">
        <f>15.4792723253848*1</f>
        <v>15.4792723253848</v>
      </c>
      <c r="AJ109">
        <f>2.64506394277887*1</f>
        <v>2.64506394277887</v>
      </c>
      <c r="AK109">
        <v>1</v>
      </c>
      <c r="AL109">
        <v>0</v>
      </c>
      <c r="AM109">
        <v>0</v>
      </c>
    </row>
    <row r="110" spans="1:39" hidden="1" x14ac:dyDescent="0.2">
      <c r="A110" t="s">
        <v>271</v>
      </c>
      <c r="B110" t="s">
        <v>272</v>
      </c>
      <c r="C110" t="s">
        <v>272</v>
      </c>
      <c r="D110" t="s">
        <v>6</v>
      </c>
      <c r="E110">
        <v>0</v>
      </c>
      <c r="F110">
        <v>0</v>
      </c>
      <c r="G110">
        <v>0</v>
      </c>
      <c r="H110">
        <v>1</v>
      </c>
      <c r="I110" t="s">
        <v>29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5.5</v>
      </c>
      <c r="AE110">
        <v>511</v>
      </c>
      <c r="AF110">
        <v>17.95977011494255</v>
      </c>
      <c r="AG110">
        <v>19.551933697824769</v>
      </c>
      <c r="AH110">
        <v>12.17599517589284</v>
      </c>
      <c r="AI110">
        <f>15.9360097899561*1</f>
        <v>15.936009789956101</v>
      </c>
      <c r="AJ110">
        <f>3.03384314116984*1</f>
        <v>3.0338431411698399</v>
      </c>
      <c r="AK110">
        <v>1</v>
      </c>
      <c r="AL110">
        <v>0</v>
      </c>
      <c r="AM110">
        <v>0</v>
      </c>
    </row>
    <row r="111" spans="1:39" hidden="1" x14ac:dyDescent="0.2">
      <c r="A111" t="s">
        <v>273</v>
      </c>
      <c r="B111" t="s">
        <v>274</v>
      </c>
      <c r="C111" t="s">
        <v>274</v>
      </c>
      <c r="D111" t="s">
        <v>3</v>
      </c>
      <c r="E111">
        <v>1</v>
      </c>
      <c r="F111">
        <v>0</v>
      </c>
      <c r="G111">
        <v>0</v>
      </c>
      <c r="H111">
        <v>0</v>
      </c>
      <c r="I111" t="s">
        <v>29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4.5</v>
      </c>
      <c r="AE111">
        <v>512</v>
      </c>
      <c r="AF111">
        <v>17.976770190350361</v>
      </c>
      <c r="AG111">
        <v>26.615348698770578</v>
      </c>
      <c r="AH111">
        <v>10.72294781388905</v>
      </c>
      <c r="AI111">
        <f>18.1455800757125*1</f>
        <v>18.145580075712498</v>
      </c>
      <c r="AJ111">
        <f>4.1623759994456*1</f>
        <v>4.1623759994456</v>
      </c>
      <c r="AK111">
        <v>1</v>
      </c>
      <c r="AL111">
        <v>0</v>
      </c>
      <c r="AM111">
        <v>0</v>
      </c>
    </row>
    <row r="112" spans="1:39" hidden="1" x14ac:dyDescent="0.2">
      <c r="A112" t="s">
        <v>275</v>
      </c>
      <c r="B112" t="s">
        <v>276</v>
      </c>
      <c r="C112" t="s">
        <v>276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29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7.5</v>
      </c>
      <c r="AE112">
        <v>513</v>
      </c>
      <c r="AF112">
        <v>22.061473284673809</v>
      </c>
      <c r="AG112">
        <v>21.955051055635671</v>
      </c>
      <c r="AH112">
        <v>38.846985501816178</v>
      </c>
      <c r="AI112">
        <f>27.3694320907037*1</f>
        <v>27.3694320907037</v>
      </c>
      <c r="AJ112">
        <f>4.71934636205313*1</f>
        <v>4.7193463620531304</v>
      </c>
      <c r="AK112">
        <v>1</v>
      </c>
      <c r="AL112">
        <v>0</v>
      </c>
      <c r="AM112">
        <v>0</v>
      </c>
    </row>
    <row r="113" spans="1:39" hidden="1" x14ac:dyDescent="0.2">
      <c r="A113" t="s">
        <v>277</v>
      </c>
      <c r="B113" t="s">
        <v>278</v>
      </c>
      <c r="C113" t="s">
        <v>278</v>
      </c>
      <c r="D113" t="s">
        <v>3</v>
      </c>
      <c r="E113">
        <v>1</v>
      </c>
      <c r="F113">
        <v>0</v>
      </c>
      <c r="G113">
        <v>0</v>
      </c>
      <c r="H113">
        <v>0</v>
      </c>
      <c r="I113" t="s">
        <v>29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4.5</v>
      </c>
      <c r="AE113">
        <v>521</v>
      </c>
      <c r="AF113">
        <v>11.666666666666661</v>
      </c>
      <c r="AG113">
        <v>14.411409030323769</v>
      </c>
      <c r="AH113">
        <v>11.152014194110651</v>
      </c>
      <c r="AI113">
        <f>12.1786420369386*1</f>
        <v>12.1786420369386</v>
      </c>
      <c r="AJ113">
        <f>2.17646624452676*1</f>
        <v>2.1764662445267602</v>
      </c>
      <c r="AK113">
        <v>1</v>
      </c>
      <c r="AL113">
        <v>0</v>
      </c>
      <c r="AM113">
        <v>0</v>
      </c>
    </row>
    <row r="114" spans="1:39" hidden="1" x14ac:dyDescent="0.2">
      <c r="A114" t="s">
        <v>279</v>
      </c>
      <c r="B114" t="s">
        <v>280</v>
      </c>
      <c r="C114" t="s">
        <v>280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29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6.5</v>
      </c>
      <c r="AE114">
        <v>524</v>
      </c>
      <c r="AF114">
        <v>20.757575757575751</v>
      </c>
      <c r="AG114">
        <v>30.305672419777089</v>
      </c>
      <c r="AH114">
        <v>19.752941176470589</v>
      </c>
      <c r="AI114">
        <f>23.4382205711107*1</f>
        <v>23.438220571110701</v>
      </c>
      <c r="AJ114">
        <f>4.81472992040858*1</f>
        <v>4.8147299204085803</v>
      </c>
      <c r="AK114">
        <v>1</v>
      </c>
      <c r="AL114">
        <v>0</v>
      </c>
      <c r="AM114">
        <v>0</v>
      </c>
    </row>
    <row r="115" spans="1:39" hidden="1" x14ac:dyDescent="0.2">
      <c r="A115" t="s">
        <v>281</v>
      </c>
      <c r="B115" t="s">
        <v>282</v>
      </c>
      <c r="C115" t="s">
        <v>282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5</v>
      </c>
      <c r="AE115">
        <v>529</v>
      </c>
      <c r="AF115">
        <v>15.675675675675681</v>
      </c>
      <c r="AG115">
        <v>21.41985002381637</v>
      </c>
      <c r="AH115">
        <v>20.56</v>
      </c>
      <c r="AI115">
        <f>19.1627740460411*1</f>
        <v>19.1627740460411</v>
      </c>
      <c r="AJ115">
        <f>4.36172396565533*1</f>
        <v>4.3617239656553304</v>
      </c>
      <c r="AK115">
        <v>1</v>
      </c>
      <c r="AL115">
        <v>0</v>
      </c>
      <c r="AM115">
        <v>0</v>
      </c>
    </row>
    <row r="116" spans="1:39" hidden="1" x14ac:dyDescent="0.2">
      <c r="A116" t="s">
        <v>166</v>
      </c>
      <c r="B116" t="s">
        <v>283</v>
      </c>
      <c r="C116" t="s">
        <v>283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6.5</v>
      </c>
      <c r="AE116">
        <v>530</v>
      </c>
      <c r="AF116">
        <v>18.849093859842121</v>
      </c>
      <c r="AG116">
        <v>19.16969057054466</v>
      </c>
      <c r="AH116">
        <v>22.304769553841229</v>
      </c>
      <c r="AI116">
        <f>19.6288305638405*1</f>
        <v>19.628830563840499</v>
      </c>
      <c r="AJ116">
        <f>3.55954364590999*1</f>
        <v>3.5595436459099901</v>
      </c>
      <c r="AK116">
        <v>1</v>
      </c>
      <c r="AL116">
        <v>0</v>
      </c>
      <c r="AM116">
        <v>0</v>
      </c>
    </row>
    <row r="117" spans="1:39" hidden="1" x14ac:dyDescent="0.2">
      <c r="A117" t="s">
        <v>284</v>
      </c>
      <c r="B117" t="s">
        <v>285</v>
      </c>
      <c r="C117" t="s">
        <v>286</v>
      </c>
      <c r="D117" t="s">
        <v>6</v>
      </c>
      <c r="E117">
        <v>0</v>
      </c>
      <c r="F117">
        <v>0</v>
      </c>
      <c r="G117">
        <v>0</v>
      </c>
      <c r="H117">
        <v>1</v>
      </c>
      <c r="I117" t="s">
        <v>30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6.5</v>
      </c>
      <c r="AE117">
        <v>540</v>
      </c>
      <c r="AF117">
        <v>0</v>
      </c>
      <c r="AG117">
        <v>15.29742186248142</v>
      </c>
      <c r="AH117">
        <v>14.688292771899579</v>
      </c>
      <c r="AI117">
        <f>13.1388419140306*1</f>
        <v>13.1388419140306</v>
      </c>
      <c r="AJ117">
        <f>2.57460675511583*1</f>
        <v>2.57460675511583</v>
      </c>
      <c r="AK117">
        <v>1</v>
      </c>
      <c r="AL117">
        <v>0</v>
      </c>
      <c r="AM117">
        <v>0</v>
      </c>
    </row>
    <row r="118" spans="1:39" hidden="1" x14ac:dyDescent="0.2">
      <c r="A118" t="s">
        <v>287</v>
      </c>
      <c r="B118" t="s">
        <v>288</v>
      </c>
      <c r="C118" t="s">
        <v>289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30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6.5</v>
      </c>
      <c r="AE118">
        <v>549</v>
      </c>
      <c r="AF118">
        <v>0</v>
      </c>
      <c r="AG118">
        <v>13.40807106234177</v>
      </c>
      <c r="AH118">
        <v>23.24</v>
      </c>
      <c r="AI118">
        <f>14.2554171394901*1</f>
        <v>14.255417139490101</v>
      </c>
      <c r="AJ118">
        <f>3.03456757357643*1</f>
        <v>3.0345675735764299</v>
      </c>
      <c r="AK118">
        <v>1</v>
      </c>
      <c r="AL118">
        <v>0</v>
      </c>
      <c r="AM118">
        <v>0</v>
      </c>
    </row>
    <row r="119" spans="1:39" hidden="1" x14ac:dyDescent="0.2">
      <c r="A119" t="s">
        <v>290</v>
      </c>
      <c r="B119" t="s">
        <v>291</v>
      </c>
      <c r="C119" t="s">
        <v>292</v>
      </c>
      <c r="D119" t="s">
        <v>3</v>
      </c>
      <c r="E119">
        <v>1</v>
      </c>
      <c r="F119">
        <v>0</v>
      </c>
      <c r="G119">
        <v>0</v>
      </c>
      <c r="H119">
        <v>0</v>
      </c>
      <c r="I119" t="s">
        <v>30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4.5</v>
      </c>
      <c r="AE119">
        <v>553</v>
      </c>
      <c r="AF119">
        <v>0</v>
      </c>
      <c r="AG119">
        <v>21.5278081458233</v>
      </c>
      <c r="AH119">
        <v>19.357142857142861</v>
      </c>
      <c r="AI119">
        <f>18.142976082808*1</f>
        <v>18.142976082808001</v>
      </c>
      <c r="AJ119">
        <f>3.7291534545402*1</f>
        <v>3.7291534545401999</v>
      </c>
      <c r="AK119">
        <v>1</v>
      </c>
      <c r="AL119">
        <v>0</v>
      </c>
      <c r="AM119">
        <v>0</v>
      </c>
    </row>
    <row r="120" spans="1:39" hidden="1" x14ac:dyDescent="0.2">
      <c r="A120" t="s">
        <v>293</v>
      </c>
      <c r="B120" t="s">
        <v>294</v>
      </c>
      <c r="C120" t="s">
        <v>295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30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5</v>
      </c>
      <c r="AE120">
        <v>556</v>
      </c>
      <c r="AF120">
        <v>0</v>
      </c>
      <c r="AG120">
        <v>9.2663767674741244</v>
      </c>
      <c r="AH120">
        <v>9.7969293657198566</v>
      </c>
      <c r="AI120">
        <f>8.19653666809416*1</f>
        <v>8.1965366680941596</v>
      </c>
      <c r="AJ120">
        <f>1.78217932940654*1</f>
        <v>1.78217932940654</v>
      </c>
      <c r="AK120">
        <v>1</v>
      </c>
      <c r="AL120">
        <v>0</v>
      </c>
      <c r="AM120">
        <v>0</v>
      </c>
    </row>
    <row r="121" spans="1:39" hidden="1" x14ac:dyDescent="0.2">
      <c r="A121" t="s">
        <v>296</v>
      </c>
      <c r="B121" t="s">
        <v>297</v>
      </c>
      <c r="C121" t="s">
        <v>298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30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4.5</v>
      </c>
      <c r="AE121">
        <v>566</v>
      </c>
      <c r="AF121">
        <v>0</v>
      </c>
      <c r="AG121">
        <v>12.24493052289472</v>
      </c>
      <c r="AH121">
        <v>9.0490998244838607</v>
      </c>
      <c r="AI121">
        <f>9.80138448135379*1</f>
        <v>9.8013844813537894</v>
      </c>
      <c r="AJ121">
        <f>2.18235289233304*1</f>
        <v>2.1823528923330402</v>
      </c>
      <c r="AK121">
        <v>1</v>
      </c>
      <c r="AL121">
        <v>0</v>
      </c>
      <c r="AM12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2024-08-10T17:06:25Z</dcterms:created>
  <dcterms:modified xsi:type="dcterms:W3CDTF">2024-08-10T17:09:47Z</dcterms:modified>
</cp:coreProperties>
</file>