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Calibrations/2023-24/"/>
    </mc:Choice>
  </mc:AlternateContent>
  <xr:revisionPtr revIDLastSave="0" documentId="13_ncr:1_{613CB5CD-A311-0743-93AA-1B3AD01AFC89}" xr6:coauthVersionLast="47" xr6:coauthVersionMax="47" xr10:uidLastSave="{00000000-0000-0000-0000-000000000000}"/>
  <bookViews>
    <workbookView xWindow="0" yWindow="760" windowWidth="34560" windowHeight="21580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BUR" sheetId="6" r:id="rId6"/>
    <sheet name="CHE" sheetId="7" r:id="rId7"/>
    <sheet name="CRY" sheetId="8" r:id="rId8"/>
    <sheet name="EVE" sheetId="9" r:id="rId9"/>
    <sheet name="FUL" sheetId="10" r:id="rId10"/>
    <sheet name="LIV" sheetId="11" r:id="rId11"/>
    <sheet name="LUT" sheetId="12" r:id="rId12"/>
    <sheet name="MCI" sheetId="13" r:id="rId13"/>
    <sheet name="MUN" sheetId="14" r:id="rId14"/>
    <sheet name="NEW" sheetId="15" r:id="rId15"/>
    <sheet name="NFO" sheetId="16" r:id="rId16"/>
    <sheet name="SH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BUR!$I$2:$I$3</definedName>
    <definedName name="solver_adj" localSheetId="6" hidden="1">CHE!$I$2:$I$3</definedName>
    <definedName name="solver_adj" localSheetId="7" hidden="1">CRY!$I$2:$I$3</definedName>
    <definedName name="solver_adj" localSheetId="8" hidden="1">EVE!$I$2:$I$3</definedName>
    <definedName name="solver_adj" localSheetId="9" hidden="1">FUL!$I$2:$I$3</definedName>
    <definedName name="solver_adj" localSheetId="10" hidden="1">LIV!$I$2:$I$3</definedName>
    <definedName name="solver_adj" localSheetId="11" hidden="1">LUT!$I$2:$I$3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SHU!$I$2:$I$3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lin" localSheetId="0" hidden="1">2</definedName>
    <definedName name="solver_lin" localSheetId="1" hidden="1">2</definedName>
    <definedName name="solver_lin" localSheetId="4" hidden="1">2</definedName>
    <definedName name="solver_lin" localSheetId="2" hidden="1">2</definedName>
    <definedName name="solver_lin" localSheetId="3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lin" localSheetId="19" hidden="1">2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BUR!$I$5</definedName>
    <definedName name="solver_opt" localSheetId="6" hidden="1">CHE!$I$5</definedName>
    <definedName name="solver_opt" localSheetId="7" hidden="1">CRY!$I$5</definedName>
    <definedName name="solver_opt" localSheetId="8" hidden="1">EVE!$I$5</definedName>
    <definedName name="solver_opt" localSheetId="9" hidden="1">FUL!$I$5</definedName>
    <definedName name="solver_opt" localSheetId="10" hidden="1">LIV!$I$5</definedName>
    <definedName name="solver_opt" localSheetId="11" hidden="1">LUT!$I$5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SHU!$I$5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2</definedName>
    <definedName name="solver_ver" localSheetId="1" hidden="1">2</definedName>
    <definedName name="solver_ver" localSheetId="4" hidden="1">2</definedName>
    <definedName name="solver_ver" localSheetId="2" hidden="1">2</definedName>
    <definedName name="solver_ver" localSheetId="3" hidden="1">2</definedName>
    <definedName name="solver_ver" localSheetId="5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11" hidden="1">2</definedName>
    <definedName name="solver_ver" localSheetId="12" hidden="1">2</definedName>
    <definedName name="solver_ver" localSheetId="13" hidden="1">2</definedName>
    <definedName name="solver_ver" localSheetId="14" hidden="1">2</definedName>
    <definedName name="solver_ver" localSheetId="15" hidden="1">2</definedName>
    <definedName name="solver_ver" localSheetId="16" hidden="1">2</definedName>
    <definedName name="solver_ver" localSheetId="17" hidden="1">2</definedName>
    <definedName name="solver_ver" localSheetId="18" hidden="1">2</definedName>
    <definedName name="solver_ver" localSheetId="19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0" l="1"/>
  <c r="F6" i="20" s="1"/>
  <c r="D5" i="20"/>
  <c r="F5" i="20" s="1"/>
  <c r="D4" i="20"/>
  <c r="F4" i="20" s="1"/>
  <c r="D3" i="20"/>
  <c r="F3" i="20" s="1"/>
  <c r="D2" i="20"/>
  <c r="D8" i="19"/>
  <c r="F8" i="19" s="1"/>
  <c r="D7" i="19"/>
  <c r="F7" i="19" s="1"/>
  <c r="D6" i="19"/>
  <c r="F6" i="19" s="1"/>
  <c r="D5" i="19"/>
  <c r="F5" i="19" s="1"/>
  <c r="D4" i="19"/>
  <c r="F4" i="19" s="1"/>
  <c r="D3" i="19"/>
  <c r="F3" i="19" s="1"/>
  <c r="D2" i="19"/>
  <c r="D9" i="18"/>
  <c r="F9" i="18" s="1"/>
  <c r="D8" i="18"/>
  <c r="F8" i="18" s="1"/>
  <c r="D7" i="18"/>
  <c r="F7" i="18" s="1"/>
  <c r="D6" i="18"/>
  <c r="F6" i="18" s="1"/>
  <c r="D5" i="18"/>
  <c r="D4" i="18"/>
  <c r="F4" i="18" s="1"/>
  <c r="D3" i="18"/>
  <c r="F3" i="18" s="1"/>
  <c r="D2" i="18"/>
  <c r="F2" i="18" s="1"/>
  <c r="D4" i="17"/>
  <c r="F4" i="17" s="1"/>
  <c r="D3" i="17"/>
  <c r="F3" i="17" s="1"/>
  <c r="D2" i="17"/>
  <c r="F2" i="17" s="1"/>
  <c r="D8" i="16"/>
  <c r="F8" i="16" s="1"/>
  <c r="D7" i="16"/>
  <c r="F7" i="16" s="1"/>
  <c r="D6" i="16"/>
  <c r="F6" i="16" s="1"/>
  <c r="D5" i="16"/>
  <c r="D4" i="16"/>
  <c r="F4" i="16" s="1"/>
  <c r="D3" i="16"/>
  <c r="F3" i="16" s="1"/>
  <c r="D2" i="16"/>
  <c r="F2" i="16" s="1"/>
  <c r="D13" i="15"/>
  <c r="F13" i="15" s="1"/>
  <c r="D12" i="15"/>
  <c r="F12" i="15" s="1"/>
  <c r="D11" i="15"/>
  <c r="F11" i="15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D4" i="15"/>
  <c r="F4" i="15" s="1"/>
  <c r="D3" i="15"/>
  <c r="F3" i="15" s="1"/>
  <c r="D2" i="15"/>
  <c r="F2" i="15" s="1"/>
  <c r="D13" i="14"/>
  <c r="F13" i="14" s="1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D4" i="14"/>
  <c r="F4" i="14" s="1"/>
  <c r="D3" i="14"/>
  <c r="F3" i="14" s="1"/>
  <c r="D2" i="14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3" i="12"/>
  <c r="F3" i="12" s="1"/>
  <c r="D2" i="12"/>
  <c r="F2" i="12" s="1"/>
  <c r="D13" i="11"/>
  <c r="F13" i="11" s="1"/>
  <c r="D12" i="11"/>
  <c r="F12" i="11" s="1"/>
  <c r="D11" i="11"/>
  <c r="F11" i="11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D2" i="11"/>
  <c r="F2" i="11" s="1"/>
  <c r="D12" i="10"/>
  <c r="F12" i="10" s="1"/>
  <c r="D11" i="10"/>
  <c r="F11" i="10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12" i="9"/>
  <c r="F12" i="9" s="1"/>
  <c r="D11" i="9"/>
  <c r="F11" i="9" s="1"/>
  <c r="D10" i="9"/>
  <c r="F10" i="9" s="1"/>
  <c r="D9" i="9"/>
  <c r="F9" i="9" s="1"/>
  <c r="D8" i="9"/>
  <c r="F8" i="9" s="1"/>
  <c r="D7" i="9"/>
  <c r="F7" i="9" s="1"/>
  <c r="D6" i="9"/>
  <c r="F6" i="9" s="1"/>
  <c r="D5" i="9"/>
  <c r="D4" i="9"/>
  <c r="F4" i="9" s="1"/>
  <c r="D3" i="9"/>
  <c r="F3" i="9" s="1"/>
  <c r="D2" i="9"/>
  <c r="D12" i="8"/>
  <c r="F12" i="8" s="1"/>
  <c r="D11" i="8"/>
  <c r="F11" i="8" s="1"/>
  <c r="D10" i="8"/>
  <c r="F10" i="8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2" i="8"/>
  <c r="F2" i="8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6" i="6"/>
  <c r="F6" i="6" s="1"/>
  <c r="D5" i="6"/>
  <c r="F5" i="6" s="1"/>
  <c r="D4" i="6"/>
  <c r="F4" i="6" s="1"/>
  <c r="D3" i="6"/>
  <c r="F3" i="6" s="1"/>
  <c r="D2" i="6"/>
  <c r="F2" i="6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8" i="3"/>
  <c r="F8" i="3" s="1"/>
  <c r="D7" i="3"/>
  <c r="F7" i="3" s="1"/>
  <c r="D6" i="3"/>
  <c r="F6" i="3" s="1"/>
  <c r="D5" i="3"/>
  <c r="D4" i="3"/>
  <c r="F4" i="3" s="1"/>
  <c r="D3" i="3"/>
  <c r="F3" i="3" s="1"/>
  <c r="D2" i="3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D4" i="1"/>
  <c r="F4" i="1" s="1"/>
  <c r="D3" i="1"/>
  <c r="F3" i="1" s="1"/>
  <c r="D2" i="1"/>
  <c r="F2" i="1" s="1"/>
  <c r="I5" i="20" l="1" a="1"/>
  <c r="I5" i="20" s="1"/>
  <c r="F2" i="20"/>
  <c r="I7" i="20" s="1"/>
  <c r="I5" i="19" a="1"/>
  <c r="I5" i="19" s="1"/>
  <c r="F2" i="19"/>
  <c r="I7" i="19" s="1"/>
  <c r="I5" i="18" a="1"/>
  <c r="I5" i="18" s="1"/>
  <c r="I7" i="17"/>
  <c r="I5" i="17" a="1"/>
  <c r="I5" i="17" s="1"/>
  <c r="I5" i="16" a="1"/>
  <c r="I5" i="16" s="1"/>
  <c r="I5" i="15" a="1"/>
  <c r="I5" i="15" s="1"/>
  <c r="I5" i="14" a="1"/>
  <c r="I5" i="14" s="1"/>
  <c r="F2" i="14"/>
  <c r="I5" i="13" a="1"/>
  <c r="I5" i="13" s="1"/>
  <c r="I7" i="12"/>
  <c r="I5" i="12" a="1"/>
  <c r="I5" i="12" s="1"/>
  <c r="I5" i="11" a="1"/>
  <c r="I5" i="11" s="1"/>
  <c r="I5" i="10" a="1"/>
  <c r="I5" i="10" s="1"/>
  <c r="I5" i="9" a="1"/>
  <c r="I5" i="9" s="1"/>
  <c r="F2" i="9"/>
  <c r="I5" i="8" a="1"/>
  <c r="I5" i="8" s="1"/>
  <c r="I5" i="7" a="1"/>
  <c r="I5" i="7" s="1"/>
  <c r="I7" i="6"/>
  <c r="I5" i="6" a="1"/>
  <c r="I5" i="6" s="1"/>
  <c r="I5" i="5" a="1"/>
  <c r="I5" i="5" s="1"/>
  <c r="F2" i="5"/>
  <c r="I7" i="5" s="1"/>
  <c r="I5" i="4" a="1"/>
  <c r="I5" i="4" s="1"/>
  <c r="I5" i="3" a="1"/>
  <c r="I5" i="3" s="1"/>
  <c r="F2" i="3"/>
  <c r="I5" i="2" a="1"/>
  <c r="I5" i="2" s="1"/>
  <c r="I5" i="1" a="1"/>
  <c r="I5" i="1" s="1"/>
  <c r="I7" i="2"/>
  <c r="I7" i="7"/>
  <c r="I7" i="11"/>
  <c r="I7" i="13"/>
  <c r="I7" i="4"/>
  <c r="I7" i="8"/>
  <c r="I7" i="10"/>
  <c r="F5" i="3"/>
  <c r="F5" i="1"/>
  <c r="I7" i="1" s="1"/>
  <c r="F5" i="15"/>
  <c r="I7" i="15" s="1"/>
  <c r="F5" i="18"/>
  <c r="I7" i="18" s="1"/>
  <c r="F5" i="9"/>
  <c r="F5" i="14"/>
  <c r="F5" i="16"/>
  <c r="I7" i="16" s="1"/>
  <c r="I7" i="14" l="1"/>
  <c r="I7" i="9"/>
  <c r="I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<sst xmlns="http://schemas.openxmlformats.org/spreadsheetml/2006/main" count="374" uniqueCount="182">
  <si>
    <t>ARIMA</t>
  </si>
  <si>
    <t>LSTM</t>
  </si>
  <si>
    <t>OFF</t>
  </si>
  <si>
    <t>AVG</t>
  </si>
  <si>
    <t>Name</t>
  </si>
  <si>
    <t>ARIMAPP</t>
  </si>
  <si>
    <t>LSTMPP</t>
  </si>
  <si>
    <t>PP</t>
  </si>
  <si>
    <t>AP</t>
  </si>
  <si>
    <t>DIFF</t>
  </si>
  <si>
    <t>Rice</t>
  </si>
  <si>
    <t>G.Jesus</t>
  </si>
  <si>
    <t>Zinchenko</t>
  </si>
  <si>
    <t>Saka</t>
  </si>
  <si>
    <t>Trossard</t>
  </si>
  <si>
    <t>Havertz</t>
  </si>
  <si>
    <t>Ødegaard</t>
  </si>
  <si>
    <t>Raya</t>
  </si>
  <si>
    <t>Tomiyasu</t>
  </si>
  <si>
    <t>Saliba</t>
  </si>
  <si>
    <t>White</t>
  </si>
  <si>
    <t>Martinelli</t>
  </si>
  <si>
    <t>Nketiah</t>
  </si>
  <si>
    <t>Gabriel</t>
  </si>
  <si>
    <t>Fábio Vieira</t>
  </si>
  <si>
    <t>Digne</t>
  </si>
  <si>
    <t>Douglas Luiz</t>
  </si>
  <si>
    <t>McGinn</t>
  </si>
  <si>
    <t>Konsa</t>
  </si>
  <si>
    <t>Watkins</t>
  </si>
  <si>
    <t>Bailey</t>
  </si>
  <si>
    <t>Cash</t>
  </si>
  <si>
    <t>Martinez</t>
  </si>
  <si>
    <t>Diaby</t>
  </si>
  <si>
    <t>Pau</t>
  </si>
  <si>
    <t>Billing</t>
  </si>
  <si>
    <t>Solanke</t>
  </si>
  <si>
    <t>Kelly</t>
  </si>
  <si>
    <t>Christie</t>
  </si>
  <si>
    <t>Tavernier</t>
  </si>
  <si>
    <t>Neto</t>
  </si>
  <si>
    <t>Semenyo</t>
  </si>
  <si>
    <t>Maupay</t>
  </si>
  <si>
    <t>Nørgaard</t>
  </si>
  <si>
    <t>Pinnock</t>
  </si>
  <si>
    <t>Janelt</t>
  </si>
  <si>
    <t>Mbeumo</t>
  </si>
  <si>
    <t>Ajer</t>
  </si>
  <si>
    <t>Wissa</t>
  </si>
  <si>
    <t>Jensen</t>
  </si>
  <si>
    <t>Collins</t>
  </si>
  <si>
    <t>Hickey</t>
  </si>
  <si>
    <t>Flekken</t>
  </si>
  <si>
    <t>Gross</t>
  </si>
  <si>
    <t>Gilmour</t>
  </si>
  <si>
    <t>João Pedro</t>
  </si>
  <si>
    <t>Steele</t>
  </si>
  <si>
    <t>Ferguson</t>
  </si>
  <si>
    <t>Mitoma</t>
  </si>
  <si>
    <t>Adingra</t>
  </si>
  <si>
    <t>Taylor</t>
  </si>
  <si>
    <t>Berge</t>
  </si>
  <si>
    <t>Brownhill</t>
  </si>
  <si>
    <t>Koleosho</t>
  </si>
  <si>
    <t>Trafford</t>
  </si>
  <si>
    <t>Sterling</t>
  </si>
  <si>
    <t>Gallagher</t>
  </si>
  <si>
    <t>Sanchez</t>
  </si>
  <si>
    <t>Palmer</t>
  </si>
  <si>
    <t>T.Silva</t>
  </si>
  <si>
    <t>Colwill</t>
  </si>
  <si>
    <t>Mudryk</t>
  </si>
  <si>
    <t>N.Jackson</t>
  </si>
  <si>
    <t>Schlupp</t>
  </si>
  <si>
    <t>Hughes</t>
  </si>
  <si>
    <t>Ward</t>
  </si>
  <si>
    <t>J.Ayew</t>
  </si>
  <si>
    <t>Mitchell</t>
  </si>
  <si>
    <t>Eze</t>
  </si>
  <si>
    <t>Johnstone</t>
  </si>
  <si>
    <t>Andersen</t>
  </si>
  <si>
    <t>Guéhi</t>
  </si>
  <si>
    <t>Edouard</t>
  </si>
  <si>
    <t>Lerma</t>
  </si>
  <si>
    <t>A.Doucoure</t>
  </si>
  <si>
    <t>Gana</t>
  </si>
  <si>
    <t>Tarkowski</t>
  </si>
  <si>
    <t>Pickford</t>
  </si>
  <si>
    <t>Calvert-Lewin</t>
  </si>
  <si>
    <t>McNeil</t>
  </si>
  <si>
    <t>Garner</t>
  </si>
  <si>
    <t>Branthwaite</t>
  </si>
  <si>
    <t>Harrison</t>
  </si>
  <si>
    <t>Mykolenko</t>
  </si>
  <si>
    <t>Onana</t>
  </si>
  <si>
    <t>Iwobi</t>
  </si>
  <si>
    <t>Diop</t>
  </si>
  <si>
    <t>Leno</t>
  </si>
  <si>
    <t>Ream</t>
  </si>
  <si>
    <t>Wilson</t>
  </si>
  <si>
    <t>Castagne</t>
  </si>
  <si>
    <t>Robinson</t>
  </si>
  <si>
    <t>J.Palhinha</t>
  </si>
  <si>
    <t>Andreas</t>
  </si>
  <si>
    <t>De Cordova-Reid</t>
  </si>
  <si>
    <t>Willian</t>
  </si>
  <si>
    <t>A.Becker</t>
  </si>
  <si>
    <t>Robertson</t>
  </si>
  <si>
    <t>Salah</t>
  </si>
  <si>
    <t>Alexander-Arnold</t>
  </si>
  <si>
    <t>Virgil</t>
  </si>
  <si>
    <t>Mac Allister</t>
  </si>
  <si>
    <t>Konaté</t>
  </si>
  <si>
    <t>Luis Díaz</t>
  </si>
  <si>
    <t>Darwin</t>
  </si>
  <si>
    <t>Diogo J.</t>
  </si>
  <si>
    <t>Gakpo</t>
  </si>
  <si>
    <t>Szoboszlai</t>
  </si>
  <si>
    <t>Kaminski</t>
  </si>
  <si>
    <t>Morris</t>
  </si>
  <si>
    <t>Ederson M.</t>
  </si>
  <si>
    <t>Walker</t>
  </si>
  <si>
    <t>Aké</t>
  </si>
  <si>
    <t>Foden</t>
  </si>
  <si>
    <t>Rodrigo</t>
  </si>
  <si>
    <t>Haaland</t>
  </si>
  <si>
    <t>Bernardo</t>
  </si>
  <si>
    <t>J.Alvarez</t>
  </si>
  <si>
    <t>Rúben</t>
  </si>
  <si>
    <t>Akanji</t>
  </si>
  <si>
    <t>Wan-Bissaka</t>
  </si>
  <si>
    <t>Eriksen</t>
  </si>
  <si>
    <t>Maguire</t>
  </si>
  <si>
    <t>Rashford</t>
  </si>
  <si>
    <t>McTominay</t>
  </si>
  <si>
    <t>Lindelof</t>
  </si>
  <si>
    <t>Martial</t>
  </si>
  <si>
    <t>R.Varane</t>
  </si>
  <si>
    <t>B.Fernandes</t>
  </si>
  <si>
    <t>Dalot</t>
  </si>
  <si>
    <t>Garnacho</t>
  </si>
  <si>
    <t>Casemiro</t>
  </si>
  <si>
    <t>Trippier</t>
  </si>
  <si>
    <t>Schär</t>
  </si>
  <si>
    <t>Longstaff</t>
  </si>
  <si>
    <t>Burn</t>
  </si>
  <si>
    <t>Joelinton</t>
  </si>
  <si>
    <t>Pope</t>
  </si>
  <si>
    <t>Gordon</t>
  </si>
  <si>
    <t>Anderson</t>
  </si>
  <si>
    <t>Bruno G.</t>
  </si>
  <si>
    <t>Almirón</t>
  </si>
  <si>
    <t>Isak</t>
  </si>
  <si>
    <t>Wood</t>
  </si>
  <si>
    <t>Gibbs-White</t>
  </si>
  <si>
    <t>Boly</t>
  </si>
  <si>
    <t>Elanga</t>
  </si>
  <si>
    <t>Mangala</t>
  </si>
  <si>
    <t>Awoniyi</t>
  </si>
  <si>
    <t>Toffolo</t>
  </si>
  <si>
    <t>Norwood</t>
  </si>
  <si>
    <t>Archer</t>
  </si>
  <si>
    <t>Hamer</t>
  </si>
  <si>
    <t>Maddison</t>
  </si>
  <si>
    <t>Richarlison</t>
  </si>
  <si>
    <t>Romero</t>
  </si>
  <si>
    <t>Johnson</t>
  </si>
  <si>
    <t>Son</t>
  </si>
  <si>
    <t>Sarr</t>
  </si>
  <si>
    <t>Pedro Porro</t>
  </si>
  <si>
    <t>Vicario</t>
  </si>
  <si>
    <t>Antonio</t>
  </si>
  <si>
    <t>Ward-Prowse</t>
  </si>
  <si>
    <t>Zouma</t>
  </si>
  <si>
    <t>Bowen</t>
  </si>
  <si>
    <t>Areola</t>
  </si>
  <si>
    <t>L.Paquetá</t>
  </si>
  <si>
    <t>Souček</t>
  </si>
  <si>
    <t>Lemina</t>
  </si>
  <si>
    <t>José Sá</t>
  </si>
  <si>
    <t>Hee Chan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</si>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</sst>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6" totalsRowShown="0">
  <autoFilter ref="A1:F16" xr:uid="{00000000-0009-0000-0100-000001000000}"/>
  <tableColumns count="6">
    <tableColumn id="1" xr3:uid="{00000000-0010-0000-0000-000001000000}" name="Name"/>
    <tableColumn id="2" xr3:uid="{00000000-0010-0000-0000-000002000000}" name="ARIMAPP"/>
    <tableColumn id="3" xr3:uid="{00000000-0010-0000-0000-000003000000}" name="LSTMPP"/>
    <tableColumn id="4" xr3:uid="{00000000-0010-0000-0000-000004000000}" name="PP">
      <calculatedColumnFormula>TableARS[[#This Row],[ARIMAPP]]*$I$2+TableARS[[#This Row],[LSTMPP]]*$I$3</calculatedColumnFormula>
    </tableColumn>
    <tableColumn id="5" xr3:uid="{00000000-0010-0000-0000-000005000000}" name="AP"/>
    <tableColumn id="6" xr3:uid="{00000000-0010-0000-0000-000006000000}" name="DIFF">
      <calculatedColumnFormula>ABS(TableARS[[#This Row],[PP]]-TableARS[[#This Row],[AP]])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1" totalsRowShown="0">
  <autoFilter ref="A1:F11" xr:uid="{00000000-0009-0000-0100-000002000000}"/>
  <tableColumns count="6">
    <tableColumn id="1" xr3:uid="{00000000-0010-0000-0100-000001000000}" name="Name"/>
    <tableColumn id="2" xr3:uid="{00000000-0010-0000-0100-000002000000}" name="ARIMAPP"/>
    <tableColumn id="3" xr3:uid="{00000000-0010-0000-0100-000003000000}" name="LSTMPP"/>
    <tableColumn id="4" xr3:uid="{00000000-0010-0000-0100-000004000000}" name="PP">
      <calculatedColumnFormula>TableAVL[[#This Row],[ARIMAPP]]*$I$2+TableAVL[[#This Row],[LSTMPP]]*$I$3</calculatedColumnFormula>
    </tableColumn>
    <tableColumn id="5" xr3:uid="{00000000-0010-0000-0100-000005000000}" name="AP"/>
    <tableColumn id="6" xr3:uid="{00000000-0010-0000-0100-000006000000}" name="DIFF">
      <calculatedColumnFormula>ABS(TableAVL[[#This Row],[PP]]-TableAVL[[#This Row],[AP]])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8" totalsRowShown="0">
  <autoFilter ref="A1:F8" xr:uid="{00000000-0009-0000-0100-000003000000}"/>
  <tableColumns count="6">
    <tableColumn id="1" xr3:uid="{00000000-0010-0000-0200-000001000000}" name="Name"/>
    <tableColumn id="2" xr3:uid="{00000000-0010-0000-0200-000002000000}" name="ARIMAPP"/>
    <tableColumn id="3" xr3:uid="{00000000-0010-0000-0200-000003000000}" name="LSTMPP"/>
    <tableColumn id="4" xr3:uid="{00000000-0010-0000-0200-000004000000}" name="PP">
      <calculatedColumnFormula>TableBOU[[#This Row],[ARIMAPP]]*$I$2+TableBOU[[#This Row],[LSTMPP]]*$I$3</calculatedColumnFormula>
    </tableColumn>
    <tableColumn id="5" xr3:uid="{00000000-0010-0000-0200-000005000000}" name="AP"/>
    <tableColumn id="6" xr3:uid="{00000000-0010-0000-0200-000006000000}" name="DIFF">
      <calculatedColumnFormula>ABS(TableBOU[[#This Row],[PP]]-TableBOU[[#This Row],[AP]])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2" totalsRowShown="0">
  <autoFilter ref="A1:F12" xr:uid="{00000000-0009-0000-0100-000004000000}"/>
  <tableColumns count="6">
    <tableColumn id="1" xr3:uid="{00000000-0010-0000-0300-000001000000}" name="Name"/>
    <tableColumn id="2" xr3:uid="{00000000-0010-0000-0300-000002000000}" name="ARIMAPP"/>
    <tableColumn id="3" xr3:uid="{00000000-0010-0000-0300-000003000000}" name="LSTMPP"/>
    <tableColumn id="4" xr3:uid="{00000000-0010-0000-0300-000004000000}" name="PP">
      <calculatedColumnFormula>TableBRE[[#This Row],[ARIMAPP]]*$I$2+TableBRE[[#This Row],[LSTMPP]]*$I$3</calculatedColumnFormula>
    </tableColumn>
    <tableColumn id="5" xr3:uid="{00000000-0010-0000-0300-000005000000}" name="AP"/>
    <tableColumn id="6" xr3:uid="{00000000-0010-0000-0300-000006000000}" name="DIFF">
      <calculatedColumnFormula>ABS(TableBRE[[#This Row],[PP]]-TableBRE[[#This Row],[AP]])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8" totalsRowShown="0">
  <autoFilter ref="A1:F8" xr:uid="{00000000-0009-0000-0100-000005000000}"/>
  <tableColumns count="6">
    <tableColumn id="1" xr3:uid="{00000000-0010-0000-0400-000001000000}" name="Name"/>
    <tableColumn id="2" xr3:uid="{00000000-0010-0000-0400-000002000000}" name="ARIMAPP"/>
    <tableColumn id="3" xr3:uid="{00000000-0010-0000-0400-000003000000}" name="LSTMPP"/>
    <tableColumn id="4" xr3:uid="{00000000-0010-0000-0400-000004000000}" name="PP">
      <calculatedColumnFormula>TableBHA[[#This Row],[ARIMAPP]]*$I$2+TableBHA[[#This Row],[LSTMPP]]*$I$3</calculatedColumnFormula>
    </tableColumn>
    <tableColumn id="5" xr3:uid="{00000000-0010-0000-0400-000005000000}" name="AP"/>
    <tableColumn id="6" xr3:uid="{00000000-0010-0000-0400-000006000000}" name="DIFF">
      <calculatedColumnFormula>ABS(TableBHA[[#This Row],[PP]]-TableBHA[[#This Row],[AP]])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BUR" displayName="TableBUR" ref="A1:F6" totalsRowShown="0">
  <autoFilter ref="A1:F6" xr:uid="{00000000-0009-0000-0100-000006000000}"/>
  <tableColumns count="6">
    <tableColumn id="1" xr3:uid="{00000000-0010-0000-0500-000001000000}" name="Name"/>
    <tableColumn id="2" xr3:uid="{00000000-0010-0000-0500-000002000000}" name="ARIMAPP"/>
    <tableColumn id="3" xr3:uid="{00000000-0010-0000-0500-000003000000}" name="LSTMPP"/>
    <tableColumn id="4" xr3:uid="{00000000-0010-0000-0500-000004000000}" name="PP">
      <calculatedColumnFormula>TableBUR[[#This Row],[ARIMAPP]]*$I$2+TableBUR[[#This Row],[LSTMPP]]*$I$3</calculatedColumnFormula>
    </tableColumn>
    <tableColumn id="5" xr3:uid="{00000000-0010-0000-0500-000005000000}" name="AP"/>
    <tableColumn id="6" xr3:uid="{00000000-0010-0000-0500-000006000000}" name="DIFF">
      <calculatedColumnFormula>ABS(TableBUR[[#This Row],[PP]]-TableBUR[[#This Row],[AP]])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HE" displayName="TableCHE" ref="A1:F9" totalsRowShown="0">
  <autoFilter ref="A1:F9" xr:uid="{00000000-0009-0000-0100-000007000000}"/>
  <tableColumns count="6">
    <tableColumn id="1" xr3:uid="{00000000-0010-0000-0600-000001000000}" name="Name"/>
    <tableColumn id="2" xr3:uid="{00000000-0010-0000-0600-000002000000}" name="ARIMAPP"/>
    <tableColumn id="3" xr3:uid="{00000000-0010-0000-0600-000003000000}" name="LSTMPP"/>
    <tableColumn id="4" xr3:uid="{00000000-0010-0000-0600-000004000000}" name="PP">
      <calculatedColumnFormula>TableCHE[[#This Row],[ARIMAPP]]*$I$2+TableCHE[[#This Row],[LSTMPP]]*$I$3</calculatedColumnFormula>
    </tableColumn>
    <tableColumn id="5" xr3:uid="{00000000-0010-0000-0600-000005000000}" name="AP"/>
    <tableColumn id="6" xr3:uid="{00000000-0010-0000-0600-000006000000}" name="DIFF">
      <calculatedColumnFormula>ABS(TableCHE[[#This Row],[PP]]-TableCHE[[#This Row],[AP]])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CRY" displayName="TableCRY" ref="A1:F12" totalsRowShown="0">
  <autoFilter ref="A1:F12" xr:uid="{00000000-0009-0000-0100-000008000000}"/>
  <tableColumns count="6">
    <tableColumn id="1" xr3:uid="{00000000-0010-0000-0700-000001000000}" name="Name"/>
    <tableColumn id="2" xr3:uid="{00000000-0010-0000-0700-000002000000}" name="ARIMAPP"/>
    <tableColumn id="3" xr3:uid="{00000000-0010-0000-0700-000003000000}" name="LSTMPP"/>
    <tableColumn id="4" xr3:uid="{00000000-0010-0000-0700-000004000000}" name="PP">
      <calculatedColumnFormula>TableCRY[[#This Row],[ARIMAPP]]*$I$2+TableCRY[[#This Row],[LSTMPP]]*$I$3</calculatedColumnFormula>
    </tableColumn>
    <tableColumn id="5" xr3:uid="{00000000-0010-0000-0700-000005000000}" name="AP"/>
    <tableColumn id="6" xr3:uid="{00000000-0010-0000-0700-000006000000}" name="DIFF">
      <calculatedColumnFormula>ABS(TableCRY[[#This Row],[PP]]-TableCRY[[#This Row],[AP]])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EVE" displayName="TableEVE" ref="A1:F12" totalsRowShown="0">
  <autoFilter ref="A1:F12" xr:uid="{00000000-0009-0000-0100-000009000000}"/>
  <tableColumns count="6">
    <tableColumn id="1" xr3:uid="{00000000-0010-0000-0800-000001000000}" name="Name"/>
    <tableColumn id="2" xr3:uid="{00000000-0010-0000-0800-000002000000}" name="ARIMAPP"/>
    <tableColumn id="3" xr3:uid="{00000000-0010-0000-0800-000003000000}" name="LSTMPP"/>
    <tableColumn id="4" xr3:uid="{00000000-0010-0000-0800-000004000000}" name="PP">
      <calculatedColumnFormula>TableEVE[[#This Row],[ARIMAPP]]*$I$2+TableEVE[[#This Row],[LSTMPP]]*$I$3</calculatedColumnFormula>
    </tableColumn>
    <tableColumn id="5" xr3:uid="{00000000-0010-0000-0800-000005000000}" name="AP"/>
    <tableColumn id="6" xr3:uid="{00000000-0010-0000-0800-000006000000}" name="DIFF">
      <calculatedColumnFormula>ABS(TableEVE[[#This Row],[PP]]-TableEVE[[#This Row],[AP]])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FUL" displayName="TableFUL" ref="A1:F12" totalsRowShown="0">
  <autoFilter ref="A1:F12" xr:uid="{00000000-0009-0000-0100-00000A000000}"/>
  <tableColumns count="6">
    <tableColumn id="1" xr3:uid="{00000000-0010-0000-0900-000001000000}" name="Name"/>
    <tableColumn id="2" xr3:uid="{00000000-0010-0000-0900-000002000000}" name="ARIMAPP"/>
    <tableColumn id="3" xr3:uid="{00000000-0010-0000-0900-000003000000}" name="LSTMPP"/>
    <tableColumn id="4" xr3:uid="{00000000-0010-0000-0900-000004000000}" name="PP">
      <calculatedColumnFormula>TableFUL[[#This Row],[ARIMAPP]]*$I$2+TableFUL[[#This Row],[LSTMPP]]*$I$3</calculatedColumnFormula>
    </tableColumn>
    <tableColumn id="5" xr3:uid="{00000000-0010-0000-0900-000005000000}" name="AP"/>
    <tableColumn id="6" xr3:uid="{00000000-0010-0000-0900-000006000000}" name="DIFF">
      <calculatedColumnFormula>ABS(TableFUL[[#This Row],[PP]]-TableFUL[[#This Row],[AP]])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IV" displayName="TableLIV" ref="A1:F13" totalsRowShown="0">
  <autoFilter ref="A1:F13" xr:uid="{00000000-0009-0000-0100-00000B000000}"/>
  <tableColumns count="6">
    <tableColumn id="1" xr3:uid="{00000000-0010-0000-0A00-000001000000}" name="Name"/>
    <tableColumn id="2" xr3:uid="{00000000-0010-0000-0A00-000002000000}" name="ARIMAPP"/>
    <tableColumn id="3" xr3:uid="{00000000-0010-0000-0A00-000003000000}" name="LSTMPP"/>
    <tableColumn id="4" xr3:uid="{00000000-0010-0000-0A00-000004000000}" name="PP">
      <calculatedColumnFormula>TableLIV[[#This Row],[ARIMAPP]]*$I$2+TableLIV[[#This Row],[LSTMPP]]*$I$3</calculatedColumnFormula>
    </tableColumn>
    <tableColumn id="5" xr3:uid="{00000000-0010-0000-0A00-000005000000}" name="AP"/>
    <tableColumn id="6" xr3:uid="{00000000-0010-0000-0A00-000006000000}" name="DIFF">
      <calculatedColumnFormula>ABS(TableLIV[[#This Row],[PP]]-TableLIV[[#This Row],[AP]])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UT" displayName="TableLUT" ref="A1:F3" totalsRowShown="0">
  <autoFilter ref="A1:F3" xr:uid="{00000000-0009-0000-0100-00000C000000}"/>
  <tableColumns count="6">
    <tableColumn id="1" xr3:uid="{00000000-0010-0000-0B00-000001000000}" name="Name"/>
    <tableColumn id="2" xr3:uid="{00000000-0010-0000-0B00-000002000000}" name="ARIMAPP"/>
    <tableColumn id="3" xr3:uid="{00000000-0010-0000-0B00-000003000000}" name="LSTMPP"/>
    <tableColumn id="4" xr3:uid="{00000000-0010-0000-0B00-000004000000}" name="PP">
      <calculatedColumnFormula>TableLUT[[#This Row],[ARIMAPP]]*$I$2+TableLUT[[#This Row],[LSTMPP]]*$I$3</calculatedColumnFormula>
    </tableColumn>
    <tableColumn id="5" xr3:uid="{00000000-0010-0000-0B00-000005000000}" name="AP"/>
    <tableColumn id="6" xr3:uid="{00000000-0010-0000-0B00-000006000000}" name="DIFF">
      <calculatedColumnFormula>ABS(TableLUT[[#This Row],[PP]]-TableLUT[[#This Row],[AP]])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1" totalsRowShown="0">
  <autoFilter ref="A1:F11" xr:uid="{00000000-0009-0000-0100-00000D000000}"/>
  <tableColumns count="6">
    <tableColumn id="1" xr3:uid="{00000000-0010-0000-0C00-000001000000}" name="Name"/>
    <tableColumn id="2" xr3:uid="{00000000-0010-0000-0C00-000002000000}" name="ARIMAPP"/>
    <tableColumn id="3" xr3:uid="{00000000-0010-0000-0C00-000003000000}" name="LSTMPP"/>
    <tableColumn id="4" xr3:uid="{00000000-0010-0000-0C00-000004000000}" name="PP">
      <calculatedColumnFormula>TableMCI[[#This Row],[ARIMAPP]]*$I$2+TableMCI[[#This Row],[LSTMPP]]*$I$3</calculatedColumnFormula>
    </tableColumn>
    <tableColumn id="5" xr3:uid="{00000000-0010-0000-0C00-000005000000}" name="AP"/>
    <tableColumn id="6" xr3:uid="{00000000-0010-0000-0C00-000006000000}" name="DIFF">
      <calculatedColumnFormula>ABS(TableMCI[[#This Row],[PP]]-TableMCI[[#This Row],[AP]])</calculatedColumnFormula>
    </tableColumn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13" totalsRowShown="0">
  <autoFilter ref="A1:F13" xr:uid="{00000000-0009-0000-0100-00000E000000}"/>
  <tableColumns count="6">
    <tableColumn id="1" xr3:uid="{00000000-0010-0000-0D00-000001000000}" name="Name"/>
    <tableColumn id="2" xr3:uid="{00000000-0010-0000-0D00-000002000000}" name="ARIMAPP"/>
    <tableColumn id="3" xr3:uid="{00000000-0010-0000-0D00-000003000000}" name="LSTMPP"/>
    <tableColumn id="4" xr3:uid="{00000000-0010-0000-0D00-000004000000}" name="PP">
      <calculatedColumnFormula>TableMUN[[#This Row],[ARIMAPP]]*$I$2+TableMUN[[#This Row],[LSTMPP]]*$I$3</calculatedColumnFormula>
    </tableColumn>
    <tableColumn id="5" xr3:uid="{00000000-0010-0000-0D00-000005000000}" name="AP"/>
    <tableColumn id="6" xr3:uid="{00000000-0010-0000-0D00-000006000000}" name="DIFF">
      <calculatedColumnFormula>ABS(TableMUN[[#This Row],[PP]]-TableMUN[[#This Row],[AP]])</calculatedColumnFormula>
    </tableColumn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3" totalsRowShown="0">
  <autoFilter ref="A1:F13" xr:uid="{00000000-0009-0000-0100-00000F000000}"/>
  <tableColumns count="6">
    <tableColumn id="1" xr3:uid="{00000000-0010-0000-0E00-000001000000}" name="Name"/>
    <tableColumn id="2" xr3:uid="{00000000-0010-0000-0E00-000002000000}" name="ARIMAPP"/>
    <tableColumn id="3" xr3:uid="{00000000-0010-0000-0E00-000003000000}" name="LSTMPP"/>
    <tableColumn id="4" xr3:uid="{00000000-0010-0000-0E00-000004000000}" name="PP">
      <calculatedColumnFormula>TableNEW[[#This Row],[ARIMAPP]]*$I$2+TableNEW[[#This Row],[LSTMPP]]*$I$3</calculatedColumnFormula>
    </tableColumn>
    <tableColumn id="5" xr3:uid="{00000000-0010-0000-0E00-000005000000}" name="AP"/>
    <tableColumn id="6" xr3:uid="{00000000-0010-0000-0E00-000006000000}" name="DIFF">
      <calculatedColumnFormula>ABS(TableNEW[[#This Row],[PP]]-TableNEW[[#This Row],[AP]])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8" totalsRowShown="0">
  <autoFilter ref="A1:F8" xr:uid="{00000000-0009-0000-0100-000010000000}"/>
  <tableColumns count="6">
    <tableColumn id="1" xr3:uid="{00000000-0010-0000-0F00-000001000000}" name="Name"/>
    <tableColumn id="2" xr3:uid="{00000000-0010-0000-0F00-000002000000}" name="ARIMAPP"/>
    <tableColumn id="3" xr3:uid="{00000000-0010-0000-0F00-000003000000}" name="LSTMPP"/>
    <tableColumn id="4" xr3:uid="{00000000-0010-0000-0F00-000004000000}" name="PP">
      <calculatedColumnFormula>TableNFO[[#This Row],[ARIMAPP]]*$I$2+TableNFO[[#This Row],[LSTMPP]]*$I$3</calculatedColumnFormula>
    </tableColumn>
    <tableColumn id="5" xr3:uid="{00000000-0010-0000-0F00-000005000000}" name="AP"/>
    <tableColumn id="6" xr3:uid="{00000000-0010-0000-0F00-000006000000}" name="DIFF">
      <calculatedColumnFormula>ABS(TableNFO[[#This Row],[PP]]-TableNFO[[#This Row],[AP]])</calculatedColumnFormula>
    </tableColumn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HU" displayName="TableSHU" ref="A1:F4" totalsRowShown="0">
  <autoFilter ref="A1:F4" xr:uid="{00000000-0009-0000-0100-000011000000}"/>
  <tableColumns count="6">
    <tableColumn id="1" xr3:uid="{00000000-0010-0000-1000-000001000000}" name="Name"/>
    <tableColumn id="2" xr3:uid="{00000000-0010-0000-1000-000002000000}" name="ARIMAPP"/>
    <tableColumn id="3" xr3:uid="{00000000-0010-0000-1000-000003000000}" name="LSTMPP"/>
    <tableColumn id="4" xr3:uid="{00000000-0010-0000-1000-000004000000}" name="PP">
      <calculatedColumnFormula>TableSHU[[#This Row],[ARIMAPP]]*$I$2+TableSHU[[#This Row],[LSTMPP]]*$I$3</calculatedColumnFormula>
    </tableColumn>
    <tableColumn id="5" xr3:uid="{00000000-0010-0000-1000-000005000000}" name="AP"/>
    <tableColumn id="6" xr3:uid="{00000000-0010-0000-1000-000006000000}" name="DIFF">
      <calculatedColumnFormula>ABS(TableSHU[[#This Row],[PP]]-TableSHU[[#This Row],[AP]])</calculatedColumnFormula>
    </tableColumn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9" totalsRowShown="0">
  <autoFilter ref="A1:F9" xr:uid="{00000000-0009-0000-0100-000012000000}"/>
  <tableColumns count="6">
    <tableColumn id="1" xr3:uid="{00000000-0010-0000-1100-000001000000}" name="Name"/>
    <tableColumn id="2" xr3:uid="{00000000-0010-0000-1100-000002000000}" name="ARIMAPP"/>
    <tableColumn id="3" xr3:uid="{00000000-0010-0000-1100-000003000000}" name="LSTMPP"/>
    <tableColumn id="4" xr3:uid="{00000000-0010-0000-1100-000004000000}" name="PP">
      <calculatedColumnFormula>TableTOT[[#This Row],[ARIMAPP]]*$I$2+TableTOT[[#This Row],[LSTMPP]]*$I$3</calculatedColumnFormula>
    </tableColumn>
    <tableColumn id="5" xr3:uid="{00000000-0010-0000-1100-000005000000}" name="AP"/>
    <tableColumn id="6" xr3:uid="{00000000-0010-0000-1100-000006000000}" name="DIFF">
      <calculatedColumnFormula>ABS(TableTOT[[#This Row],[PP]]-TableTOT[[#This Row],[AP]])</calculatedColumnFormula>
    </tableColumn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8" totalsRowShown="0">
  <autoFilter ref="A1:F8" xr:uid="{00000000-0009-0000-0100-000013000000}"/>
  <tableColumns count="6">
    <tableColumn id="1" xr3:uid="{00000000-0010-0000-1200-000001000000}" name="Name"/>
    <tableColumn id="2" xr3:uid="{00000000-0010-0000-1200-000002000000}" name="ARIMAPP"/>
    <tableColumn id="3" xr3:uid="{00000000-0010-0000-1200-000003000000}" name="LSTMPP"/>
    <tableColumn id="4" xr3:uid="{00000000-0010-0000-1200-000004000000}" name="PP">
      <calculatedColumnFormula>TableWHU[[#This Row],[ARIMAPP]]*$I$2+TableWHU[[#This Row],[LSTMPP]]*$I$3</calculatedColumnFormula>
    </tableColumn>
    <tableColumn id="5" xr3:uid="{00000000-0010-0000-1200-000005000000}" name="AP"/>
    <tableColumn id="6" xr3:uid="{00000000-0010-0000-1200-000006000000}" name="DIFF">
      <calculatedColumnFormula>ABS(TableWHU[[#This Row],[PP]]-TableWHU[[#This Row],[AP]])</calculatedColumnFormula>
    </tableColumn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6" totalsRowShown="0">
  <autoFilter ref="A1:F6" xr:uid="{00000000-0009-0000-0100-000014000000}"/>
  <tableColumns count="6">
    <tableColumn id="1" xr3:uid="{00000000-0010-0000-1300-000001000000}" name="Name"/>
    <tableColumn id="2" xr3:uid="{00000000-0010-0000-1300-000002000000}" name="ARIMAPP"/>
    <tableColumn id="3" xr3:uid="{00000000-0010-0000-1300-000003000000}" name="LSTMPP"/>
    <tableColumn id="4" xr3:uid="{00000000-0010-0000-1300-000004000000}" name="PP">
      <calculatedColumnFormula>TableWOL[[#This Row],[ARIMAPP]]*$I$2+TableWOL[[#This Row],[LSTMPP]]*$I$3</calculatedColumnFormula>
    </tableColumn>
    <tableColumn id="5" xr3:uid="{00000000-0010-0000-1300-000005000000}" name="AP"/>
    <tableColumn id="6" xr3:uid="{00000000-0010-0000-1300-000006000000}" name="DIFF">
      <calculatedColumnFormula>ABS(TableWOL[[#This Row],[PP]]-TableWOL[[#This Row],[AP]])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</v>
      </c>
      <c r="B2">
        <v>26.98782134939184</v>
      </c>
      <c r="C2">
        <v>27.907801418439711</v>
      </c>
      <c r="D2">
        <f>TableARS[[#This Row],[ARIMAPP]]*$I$2+TableARS[[#This Row],[LSTMPP]]*$I$3</f>
        <v>30.361889667445556</v>
      </c>
      <c r="E2">
        <v>34</v>
      </c>
      <c r="F2">
        <f>ABS(TableARS[[#This Row],[PP]]-TableARS[[#This Row],[AP]])</f>
        <v>3.6381103325544437</v>
      </c>
      <c r="H2" t="s">
        <v>0</v>
      </c>
      <c r="I2">
        <v>0.567121649119392</v>
      </c>
    </row>
    <row r="3" spans="1:9" x14ac:dyDescent="0.2">
      <c r="A3" t="s">
        <v>11</v>
      </c>
      <c r="B3">
        <v>40.575539568345299</v>
      </c>
      <c r="C3">
        <v>40.563199239905998</v>
      </c>
      <c r="D3">
        <f>TableARS[[#This Row],[ARIMAPP]]*$I$2+TableARS[[#This Row],[LSTMPP]]*$I$3</f>
        <v>44.895480708323909</v>
      </c>
      <c r="E3">
        <v>34</v>
      </c>
      <c r="F3">
        <f>ABS(TableARS[[#This Row],[PP]]-TableARS[[#This Row],[AP]])</f>
        <v>10.895480708323909</v>
      </c>
      <c r="H3" t="s">
        <v>1</v>
      </c>
      <c r="I3">
        <v>0.53950906744271621</v>
      </c>
    </row>
    <row r="4" spans="1:9" x14ac:dyDescent="0.2">
      <c r="A4" t="s">
        <v>12</v>
      </c>
      <c r="B4">
        <v>31.978021978021971</v>
      </c>
      <c r="C4">
        <v>30.555555555555561</v>
      </c>
      <c r="D4">
        <f>TableARS[[#This Row],[ARIMAPP]]*$I$2+TableARS[[#This Row],[LSTMPP]]*$I$3</f>
        <v>34.620427842723871</v>
      </c>
      <c r="E4">
        <v>54</v>
      </c>
      <c r="F4">
        <f>ABS(TableARS[[#This Row],[PP]]-TableARS[[#This Row],[AP]])</f>
        <v>19.379572157276129</v>
      </c>
    </row>
    <row r="5" spans="1:9" x14ac:dyDescent="0.2">
      <c r="A5" t="s">
        <v>13</v>
      </c>
      <c r="B5">
        <v>52.56197246955545</v>
      </c>
      <c r="C5">
        <v>39.799262260735333</v>
      </c>
      <c r="D5">
        <f>TableARS[[#This Row],[ARIMAPP]]*$I$2+TableARS[[#This Row],[LSTMPP]]*$I$3</f>
        <v>51.281095375099781</v>
      </c>
      <c r="E5">
        <v>66</v>
      </c>
      <c r="F5">
        <f>ABS(TableARS[[#This Row],[PP]]-TableARS[[#This Row],[AP]])</f>
        <v>14.718904624900219</v>
      </c>
      <c r="H5" t="s">
        <v>2</v>
      </c>
      <c r="I5" cm="1">
        <f t="array" ref="I5">(SUM(TableARS[PP]-TableARS[AP]))^2</f>
        <v>2.1330798877176159E-27</v>
      </c>
    </row>
    <row r="6" spans="1:9" x14ac:dyDescent="0.2">
      <c r="A6" t="s">
        <v>14</v>
      </c>
      <c r="B6">
        <v>40.417951318126669</v>
      </c>
      <c r="C6">
        <v>40.41460944152184</v>
      </c>
      <c r="D6">
        <f>TableARS[[#This Row],[ARIMAPP]]*$I$2+TableARS[[#This Row],[LSTMPP]]*$I$3</f>
        <v>44.725943456420339</v>
      </c>
      <c r="E6">
        <v>40</v>
      </c>
      <c r="F6">
        <f>ABS(TableARS[[#This Row],[PP]]-TableARS[[#This Row],[AP]])</f>
        <v>4.7259434564203389</v>
      </c>
    </row>
    <row r="7" spans="1:9" x14ac:dyDescent="0.2">
      <c r="A7" t="s">
        <v>15</v>
      </c>
      <c r="B7">
        <v>32.222222222222207</v>
      </c>
      <c r="C7">
        <v>33.819642801302493</v>
      </c>
      <c r="D7">
        <f>TableARS[[#This Row],[ARIMAPP]]*$I$2+TableARS[[#This Row],[LSTMPP]]*$I$3</f>
        <v>36.519923753934663</v>
      </c>
      <c r="E7">
        <v>25</v>
      </c>
      <c r="F7">
        <f>ABS(TableARS[[#This Row],[PP]]-TableARS[[#This Row],[AP]])</f>
        <v>11.519923753934663</v>
      </c>
      <c r="H7" t="s">
        <v>3</v>
      </c>
      <c r="I7">
        <f>AVERAGE(TableARS[DIFF])/10</f>
        <v>0.82401692234602142</v>
      </c>
    </row>
    <row r="8" spans="1:9" x14ac:dyDescent="0.2">
      <c r="A8" t="s">
        <v>16</v>
      </c>
      <c r="B8">
        <v>53.119496321097223</v>
      </c>
      <c r="C8">
        <v>44.598696000146631</v>
      </c>
      <c r="D8">
        <f>TableARS[[#This Row],[ARIMAPP]]*$I$2+TableARS[[#This Row],[LSTMPP]]*$I$3</f>
        <v>54.186617242212442</v>
      </c>
      <c r="E8">
        <v>59</v>
      </c>
      <c r="F8">
        <f>ABS(TableARS[[#This Row],[PP]]-TableARS[[#This Row],[AP]])</f>
        <v>4.8133827577875579</v>
      </c>
    </row>
    <row r="9" spans="1:9" x14ac:dyDescent="0.2">
      <c r="A9" t="s">
        <v>17</v>
      </c>
      <c r="B9">
        <v>41.69491525423728</v>
      </c>
      <c r="C9">
        <v>35.212765957446813</v>
      </c>
      <c r="D9">
        <f>TableARS[[#This Row],[ARIMAPP]]*$I$2+TableARS[[#This Row],[LSTMPP]]*$I$3</f>
        <v>42.643695622657091</v>
      </c>
      <c r="E9">
        <v>43</v>
      </c>
      <c r="F9">
        <f>ABS(TableARS[[#This Row],[PP]]-TableARS[[#This Row],[AP]])</f>
        <v>0.35630437734290865</v>
      </c>
    </row>
    <row r="10" spans="1:9" x14ac:dyDescent="0.2">
      <c r="A10" t="s">
        <v>18</v>
      </c>
      <c r="B10">
        <v>15.8265845102394</v>
      </c>
      <c r="C10">
        <v>28.382352941176482</v>
      </c>
      <c r="D10">
        <f>TableARS[[#This Row],[ARIMAPP]]*$I$2+TableARS[[#This Row],[LSTMPP]]*$I$3</f>
        <v>24.288135474498553</v>
      </c>
      <c r="E10">
        <v>34</v>
      </c>
      <c r="F10">
        <f>ABS(TableARS[[#This Row],[PP]]-TableARS[[#This Row],[AP]])</f>
        <v>9.7118645255014471</v>
      </c>
    </row>
    <row r="11" spans="1:9" x14ac:dyDescent="0.2">
      <c r="A11" t="s">
        <v>19</v>
      </c>
      <c r="B11">
        <v>44.222744829418119</v>
      </c>
      <c r="C11">
        <v>35.65217391304347</v>
      </c>
      <c r="D11">
        <f>TableARS[[#This Row],[ARIMAPP]]*$I$2+TableARS[[#This Row],[LSTMPP]]*$I$3</f>
        <v>44.314347076377288</v>
      </c>
      <c r="E11">
        <v>46</v>
      </c>
      <c r="F11">
        <f>ABS(TableARS[[#This Row],[PP]]-TableARS[[#This Row],[AP]])</f>
        <v>1.6856529236227118</v>
      </c>
    </row>
    <row r="12" spans="1:9" x14ac:dyDescent="0.2">
      <c r="A12" t="s">
        <v>20</v>
      </c>
      <c r="B12">
        <v>40.698805494965541</v>
      </c>
      <c r="C12">
        <v>35.817699519173438</v>
      </c>
      <c r="D12">
        <f>TableARS[[#This Row],[ARIMAPP]]*$I$2+TableARS[[#This Row],[LSTMPP]]*$I$3</f>
        <v>42.405147355026919</v>
      </c>
      <c r="E12">
        <v>46</v>
      </c>
      <c r="F12">
        <f>ABS(TableARS[[#This Row],[PP]]-TableARS[[#This Row],[AP]])</f>
        <v>3.5948526449730807</v>
      </c>
    </row>
    <row r="13" spans="1:9" x14ac:dyDescent="0.2">
      <c r="A13" t="s">
        <v>21</v>
      </c>
      <c r="B13">
        <v>53.611111111111107</v>
      </c>
      <c r="C13">
        <v>50.981148329717193</v>
      </c>
      <c r="D13">
        <f>TableARS[[#This Row],[ARIMAPP]]*$I$2+TableARS[[#This Row],[LSTMPP]]*$I$3</f>
        <v>57.908813536980801</v>
      </c>
      <c r="E13">
        <v>28</v>
      </c>
      <c r="F13">
        <f>ABS(TableARS[[#This Row],[PP]]-TableARS[[#This Row],[AP]])</f>
        <v>29.908813536980801</v>
      </c>
    </row>
    <row r="14" spans="1:9" x14ac:dyDescent="0.2">
      <c r="A14" t="s">
        <v>22</v>
      </c>
      <c r="B14">
        <v>25</v>
      </c>
      <c r="C14">
        <v>25.8</v>
      </c>
      <c r="D14">
        <f>TableARS[[#This Row],[ARIMAPP]]*$I$2+TableARS[[#This Row],[LSTMPP]]*$I$3</f>
        <v>28.097375168006877</v>
      </c>
      <c r="E14">
        <v>32</v>
      </c>
      <c r="F14">
        <f>ABS(TableARS[[#This Row],[PP]]-TableARS[[#This Row],[AP]])</f>
        <v>3.9026248319931227</v>
      </c>
    </row>
    <row r="15" spans="1:9" x14ac:dyDescent="0.2">
      <c r="A15" t="s">
        <v>23</v>
      </c>
      <c r="B15">
        <v>36.052631578947377</v>
      </c>
      <c r="C15">
        <v>33.943292943006227</v>
      </c>
      <c r="D15">
        <f>TableARS[[#This Row],[ARIMAPP]]*$I$2+TableARS[[#This Row],[LSTMPP]]*$I$3</f>
        <v>38.758942197762721</v>
      </c>
      <c r="E15">
        <v>35</v>
      </c>
      <c r="F15">
        <f>ABS(TableARS[[#This Row],[PP]]-TableARS[[#This Row],[AP]])</f>
        <v>3.7589421977627211</v>
      </c>
    </row>
    <row r="16" spans="1:9" x14ac:dyDescent="0.2">
      <c r="A16" t="s">
        <v>24</v>
      </c>
      <c r="B16">
        <v>19.473684210526319</v>
      </c>
      <c r="C16">
        <v>24</v>
      </c>
      <c r="D16">
        <f>TableARS[[#This Row],[ARIMAPP]]*$I$2+TableARS[[#This Row],[LSTMPP]]*$I$3</f>
        <v>23.992165522529142</v>
      </c>
      <c r="E16">
        <v>23</v>
      </c>
      <c r="F16">
        <f>ABS(TableARS[[#This Row],[PP]]-TableARS[[#This Row],[AP]])</f>
        <v>0.9921655225291417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25</v>
      </c>
      <c r="B2">
        <v>27.28907890036476</v>
      </c>
      <c r="C2">
        <v>34.128665656027557</v>
      </c>
      <c r="D2">
        <f>TableAVL[[#This Row],[ARIMAPP]]*$I$2+TableAVL[[#This Row],[LSTMPP]]*$I$3</f>
        <v>35.060208734618428</v>
      </c>
      <c r="E2">
        <v>23</v>
      </c>
      <c r="F2">
        <f>ABS(TableAVL[[#This Row],[PP]]-TableAVL[[#This Row],[AP]])</f>
        <v>12.060208734618428</v>
      </c>
      <c r="H2" t="s">
        <v>0</v>
      </c>
      <c r="I2">
        <v>0.58776183219020472</v>
      </c>
    </row>
    <row r="3" spans="1:9" x14ac:dyDescent="0.2">
      <c r="A3" t="s">
        <v>26</v>
      </c>
      <c r="B3">
        <v>39.68718664571999</v>
      </c>
      <c r="C3">
        <v>26.697247706422019</v>
      </c>
      <c r="D3">
        <f>TableAVL[[#This Row],[ARIMAPP]]*$I$2+TableAVL[[#This Row],[LSTMPP]]*$I$3</f>
        <v>38.205634535310708</v>
      </c>
      <c r="E3">
        <v>57</v>
      </c>
      <c r="F3">
        <f>ABS(TableAVL[[#This Row],[PP]]-TableAVL[[#This Row],[AP]])</f>
        <v>18.794365464689292</v>
      </c>
      <c r="H3" t="s">
        <v>1</v>
      </c>
      <c r="I3">
        <v>0.55732415421865966</v>
      </c>
    </row>
    <row r="4" spans="1:9" x14ac:dyDescent="0.2">
      <c r="A4" t="s">
        <v>27</v>
      </c>
      <c r="B4">
        <v>29.618320610687022</v>
      </c>
      <c r="C4">
        <v>29.66346153846154</v>
      </c>
      <c r="D4">
        <f>TableAVL[[#This Row],[ARIMAPP]]*$I$2+TableAVL[[#This Row],[LSTMPP]]*$I$3</f>
        <v>33.940682001655126</v>
      </c>
      <c r="E4">
        <v>38</v>
      </c>
      <c r="F4">
        <f>ABS(TableAVL[[#This Row],[PP]]-TableAVL[[#This Row],[AP]])</f>
        <v>4.0593179983448735</v>
      </c>
    </row>
    <row r="5" spans="1:9" x14ac:dyDescent="0.2">
      <c r="A5" t="s">
        <v>28</v>
      </c>
      <c r="B5">
        <v>28.412698412698401</v>
      </c>
      <c r="C5">
        <v>28.70000000000001</v>
      </c>
      <c r="D5">
        <f>TableAVL[[#This Row],[ARIMAPP]]*$I$2+TableAVL[[#This Row],[LSTMPP]]*$I$3</f>
        <v>32.695102902590868</v>
      </c>
      <c r="E5">
        <v>25</v>
      </c>
      <c r="F5">
        <f>ABS(TableAVL[[#This Row],[PP]]-TableAVL[[#This Row],[AP]])</f>
        <v>7.6951029025908682</v>
      </c>
      <c r="H5" t="s">
        <v>2</v>
      </c>
      <c r="I5" cm="1">
        <f t="array" ref="I5">(SUM(TableAVL[PP]-TableAVL[AP]))^2</f>
        <v>8.0779356694631609E-28</v>
      </c>
    </row>
    <row r="6" spans="1:9" x14ac:dyDescent="0.2">
      <c r="A6" t="s">
        <v>29</v>
      </c>
      <c r="B6">
        <v>42.803738317756988</v>
      </c>
      <c r="C6">
        <v>40.198783298712087</v>
      </c>
      <c r="D6">
        <f>TableAVL[[#This Row],[ARIMAPP]]*$I$2+TableAVL[[#This Row],[LSTMPP]]*$I$3</f>
        <v>47.562156560808816</v>
      </c>
      <c r="E6">
        <v>79</v>
      </c>
      <c r="F6">
        <f>ABS(TableAVL[[#This Row],[PP]]-TableAVL[[#This Row],[AP]])</f>
        <v>31.437843439191184</v>
      </c>
    </row>
    <row r="7" spans="1:9" x14ac:dyDescent="0.2">
      <c r="A7" t="s">
        <v>30</v>
      </c>
      <c r="B7">
        <v>29.03846153846154</v>
      </c>
      <c r="C7">
        <v>28.414634146341459</v>
      </c>
      <c r="D7">
        <f>TableAVL[[#This Row],[ARIMAPP]]*$I$2+TableAVL[[#This Row],[LSTMPP]]*$I$3</f>
        <v>32.903861300873345</v>
      </c>
      <c r="E7">
        <v>31</v>
      </c>
      <c r="F7">
        <f>ABS(TableAVL[[#This Row],[PP]]-TableAVL[[#This Row],[AP]])</f>
        <v>1.9038613008733449</v>
      </c>
      <c r="H7" t="s">
        <v>3</v>
      </c>
      <c r="I7">
        <f>AVERAGE(TableAVL[DIFF])/10</f>
        <v>1.2640981646422966</v>
      </c>
    </row>
    <row r="8" spans="1:9" x14ac:dyDescent="0.2">
      <c r="A8" t="s">
        <v>31</v>
      </c>
      <c r="B8">
        <v>26</v>
      </c>
      <c r="C8">
        <v>26.041666666666671</v>
      </c>
      <c r="D8">
        <f>TableAVL[[#This Row],[ARIMAPP]]*$I$2+TableAVL[[#This Row],[LSTMPP]]*$I$3</f>
        <v>29.795457486389587</v>
      </c>
      <c r="E8">
        <v>25</v>
      </c>
      <c r="F8">
        <f>ABS(TableAVL[[#This Row],[PP]]-TableAVL[[#This Row],[AP]])</f>
        <v>4.7954574863895871</v>
      </c>
    </row>
    <row r="9" spans="1:9" x14ac:dyDescent="0.2">
      <c r="A9" t="s">
        <v>32</v>
      </c>
      <c r="B9">
        <v>35.26315789473685</v>
      </c>
      <c r="C9">
        <v>32.5</v>
      </c>
      <c r="D9">
        <f>TableAVL[[#This Row],[ARIMAPP]]*$I$2+TableAVL[[#This Row],[LSTMPP]]*$I$3</f>
        <v>38.839373305129456</v>
      </c>
      <c r="E9">
        <v>26</v>
      </c>
      <c r="F9">
        <f>ABS(TableAVL[[#This Row],[PP]]-TableAVL[[#This Row],[AP]])</f>
        <v>12.839373305129456</v>
      </c>
    </row>
    <row r="10" spans="1:9" x14ac:dyDescent="0.2">
      <c r="A10" t="s">
        <v>33</v>
      </c>
      <c r="B10">
        <v>66.091792097210302</v>
      </c>
      <c r="C10">
        <v>55.73896528901362</v>
      </c>
      <c r="D10">
        <f>TableAVL[[#This Row],[ARIMAPP]]*$I$2+TableAVL[[#This Row],[LSTMPP]]*$I$3</f>
        <v>69.910904502513162</v>
      </c>
      <c r="E10">
        <v>46</v>
      </c>
      <c r="F10">
        <f>ABS(TableAVL[[#This Row],[PP]]-TableAVL[[#This Row],[AP]])</f>
        <v>23.910904502513162</v>
      </c>
    </row>
    <row r="11" spans="1:9" x14ac:dyDescent="0.2">
      <c r="A11" t="s">
        <v>34</v>
      </c>
      <c r="B11">
        <v>22.5</v>
      </c>
      <c r="C11">
        <v>26.666666666666671</v>
      </c>
      <c r="D11">
        <f>TableAVL[[#This Row],[ARIMAPP]]*$I$2+TableAVL[[#This Row],[LSTMPP]]*$I$3</f>
        <v>28.086618670110532</v>
      </c>
      <c r="E11">
        <v>37</v>
      </c>
      <c r="F11">
        <f>ABS(TableAVL[[#This Row],[PP]]-TableAVL[[#This Row],[AP]])</f>
        <v>8.913381329889468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35</v>
      </c>
      <c r="B2">
        <v>26.226253006383619</v>
      </c>
      <c r="C2">
        <v>26.898734177215189</v>
      </c>
      <c r="D2">
        <f>TableBOU[[#This Row],[ARIMAPP]]*$I$2+TableBOU[[#This Row],[LSTMPP]]*$I$3</f>
        <v>28.47987046899744</v>
      </c>
      <c r="E2">
        <v>27</v>
      </c>
      <c r="F2">
        <f>ABS(TableBOU[[#This Row],[PP]]-TableBOU[[#This Row],[AP]])</f>
        <v>1.47987046899744</v>
      </c>
      <c r="H2" t="s">
        <v>0</v>
      </c>
      <c r="I2">
        <v>0.53634948262210658</v>
      </c>
    </row>
    <row r="3" spans="1:9" x14ac:dyDescent="0.2">
      <c r="A3" t="s">
        <v>36</v>
      </c>
      <c r="B3">
        <v>40.694837453933857</v>
      </c>
      <c r="C3">
        <v>27.338709677419359</v>
      </c>
      <c r="D3">
        <f>TableBOU[[#This Row],[ARIMAPP]]*$I$2+TableBOU[[#This Row],[LSTMPP]]*$I$3</f>
        <v>36.475844977542138</v>
      </c>
      <c r="E3">
        <v>43</v>
      </c>
      <c r="F3">
        <f>ABS(TableBOU[[#This Row],[PP]]-TableBOU[[#This Row],[AP]])</f>
        <v>6.5241550224578617</v>
      </c>
      <c r="H3" t="s">
        <v>1</v>
      </c>
      <c r="I3">
        <v>0.535840576844547</v>
      </c>
    </row>
    <row r="4" spans="1:9" x14ac:dyDescent="0.2">
      <c r="A4" t="s">
        <v>37</v>
      </c>
      <c r="B4">
        <v>23.103448275862061</v>
      </c>
      <c r="C4">
        <v>26.739130434782609</v>
      </c>
      <c r="D4">
        <f>TableBOU[[#This Row],[ARIMAPP]]*$I$2+TableBOU[[#This Row],[LSTMPP]]*$I$3</f>
        <v>26.719433606040713</v>
      </c>
      <c r="E4">
        <v>22</v>
      </c>
      <c r="F4">
        <f>ABS(TableBOU[[#This Row],[PP]]-TableBOU[[#This Row],[AP]])</f>
        <v>4.7194336060407132</v>
      </c>
    </row>
    <row r="5" spans="1:9" x14ac:dyDescent="0.2">
      <c r="A5" t="s">
        <v>38</v>
      </c>
      <c r="B5">
        <v>19.142857142857149</v>
      </c>
      <c r="C5">
        <v>24.642857142857149</v>
      </c>
      <c r="D5">
        <f>TableBOU[[#This Row],[ARIMAPP]]*$I$2+TableBOU[[#This Row],[LSTMPP]]*$I$3</f>
        <v>23.471904311006668</v>
      </c>
      <c r="E5">
        <v>28</v>
      </c>
      <c r="F5">
        <f>ABS(TableBOU[[#This Row],[PP]]-TableBOU[[#This Row],[AP]])</f>
        <v>4.5280956889933321</v>
      </c>
      <c r="H5" t="s">
        <v>2</v>
      </c>
      <c r="I5" cm="1">
        <f t="array" ref="I5">(SUM(TableBOU[PP]-TableBOU[AP]))^2</f>
        <v>6.1846694969327326E-28</v>
      </c>
    </row>
    <row r="6" spans="1:9" x14ac:dyDescent="0.2">
      <c r="A6" t="s">
        <v>39</v>
      </c>
      <c r="B6">
        <v>38.374604140476663</v>
      </c>
      <c r="C6">
        <v>38.307715517671447</v>
      </c>
      <c r="D6">
        <f>TableBOU[[#This Row],[ARIMAPP]]*$I$2+TableBOU[[#This Row],[LSTMPP]]*$I$3</f>
        <v>41.109027457158675</v>
      </c>
      <c r="E6">
        <v>35</v>
      </c>
      <c r="F6">
        <f>ABS(TableBOU[[#This Row],[PP]]-TableBOU[[#This Row],[AP]])</f>
        <v>6.1090274571586747</v>
      </c>
    </row>
    <row r="7" spans="1:9" x14ac:dyDescent="0.2">
      <c r="A7" t="s">
        <v>40</v>
      </c>
      <c r="B7">
        <v>36.785714285714299</v>
      </c>
      <c r="C7">
        <v>38.67346023913602</v>
      </c>
      <c r="D7">
        <f>TableBOU[[#This Row],[ARIMAPP]]*$I$2+TableBOU[[#This Row],[LSTMPP]]*$I$3</f>
        <v>40.452808068140797</v>
      </c>
      <c r="E7">
        <v>30</v>
      </c>
      <c r="F7">
        <f>ABS(TableBOU[[#This Row],[PP]]-TableBOU[[#This Row],[AP]])</f>
        <v>10.452808068140797</v>
      </c>
      <c r="H7" t="s">
        <v>3</v>
      </c>
      <c r="I7">
        <f>AVERAGE(TableBOU[DIFF])/10</f>
        <v>0.65031827429536115</v>
      </c>
    </row>
    <row r="8" spans="1:9" x14ac:dyDescent="0.2">
      <c r="A8" t="s">
        <v>41</v>
      </c>
      <c r="B8">
        <v>19.09090909090909</v>
      </c>
      <c r="C8">
        <v>20.625</v>
      </c>
      <c r="D8">
        <f>TableBOU[[#This Row],[ARIMAPP]]*$I$2+TableBOU[[#This Row],[LSTMPP]]*$I$3</f>
        <v>21.291111111113544</v>
      </c>
      <c r="E8">
        <v>33</v>
      </c>
      <c r="F8">
        <f>ABS(TableBOU[[#This Row],[PP]]-TableBOU[[#This Row],[AP]])</f>
        <v>11.708888888886456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42</v>
      </c>
      <c r="B2">
        <v>15.919352946894531</v>
      </c>
      <c r="C2">
        <v>33.120509998607112</v>
      </c>
      <c r="D2">
        <f>TableBRE[[#This Row],[ARIMAPP]]*$I$2+TableBRE[[#This Row],[LSTMPP]]*$I$3</f>
        <v>25.540866377902585</v>
      </c>
      <c r="E2">
        <v>29</v>
      </c>
      <c r="F2">
        <f>ABS(TableBRE[[#This Row],[PP]]-TableBRE[[#This Row],[AP]])</f>
        <v>3.4591336220974149</v>
      </c>
      <c r="H2" t="s">
        <v>0</v>
      </c>
      <c r="I2">
        <v>0.53229564668595319</v>
      </c>
    </row>
    <row r="3" spans="1:9" x14ac:dyDescent="0.2">
      <c r="A3" t="s">
        <v>43</v>
      </c>
      <c r="B3">
        <v>31.052631578947381</v>
      </c>
      <c r="C3">
        <v>29.666666666666671</v>
      </c>
      <c r="D3">
        <f>TableBRE[[#This Row],[ARIMAPP]]*$I$2+TableBRE[[#This Row],[LSTMPP]]*$I$3</f>
        <v>31.816472434914957</v>
      </c>
      <c r="E3">
        <v>24</v>
      </c>
      <c r="F3">
        <f>ABS(TableBRE[[#This Row],[PP]]-TableBRE[[#This Row],[AP]])</f>
        <v>7.8164724349149566</v>
      </c>
      <c r="H3" t="s">
        <v>1</v>
      </c>
      <c r="I3">
        <v>0.51530197170669123</v>
      </c>
    </row>
    <row r="4" spans="1:9" x14ac:dyDescent="0.2">
      <c r="A4" t="s">
        <v>44</v>
      </c>
      <c r="B4">
        <v>32.419354838709673</v>
      </c>
      <c r="C4">
        <v>29.69387755102041</v>
      </c>
      <c r="D4">
        <f>TableBRE[[#This Row],[ARIMAPP]]*$I$2+TableBRE[[#This Row],[LSTMPP]]*$I$3</f>
        <v>32.557995098670226</v>
      </c>
      <c r="E4">
        <v>34</v>
      </c>
      <c r="F4">
        <f>ABS(TableBRE[[#This Row],[PP]]-TableBRE[[#This Row],[AP]])</f>
        <v>1.4420049013297742</v>
      </c>
    </row>
    <row r="5" spans="1:9" x14ac:dyDescent="0.2">
      <c r="A5" t="s">
        <v>45</v>
      </c>
      <c r="B5">
        <v>26.71641791044777</v>
      </c>
      <c r="C5">
        <v>27.54716981132076</v>
      </c>
      <c r="D5">
        <f>TableBRE[[#This Row],[ARIMAPP]]*$I$2+TableBRE[[#This Row],[LSTMPP]]*$I$3</f>
        <v>28.416143867486607</v>
      </c>
      <c r="E5">
        <v>23</v>
      </c>
      <c r="F5">
        <f>ABS(TableBRE[[#This Row],[PP]]-TableBRE[[#This Row],[AP]])</f>
        <v>5.4161438674866069</v>
      </c>
      <c r="H5" t="s">
        <v>2</v>
      </c>
      <c r="I5" cm="1">
        <f t="array" ref="I5">(SUM(TableBRE[PP]-TableBRE[AP]))^2</f>
        <v>1.135959703518257E-28</v>
      </c>
    </row>
    <row r="6" spans="1:9" x14ac:dyDescent="0.2">
      <c r="A6" t="s">
        <v>46</v>
      </c>
      <c r="B6">
        <v>39.054054054054077</v>
      </c>
      <c r="C6">
        <v>30.762711864406779</v>
      </c>
      <c r="D6">
        <f>TableBRE[[#This Row],[ARIMAPP]]*$I$2+TableBRE[[#This Row],[LSTMPP]]*$I$3</f>
        <v>36.640389037184526</v>
      </c>
      <c r="E6">
        <v>48</v>
      </c>
      <c r="F6">
        <f>ABS(TableBRE[[#This Row],[PP]]-TableBRE[[#This Row],[AP]])</f>
        <v>11.359610962815474</v>
      </c>
    </row>
    <row r="7" spans="1:9" x14ac:dyDescent="0.2">
      <c r="A7" t="s">
        <v>47</v>
      </c>
      <c r="B7">
        <v>32.647058823529413</v>
      </c>
      <c r="C7">
        <v>30.74074074074073</v>
      </c>
      <c r="D7">
        <f>TableBRE[[#This Row],[ARIMAPP]]*$I$2+TableBRE[[#This Row],[LSTMPP]]*$I$3</f>
        <v>33.218651604292852</v>
      </c>
      <c r="E7">
        <v>21</v>
      </c>
      <c r="F7">
        <f>ABS(TableBRE[[#This Row],[PP]]-TableBRE[[#This Row],[AP]])</f>
        <v>12.218651604292852</v>
      </c>
      <c r="H7" t="s">
        <v>3</v>
      </c>
      <c r="I7">
        <f>AVERAGE(TableBRE[DIFF])/10</f>
        <v>0.76631085899689055</v>
      </c>
    </row>
    <row r="8" spans="1:9" x14ac:dyDescent="0.2">
      <c r="A8" t="s">
        <v>48</v>
      </c>
      <c r="B8">
        <v>31.577890438839152</v>
      </c>
      <c r="C8">
        <v>28.888888888888889</v>
      </c>
      <c r="D8">
        <f>TableBRE[[#This Row],[ARIMAPP]]*$I$2+TableBRE[[#This Row],[LSTMPP]]*$I$3</f>
        <v>31.695275016980034</v>
      </c>
      <c r="E8">
        <v>28</v>
      </c>
      <c r="F8">
        <f>ABS(TableBRE[[#This Row],[PP]]-TableBRE[[#This Row],[AP]])</f>
        <v>3.6952750169800339</v>
      </c>
    </row>
    <row r="9" spans="1:9" x14ac:dyDescent="0.2">
      <c r="A9" t="s">
        <v>49</v>
      </c>
      <c r="B9">
        <v>33.622288381029179</v>
      </c>
      <c r="C9">
        <v>26.53846153846154</v>
      </c>
      <c r="D9">
        <f>TableBRE[[#This Row],[ARIMAPP]]*$I$2+TableBRE[[#This Row],[LSTMPP]]*$I$3</f>
        <v>31.572319293672962</v>
      </c>
      <c r="E9">
        <v>51</v>
      </c>
      <c r="F9">
        <f>ABS(TableBRE[[#This Row],[PP]]-TableBRE[[#This Row],[AP]])</f>
        <v>19.427680706327038</v>
      </c>
    </row>
    <row r="10" spans="1:9" x14ac:dyDescent="0.2">
      <c r="A10" t="s">
        <v>50</v>
      </c>
      <c r="B10">
        <v>23.777777777777771</v>
      </c>
      <c r="C10">
        <v>26.944444444444439</v>
      </c>
      <c r="D10">
        <f>TableBRE[[#This Row],[ARIMAPP]]*$I$2+TableBRE[[#This Row],[LSTMPP]]*$I$3</f>
        <v>26.541332947740727</v>
      </c>
      <c r="E10">
        <v>33</v>
      </c>
      <c r="F10">
        <f>ABS(TableBRE[[#This Row],[PP]]-TableBRE[[#This Row],[AP]])</f>
        <v>6.4586670522592726</v>
      </c>
    </row>
    <row r="11" spans="1:9" x14ac:dyDescent="0.2">
      <c r="A11" t="s">
        <v>51</v>
      </c>
      <c r="B11">
        <v>23.91304347826086</v>
      </c>
      <c r="C11">
        <v>24.166666666666671</v>
      </c>
      <c r="D11">
        <f>TableBRE[[#This Row],[ARIMAPP]]*$I$2+TableBRE[[#This Row],[LSTMPP]]*$I$3</f>
        <v>25.181939925401888</v>
      </c>
      <c r="E11">
        <v>23</v>
      </c>
      <c r="F11">
        <f>ABS(TableBRE[[#This Row],[PP]]-TableBRE[[#This Row],[AP]])</f>
        <v>2.1819399254018883</v>
      </c>
    </row>
    <row r="12" spans="1:9" x14ac:dyDescent="0.2">
      <c r="A12" t="s">
        <v>52</v>
      </c>
      <c r="B12">
        <v>40</v>
      </c>
      <c r="C12">
        <v>32.07204597641541</v>
      </c>
      <c r="D12">
        <f>TableBRE[[#This Row],[ARIMAPP]]*$I$2+TableBRE[[#This Row],[LSTMPP]]*$I$3</f>
        <v>37.818614395752647</v>
      </c>
      <c r="E12">
        <v>27</v>
      </c>
      <c r="F12">
        <f>ABS(TableBRE[[#This Row],[PP]]-TableBRE[[#This Row],[AP]])</f>
        <v>10.818614395752647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53</v>
      </c>
      <c r="B2">
        <v>33.673469387755127</v>
      </c>
      <c r="C2">
        <v>31.53846153846154</v>
      </c>
      <c r="D2">
        <f>TableBHA[[#This Row],[ARIMAPP]]*$I$2+TableBHA[[#This Row],[LSTMPP]]*$I$3</f>
        <v>34.913373336408796</v>
      </c>
      <c r="E2">
        <v>47</v>
      </c>
      <c r="F2">
        <f>ABS(TableBHA[[#This Row],[PP]]-TableBHA[[#This Row],[AP]])</f>
        <v>12.086626663591204</v>
      </c>
      <c r="H2" t="s">
        <v>0</v>
      </c>
      <c r="I2">
        <v>0.51740454051094154</v>
      </c>
    </row>
    <row r="3" spans="1:9" x14ac:dyDescent="0.2">
      <c r="A3" t="s">
        <v>54</v>
      </c>
      <c r="B3">
        <v>17.44680851063767</v>
      </c>
      <c r="C3">
        <v>23.78378378378379</v>
      </c>
      <c r="D3">
        <f>TableBHA[[#This Row],[ARIMAPP]]*$I$2+TableBHA[[#This Row],[LSTMPP]]*$I$3</f>
        <v>22.217044152568981</v>
      </c>
      <c r="E3">
        <v>30</v>
      </c>
      <c r="F3">
        <f>ABS(TableBHA[[#This Row],[PP]]-TableBHA[[#This Row],[AP]])</f>
        <v>7.782955847431019</v>
      </c>
      <c r="H3" t="s">
        <v>1</v>
      </c>
      <c r="I3">
        <v>0.55457896572089105</v>
      </c>
    </row>
    <row r="4" spans="1:9" x14ac:dyDescent="0.2">
      <c r="A4" t="s">
        <v>55</v>
      </c>
      <c r="B4">
        <v>21.268283054848951</v>
      </c>
      <c r="C4">
        <v>24.25925925925926</v>
      </c>
      <c r="D4">
        <f>TableBHA[[#This Row],[ARIMAPP]]*$I$2+TableBHA[[#This Row],[LSTMPP]]*$I$3</f>
        <v>24.457981130605717</v>
      </c>
      <c r="E4">
        <v>36</v>
      </c>
      <c r="F4">
        <f>ABS(TableBHA[[#This Row],[PP]]-TableBHA[[#This Row],[AP]])</f>
        <v>11.542018869394283</v>
      </c>
    </row>
    <row r="5" spans="1:9" x14ac:dyDescent="0.2">
      <c r="A5" t="s">
        <v>56</v>
      </c>
      <c r="B5">
        <v>47.777777777777779</v>
      </c>
      <c r="C5">
        <v>47.149566673620527</v>
      </c>
      <c r="D5">
        <f>TableBHA[[#This Row],[ARIMAPP]]*$I$2+TableBHA[[#This Row],[LSTMPP]]*$I$3</f>
        <v>50.868597077789644</v>
      </c>
      <c r="E5">
        <v>21</v>
      </c>
      <c r="F5">
        <f>ABS(TableBHA[[#This Row],[PP]]-TableBHA[[#This Row],[AP]])</f>
        <v>29.868597077789644</v>
      </c>
      <c r="H5" t="s">
        <v>2</v>
      </c>
      <c r="I5" cm="1">
        <f t="array" ref="I5">(SUM(TableBHA[PP]-TableBHA[AP]))^2</f>
        <v>5.0487097934144756E-29</v>
      </c>
    </row>
    <row r="6" spans="1:9" x14ac:dyDescent="0.2">
      <c r="A6" t="s">
        <v>57</v>
      </c>
      <c r="B6">
        <v>28.5</v>
      </c>
      <c r="C6">
        <v>29.0625</v>
      </c>
      <c r="D6">
        <f>TableBHA[[#This Row],[ARIMAPP]]*$I$2+TableBHA[[#This Row],[LSTMPP]]*$I$3</f>
        <v>30.86348059582523</v>
      </c>
      <c r="E6">
        <v>40</v>
      </c>
      <c r="F6">
        <f>ABS(TableBHA[[#This Row],[PP]]-TableBHA[[#This Row],[AP]])</f>
        <v>9.1365194041747699</v>
      </c>
    </row>
    <row r="7" spans="1:9" x14ac:dyDescent="0.2">
      <c r="A7" t="s">
        <v>58</v>
      </c>
      <c r="B7">
        <v>43.22580645161289</v>
      </c>
      <c r="C7">
        <v>45.968249713181592</v>
      </c>
      <c r="D7">
        <f>TableBHA[[#This Row],[ARIMAPP]]*$I$2+TableBHA[[#This Row],[LSTMPP]]*$I$3</f>
        <v>47.858252907247554</v>
      </c>
      <c r="E7">
        <v>36</v>
      </c>
      <c r="F7">
        <f>ABS(TableBHA[[#This Row],[PP]]-TableBHA[[#This Row],[AP]])</f>
        <v>11.858252907247554</v>
      </c>
      <c r="H7" t="s">
        <v>3</v>
      </c>
      <c r="I7">
        <f>AVERAGE(TableBHA[DIFF])/10</f>
        <v>1.1921957138582058</v>
      </c>
    </row>
    <row r="8" spans="1:9" x14ac:dyDescent="0.2">
      <c r="A8" t="s">
        <v>59</v>
      </c>
      <c r="B8">
        <v>26.666666666666671</v>
      </c>
      <c r="C8">
        <v>32.5</v>
      </c>
      <c r="D8">
        <f>TableBHA[[#This Row],[ARIMAPP]]*$I$2+TableBHA[[#This Row],[LSTMPP]]*$I$3</f>
        <v>31.821270799554071</v>
      </c>
      <c r="E8">
        <v>33</v>
      </c>
      <c r="F8">
        <f>ABS(TableBHA[[#This Row],[PP]]-TableBHA[[#This Row],[AP]])</f>
        <v>1.1787292004459289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60</v>
      </c>
      <c r="B2">
        <v>27.435897435897441</v>
      </c>
      <c r="C2">
        <v>28.44086021505376</v>
      </c>
      <c r="D2">
        <f>TableBUR[[#This Row],[ARIMAPP]]*$I$2+TableBUR[[#This Row],[LSTMPP]]*$I$3</f>
        <v>28.537528218535819</v>
      </c>
      <c r="E2">
        <v>25</v>
      </c>
      <c r="F2">
        <f>ABS(TableBUR[[#This Row],[PP]]-TableBUR[[#This Row],[AP]])</f>
        <v>3.5375282185358188</v>
      </c>
      <c r="H2" t="s">
        <v>0</v>
      </c>
      <c r="I2">
        <v>0.48952851298917777</v>
      </c>
    </row>
    <row r="3" spans="1:9" x14ac:dyDescent="0.2">
      <c r="A3" t="s">
        <v>61</v>
      </c>
      <c r="B3">
        <v>23.22580645161289</v>
      </c>
      <c r="C3">
        <v>27.708333333333329</v>
      </c>
      <c r="D3">
        <f>TableBUR[[#This Row],[ARIMAPP]]*$I$2+TableBUR[[#This Row],[LSTMPP]]*$I$3</f>
        <v>26.087473818627622</v>
      </c>
      <c r="E3">
        <v>22</v>
      </c>
      <c r="F3">
        <f>ABS(TableBUR[[#This Row],[PP]]-TableBUR[[#This Row],[AP]])</f>
        <v>4.0874738186276218</v>
      </c>
      <c r="H3" t="s">
        <v>1</v>
      </c>
      <c r="I3">
        <v>0.53116797558117712</v>
      </c>
    </row>
    <row r="4" spans="1:9" x14ac:dyDescent="0.2">
      <c r="A4" t="s">
        <v>62</v>
      </c>
      <c r="B4">
        <v>23.69863013698631</v>
      </c>
      <c r="C4">
        <v>25.172413793103448</v>
      </c>
      <c r="D4">
        <f>TableBUR[[#This Row],[ARIMAPP]]*$I$2+TableBUR[[#This Row],[LSTMPP]]*$I$3</f>
        <v>24.971935245813881</v>
      </c>
      <c r="E4">
        <v>30</v>
      </c>
      <c r="F4">
        <f>ABS(TableBUR[[#This Row],[PP]]-TableBUR[[#This Row],[AP]])</f>
        <v>5.0280647541861185</v>
      </c>
    </row>
    <row r="5" spans="1:9" x14ac:dyDescent="0.2">
      <c r="A5" t="s">
        <v>63</v>
      </c>
      <c r="B5">
        <v>30</v>
      </c>
      <c r="C5">
        <v>25</v>
      </c>
      <c r="D5">
        <f>TableBUR[[#This Row],[ARIMAPP]]*$I$2+TableBUR[[#This Row],[LSTMPP]]*$I$3</f>
        <v>27.96505477920476</v>
      </c>
      <c r="E5">
        <v>29</v>
      </c>
      <c r="F5">
        <f>ABS(TableBUR[[#This Row],[PP]]-TableBUR[[#This Row],[AP]])</f>
        <v>1.0349452207952403</v>
      </c>
      <c r="H5" t="s">
        <v>2</v>
      </c>
      <c r="I5" cm="1">
        <f t="array" ref="I5">(SUM(TableBUR[PP]-TableBUR[AP]))^2</f>
        <v>5.0487097934144756E-29</v>
      </c>
    </row>
    <row r="6" spans="1:9" x14ac:dyDescent="0.2">
      <c r="A6" t="s">
        <v>64</v>
      </c>
      <c r="B6">
        <v>16.666666663538869</v>
      </c>
      <c r="C6">
        <v>25</v>
      </c>
      <c r="D6">
        <f>TableBUR[[#This Row],[ARIMAPP]]*$I$2+TableBUR[[#This Row],[LSTMPP]]*$I$3</f>
        <v>21.438007937817911</v>
      </c>
      <c r="E6">
        <v>23</v>
      </c>
      <c r="F6">
        <f>ABS(TableBUR[[#This Row],[PP]]-TableBUR[[#This Row],[AP]])</f>
        <v>1.5619920621820889</v>
      </c>
    </row>
    <row r="7" spans="1:9" x14ac:dyDescent="0.2">
      <c r="H7" t="s">
        <v>3</v>
      </c>
      <c r="I7">
        <f>AVERAGE(TableBUR[DIFF])/10</f>
        <v>0.30500008148653779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65</v>
      </c>
      <c r="B2">
        <v>45.67616883955808</v>
      </c>
      <c r="C2">
        <v>57.683085885106031</v>
      </c>
      <c r="D2">
        <f>TableCHE[[#This Row],[ARIMAPP]]*$I$2+TableCHE[[#This Row],[LSTMPP]]*$I$3</f>
        <v>66.135541837366588</v>
      </c>
      <c r="E2">
        <v>43</v>
      </c>
      <c r="F2">
        <f>ABS(TableCHE[[#This Row],[PP]]-TableCHE[[#This Row],[AP]])</f>
        <v>23.135541837366588</v>
      </c>
      <c r="H2" t="s">
        <v>0</v>
      </c>
      <c r="I2">
        <v>0.60558285560755665</v>
      </c>
    </row>
    <row r="3" spans="1:9" x14ac:dyDescent="0.2">
      <c r="A3" t="s">
        <v>66</v>
      </c>
      <c r="B3">
        <v>27.519564453634139</v>
      </c>
      <c r="C3">
        <v>29.802481549504382</v>
      </c>
      <c r="D3">
        <f>TableCHE[[#This Row],[ARIMAPP]]*$I$2+TableCHE[[#This Row],[LSTMPP]]*$I$3</f>
        <v>36.543744661748107</v>
      </c>
      <c r="E3">
        <v>37</v>
      </c>
      <c r="F3">
        <f>ABS(TableCHE[[#This Row],[PP]]-TableCHE[[#This Row],[AP]])</f>
        <v>0.45625533825189279</v>
      </c>
      <c r="H3" t="s">
        <v>1</v>
      </c>
      <c r="I3">
        <v>0.66700379301705226</v>
      </c>
    </row>
    <row r="4" spans="1:9" x14ac:dyDescent="0.2">
      <c r="A4" t="s">
        <v>67</v>
      </c>
      <c r="B4">
        <v>34.942528735632187</v>
      </c>
      <c r="C4">
        <v>32.681704361228341</v>
      </c>
      <c r="D4">
        <f>TableCHE[[#This Row],[ARIMAPP]]*$I$2+TableCHE[[#This Row],[LSTMPP]]*$I$3</f>
        <v>42.959417105074493</v>
      </c>
      <c r="E4">
        <v>33</v>
      </c>
      <c r="F4">
        <f>ABS(TableCHE[[#This Row],[PP]]-TableCHE[[#This Row],[AP]])</f>
        <v>9.9594171050744933</v>
      </c>
    </row>
    <row r="5" spans="1:9" x14ac:dyDescent="0.2">
      <c r="A5" t="s">
        <v>68</v>
      </c>
      <c r="B5">
        <v>11.904289819375739</v>
      </c>
      <c r="C5">
        <v>19</v>
      </c>
      <c r="D5">
        <f>TableCHE[[#This Row],[ARIMAPP]]*$I$2+TableCHE[[#This Row],[LSTMPP]]*$I$3</f>
        <v>19.882105890121519</v>
      </c>
      <c r="E5">
        <v>48</v>
      </c>
      <c r="F5">
        <f>ABS(TableCHE[[#This Row],[PP]]-TableCHE[[#This Row],[AP]])</f>
        <v>28.117894109878481</v>
      </c>
      <c r="H5" t="s">
        <v>2</v>
      </c>
      <c r="I5" cm="1">
        <f t="array" ref="I5">(SUM(TableCHE[PP]-TableCHE[AP]))^2</f>
        <v>4.543838814073028E-28</v>
      </c>
    </row>
    <row r="6" spans="1:9" x14ac:dyDescent="0.2">
      <c r="A6" t="s">
        <v>69</v>
      </c>
      <c r="B6">
        <v>34.57627118644065</v>
      </c>
      <c r="C6">
        <v>34.420997259199069</v>
      </c>
      <c r="D6">
        <f>TableCHE[[#This Row],[ARIMAPP]]*$I$2+TableCHE[[#This Row],[LSTMPP]]*$I$3</f>
        <v>43.89773277266135</v>
      </c>
      <c r="E6">
        <v>28</v>
      </c>
      <c r="F6">
        <f>ABS(TableCHE[[#This Row],[PP]]-TableCHE[[#This Row],[AP]])</f>
        <v>15.89773277266135</v>
      </c>
    </row>
    <row r="7" spans="1:9" x14ac:dyDescent="0.2">
      <c r="A7" t="s">
        <v>70</v>
      </c>
      <c r="B7">
        <v>28.97390986705609</v>
      </c>
      <c r="C7">
        <v>28.41842272358199</v>
      </c>
      <c r="D7">
        <f>TableCHE[[#This Row],[ARIMAPP]]*$I$2+TableCHE[[#This Row],[LSTMPP]]*$I$3</f>
        <v>36.501298823598965</v>
      </c>
      <c r="E7">
        <v>33</v>
      </c>
      <c r="F7">
        <f>ABS(TableCHE[[#This Row],[PP]]-TableCHE[[#This Row],[AP]])</f>
        <v>3.5012988235989653</v>
      </c>
      <c r="H7" t="s">
        <v>3</v>
      </c>
      <c r="I7">
        <f>AVERAGE(TableCHE[DIFF])/10</f>
        <v>1.3123497634675352</v>
      </c>
    </row>
    <row r="8" spans="1:9" x14ac:dyDescent="0.2">
      <c r="A8" t="s">
        <v>71</v>
      </c>
      <c r="B8">
        <v>7.2636910680632578</v>
      </c>
      <c r="C8">
        <v>23.75</v>
      </c>
      <c r="D8">
        <f>TableCHE[[#This Row],[ARIMAPP]]*$I$2+TableCHE[[#This Row],[LSTMPP]]*$I$3</f>
        <v>20.240106863403842</v>
      </c>
      <c r="E8">
        <v>34</v>
      </c>
      <c r="F8">
        <f>ABS(TableCHE[[#This Row],[PP]]-TableCHE[[#This Row],[AP]])</f>
        <v>13.759893136596158</v>
      </c>
    </row>
    <row r="9" spans="1:9" x14ac:dyDescent="0.2">
      <c r="A9" t="s">
        <v>72</v>
      </c>
      <c r="B9">
        <v>30</v>
      </c>
      <c r="C9">
        <v>17.5</v>
      </c>
      <c r="D9">
        <f>TableCHE[[#This Row],[ARIMAPP]]*$I$2+TableCHE[[#This Row],[LSTMPP]]*$I$3</f>
        <v>29.840052046025114</v>
      </c>
      <c r="E9">
        <v>40</v>
      </c>
      <c r="F9">
        <f>ABS(TableCHE[[#This Row],[PP]]-TableCHE[[#This Row],[AP]])</f>
        <v>10.159947953974886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73</v>
      </c>
      <c r="B2">
        <v>26.861313868613131</v>
      </c>
      <c r="C2">
        <v>28.669724770642201</v>
      </c>
      <c r="D2">
        <f>TableCRY[[#This Row],[ARIMAPP]]*$I$2+TableCRY[[#This Row],[LSTMPP]]*$I$3</f>
        <v>31.341091089068122</v>
      </c>
      <c r="E2">
        <v>27</v>
      </c>
      <c r="F2">
        <f>ABS(TableCRY[[#This Row],[PP]]-TableCRY[[#This Row],[AP]])</f>
        <v>4.3410910890681222</v>
      </c>
      <c r="H2" t="s">
        <v>0</v>
      </c>
      <c r="I2">
        <v>0.55977122765295728</v>
      </c>
    </row>
    <row r="3" spans="1:9" x14ac:dyDescent="0.2">
      <c r="A3" t="s">
        <v>74</v>
      </c>
      <c r="B3">
        <v>21.456310679611651</v>
      </c>
      <c r="C3">
        <v>25.792682926829261</v>
      </c>
      <c r="D3">
        <f>TableCRY[[#This Row],[ARIMAPP]]*$I$2+TableCRY[[#This Row],[LSTMPP]]*$I$3</f>
        <v>26.679309174464397</v>
      </c>
      <c r="E3">
        <v>21</v>
      </c>
      <c r="F3">
        <f>ABS(TableCRY[[#This Row],[PP]]-TableCRY[[#This Row],[AP]])</f>
        <v>5.6793091744643966</v>
      </c>
      <c r="H3" t="s">
        <v>1</v>
      </c>
      <c r="I3">
        <v>0.5687149276423944</v>
      </c>
    </row>
    <row r="4" spans="1:9" x14ac:dyDescent="0.2">
      <c r="A4" t="s">
        <v>75</v>
      </c>
      <c r="B4">
        <v>21.560315519158291</v>
      </c>
      <c r="C4">
        <v>27.473684210526311</v>
      </c>
      <c r="D4">
        <f>TableCRY[[#This Row],[ARIMAPP]]*$I$2+TableCRY[[#This Row],[LSTMPP]]*$I$3</f>
        <v>27.69353861460381</v>
      </c>
      <c r="E4">
        <v>23</v>
      </c>
      <c r="F4">
        <f>ABS(TableCRY[[#This Row],[PP]]-TableCRY[[#This Row],[AP]])</f>
        <v>4.6935386146038098</v>
      </c>
    </row>
    <row r="5" spans="1:9" x14ac:dyDescent="0.2">
      <c r="A5" t="s">
        <v>76</v>
      </c>
      <c r="B5">
        <v>27.468354430379751</v>
      </c>
      <c r="C5">
        <v>28.769841269841269</v>
      </c>
      <c r="D5">
        <f>TableCRY[[#This Row],[ARIMAPP]]*$I$2+TableCRY[[#This Row],[LSTMPP]]*$I$3</f>
        <v>31.737832677161173</v>
      </c>
      <c r="E5">
        <v>27</v>
      </c>
      <c r="F5">
        <f>ABS(TableCRY[[#This Row],[PP]]-TableCRY[[#This Row],[AP]])</f>
        <v>4.7378326771611725</v>
      </c>
      <c r="H5" t="s">
        <v>2</v>
      </c>
      <c r="I5" cm="1">
        <f t="array" ref="I5">(SUM(TableCRY[PP]-TableCRY[AP]))^2</f>
        <v>1.0223637331664313E-27</v>
      </c>
    </row>
    <row r="6" spans="1:9" x14ac:dyDescent="0.2">
      <c r="A6" t="s">
        <v>77</v>
      </c>
      <c r="B6">
        <v>26.918440187313429</v>
      </c>
      <c r="C6">
        <v>28.533333333333331</v>
      </c>
      <c r="D6">
        <f>TableCRY[[#This Row],[ARIMAPP]]*$I$2+TableCRY[[#This Row],[LSTMPP]]*$I$3</f>
        <v>31.295500912218124</v>
      </c>
      <c r="E6">
        <v>37</v>
      </c>
      <c r="F6">
        <f>ABS(TableCRY[[#This Row],[PP]]-TableCRY[[#This Row],[AP]])</f>
        <v>5.7044990877818762</v>
      </c>
    </row>
    <row r="7" spans="1:9" x14ac:dyDescent="0.2">
      <c r="A7" t="s">
        <v>78</v>
      </c>
      <c r="B7">
        <v>36.749999999999979</v>
      </c>
      <c r="C7">
        <v>31.484375</v>
      </c>
      <c r="D7">
        <f>TableCRY[[#This Row],[ARIMAPP]]*$I$2+TableCRY[[#This Row],[LSTMPP]]*$I$3</f>
        <v>38.477226666237179</v>
      </c>
      <c r="E7">
        <v>36</v>
      </c>
      <c r="F7">
        <f>ABS(TableCRY[[#This Row],[PP]]-TableCRY[[#This Row],[AP]])</f>
        <v>2.4772266662371791</v>
      </c>
      <c r="H7" t="s">
        <v>3</v>
      </c>
      <c r="I7">
        <f>AVERAGE(TableCRY[DIFF])/10</f>
        <v>0.49859142201954931</v>
      </c>
    </row>
    <row r="8" spans="1:9" x14ac:dyDescent="0.2">
      <c r="A8" t="s">
        <v>79</v>
      </c>
      <c r="B8">
        <v>36.122448979591837</v>
      </c>
      <c r="C8">
        <v>34.230769230769234</v>
      </c>
      <c r="D8">
        <f>TableCRY[[#This Row],[ARIMAPP]]*$I$2+TableCRY[[#This Row],[LSTMPP]]*$I$3</f>
        <v>39.68785705735786</v>
      </c>
      <c r="E8">
        <v>42</v>
      </c>
      <c r="F8">
        <f>ABS(TableCRY[[#This Row],[PP]]-TableCRY[[#This Row],[AP]])</f>
        <v>2.31214294264214</v>
      </c>
    </row>
    <row r="9" spans="1:9" x14ac:dyDescent="0.2">
      <c r="A9" t="s">
        <v>80</v>
      </c>
      <c r="B9">
        <v>33.874709491625502</v>
      </c>
      <c r="C9">
        <v>31.05263157894737</v>
      </c>
      <c r="D9">
        <f>TableCRY[[#This Row],[ARIMAPP]]*$I$2+TableCRY[[#This Row],[LSTMPP]]*$I$3</f>
        <v>36.622182840041475</v>
      </c>
      <c r="E9">
        <v>40</v>
      </c>
      <c r="F9">
        <f>ABS(TableCRY[[#This Row],[PP]]-TableCRY[[#This Row],[AP]])</f>
        <v>3.3778171599585249</v>
      </c>
    </row>
    <row r="10" spans="1:9" x14ac:dyDescent="0.2">
      <c r="A10" t="s">
        <v>81</v>
      </c>
      <c r="B10">
        <v>29.861111111111089</v>
      </c>
      <c r="C10">
        <v>28.94736842105263</v>
      </c>
      <c r="D10">
        <f>TableCRY[[#This Row],[ARIMAPP]]*$I$2+TableCRY[[#This Row],[LSTMPP]]*$I$3</f>
        <v>33.178191362764693</v>
      </c>
      <c r="E10">
        <v>35</v>
      </c>
      <c r="F10">
        <f>ABS(TableCRY[[#This Row],[PP]]-TableCRY[[#This Row],[AP]])</f>
        <v>1.8218086372353071</v>
      </c>
    </row>
    <row r="11" spans="1:9" x14ac:dyDescent="0.2">
      <c r="A11" t="s">
        <v>82</v>
      </c>
      <c r="B11">
        <v>27.8125</v>
      </c>
      <c r="C11">
        <v>28.52941176470588</v>
      </c>
      <c r="D11">
        <f>TableCRY[[#This Row],[ARIMAPP]]*$I$2+TableCRY[[#This Row],[LSTMPP]]*$I$3</f>
        <v>31.793739616542656</v>
      </c>
      <c r="E11">
        <v>46</v>
      </c>
      <c r="F11">
        <f>ABS(TableCRY[[#This Row],[PP]]-TableCRY[[#This Row],[AP]])</f>
        <v>14.206260383457344</v>
      </c>
    </row>
    <row r="12" spans="1:9" x14ac:dyDescent="0.2">
      <c r="A12" t="s">
        <v>83</v>
      </c>
      <c r="B12">
        <v>27.777777777777779</v>
      </c>
      <c r="C12">
        <v>28.035714285714281</v>
      </c>
      <c r="D12">
        <f>TableCRY[[#This Row],[ARIMAPP]]*$I$2+TableCRY[[#This Row],[LSTMPP]]*$I$3</f>
        <v>31.493529989540544</v>
      </c>
      <c r="E12">
        <v>26</v>
      </c>
      <c r="F12">
        <f>ABS(TableCRY[[#This Row],[PP]]-TableCRY[[#This Row],[AP]])</f>
        <v>5.4935299895405443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84</v>
      </c>
      <c r="B2">
        <v>31.549990869631088</v>
      </c>
      <c r="C2">
        <v>31.20684453644628</v>
      </c>
      <c r="D2">
        <f>TableEVE[[#This Row],[ARIMAPP]]*$I$2+TableEVE[[#This Row],[LSTMPP]]*$I$3</f>
        <v>37.606153272257728</v>
      </c>
      <c r="E2">
        <v>42</v>
      </c>
      <c r="F2">
        <f>ABS(TableEVE[[#This Row],[PP]]-TableEVE[[#This Row],[AP]])</f>
        <v>4.3938467277422717</v>
      </c>
      <c r="H2" t="s">
        <v>0</v>
      </c>
      <c r="I2">
        <v>0.57812376939267984</v>
      </c>
    </row>
    <row r="3" spans="1:9" x14ac:dyDescent="0.2">
      <c r="A3" t="s">
        <v>85</v>
      </c>
      <c r="B3">
        <v>20.91474334627102</v>
      </c>
      <c r="C3">
        <v>26.15384615384616</v>
      </c>
      <c r="D3">
        <f>TableEVE[[#This Row],[ARIMAPP]]*$I$2+TableEVE[[#This Row],[LSTMPP]]*$I$3</f>
        <v>28.321872523038834</v>
      </c>
      <c r="E3">
        <v>22</v>
      </c>
      <c r="F3">
        <f>ABS(TableEVE[[#This Row],[PP]]-TableEVE[[#This Row],[AP]])</f>
        <v>6.3218725230388344</v>
      </c>
      <c r="H3" t="s">
        <v>1</v>
      </c>
      <c r="I3">
        <v>0.62058032185164147</v>
      </c>
    </row>
    <row r="4" spans="1:9" x14ac:dyDescent="0.2">
      <c r="A4" t="s">
        <v>86</v>
      </c>
      <c r="B4">
        <v>30.278791239049941</v>
      </c>
      <c r="C4">
        <v>29.471830985915489</v>
      </c>
      <c r="D4">
        <f>TableEVE[[#This Row],[ARIMAPP]]*$I$2+TableEVE[[#This Row],[LSTMPP]]*$I$3</f>
        <v>35.794527282570215</v>
      </c>
      <c r="E4">
        <v>41</v>
      </c>
      <c r="F4">
        <f>ABS(TableEVE[[#This Row],[PP]]-TableEVE[[#This Row],[AP]])</f>
        <v>5.2054727174297852</v>
      </c>
    </row>
    <row r="5" spans="1:9" x14ac:dyDescent="0.2">
      <c r="A5" t="s">
        <v>87</v>
      </c>
      <c r="B5">
        <v>34.772727272727288</v>
      </c>
      <c r="C5">
        <v>35.99513538751453</v>
      </c>
      <c r="D5">
        <f>TableEVE[[#This Row],[ARIMAPP]]*$I$2+TableEVE[[#This Row],[LSTMPP]]*$I$3</f>
        <v>42.440812866849917</v>
      </c>
      <c r="E5">
        <v>34</v>
      </c>
      <c r="F5">
        <f>ABS(TableEVE[[#This Row],[PP]]-TableEVE[[#This Row],[AP]])</f>
        <v>8.4408128668499174</v>
      </c>
      <c r="H5" t="s">
        <v>2</v>
      </c>
      <c r="I5" cm="1">
        <f t="array" ref="I5">(SUM(TableEVE[PP]-TableEVE[AP]))^2</f>
        <v>1.2621774483536189E-29</v>
      </c>
    </row>
    <row r="6" spans="1:9" x14ac:dyDescent="0.2">
      <c r="A6" t="s">
        <v>88</v>
      </c>
      <c r="B6">
        <v>34.572154640136738</v>
      </c>
      <c r="C6">
        <v>36.957828031817158</v>
      </c>
      <c r="D6">
        <f>TableEVE[[#This Row],[ARIMAPP]]*$I$2+TableEVE[[#This Row],[LSTMPP]]*$I$3</f>
        <v>42.922285171505187</v>
      </c>
      <c r="E6">
        <v>32</v>
      </c>
      <c r="F6">
        <f>ABS(TableEVE[[#This Row],[PP]]-TableEVE[[#This Row],[AP]])</f>
        <v>10.922285171505187</v>
      </c>
    </row>
    <row r="7" spans="1:9" x14ac:dyDescent="0.2">
      <c r="A7" t="s">
        <v>89</v>
      </c>
      <c r="B7">
        <v>31.125</v>
      </c>
      <c r="C7">
        <v>29.375</v>
      </c>
      <c r="D7">
        <f>TableEVE[[#This Row],[ARIMAPP]]*$I$2+TableEVE[[#This Row],[LSTMPP]]*$I$3</f>
        <v>36.223649276739124</v>
      </c>
      <c r="E7">
        <v>30</v>
      </c>
      <c r="F7">
        <f>ABS(TableEVE[[#This Row],[PP]]-TableEVE[[#This Row],[AP]])</f>
        <v>6.223649276739124</v>
      </c>
      <c r="H7" t="s">
        <v>3</v>
      </c>
      <c r="I7">
        <f>AVERAGE(TableEVE[DIFF])/10</f>
        <v>0.77309444293172058</v>
      </c>
    </row>
    <row r="8" spans="1:9" x14ac:dyDescent="0.2">
      <c r="A8" t="s">
        <v>90</v>
      </c>
      <c r="B8">
        <v>15.45454545454545</v>
      </c>
      <c r="C8">
        <v>21.47058823529412</v>
      </c>
      <c r="D8">
        <f>TableEVE[[#This Row],[ARIMAPP]]*$I$2+TableEVE[[#This Row],[LSTMPP]]*$I$3</f>
        <v>22.258864629835212</v>
      </c>
      <c r="E8">
        <v>31</v>
      </c>
      <c r="F8">
        <f>ABS(TableEVE[[#This Row],[PP]]-TableEVE[[#This Row],[AP]])</f>
        <v>8.7411353701647876</v>
      </c>
    </row>
    <row r="9" spans="1:9" x14ac:dyDescent="0.2">
      <c r="A9" t="s">
        <v>91</v>
      </c>
      <c r="B9">
        <v>15.833333333333339</v>
      </c>
      <c r="C9">
        <v>24.444444444444439</v>
      </c>
      <c r="D9">
        <f>TableEVE[[#This Row],[ARIMAPP]]*$I$2+TableEVE[[#This Row],[LSTMPP]]*$I$3</f>
        <v>24.323367549535334</v>
      </c>
      <c r="E9">
        <v>31</v>
      </c>
      <c r="F9">
        <f>ABS(TableEVE[[#This Row],[PP]]-TableEVE[[#This Row],[AP]])</f>
        <v>6.6766324504646661</v>
      </c>
    </row>
    <row r="10" spans="1:9" x14ac:dyDescent="0.2">
      <c r="A10" t="s">
        <v>92</v>
      </c>
      <c r="B10">
        <v>39.393939393939377</v>
      </c>
      <c r="C10">
        <v>34.050632911392398</v>
      </c>
      <c r="D10">
        <f>TableEVE[[#This Row],[ARIMAPP]]*$I$2+TableEVE[[#This Row],[LSTMPP]]*$I$3</f>
        <v>43.905725465054999</v>
      </c>
      <c r="E10">
        <v>44</v>
      </c>
      <c r="F10">
        <f>ABS(TableEVE[[#This Row],[PP]]-TableEVE[[#This Row],[AP]])</f>
        <v>9.427453494500071E-2</v>
      </c>
    </row>
    <row r="11" spans="1:9" x14ac:dyDescent="0.2">
      <c r="A11" t="s">
        <v>93</v>
      </c>
      <c r="B11">
        <v>24.651162790697679</v>
      </c>
      <c r="C11">
        <v>27.941176470588228</v>
      </c>
      <c r="D11">
        <f>TableEVE[[#This Row],[ARIMAPP]]*$I$2+TableEVE[[#This Row],[LSTMPP]]*$I$3</f>
        <v>31.591167439501874</v>
      </c>
      <c r="E11">
        <v>49</v>
      </c>
      <c r="F11">
        <f>ABS(TableEVE[[#This Row],[PP]]-TableEVE[[#This Row],[AP]])</f>
        <v>17.408832560498126</v>
      </c>
    </row>
    <row r="12" spans="1:9" x14ac:dyDescent="0.2">
      <c r="A12" t="s">
        <v>94</v>
      </c>
      <c r="B12">
        <v>23.636734493953359</v>
      </c>
      <c r="C12">
        <v>27.307692307692299</v>
      </c>
      <c r="D12">
        <f>TableEVE[[#This Row],[ARIMAPP]]*$I$2+TableEVE[[#This Row],[LSTMPP]]*$I$3</f>
        <v>30.611574523111571</v>
      </c>
      <c r="E12">
        <v>20</v>
      </c>
      <c r="F12">
        <f>ABS(TableEVE[[#This Row],[PP]]-TableEVE[[#This Row],[AP]])</f>
        <v>10.611574523111571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95</v>
      </c>
      <c r="B2">
        <v>26.973684210526301</v>
      </c>
      <c r="C2">
        <v>27.314049586776861</v>
      </c>
      <c r="D2">
        <f>TableFUL[[#This Row],[ARIMAPP]]*$I$2+TableFUL[[#This Row],[LSTMPP]]*$I$3</f>
        <v>25.532510119932134</v>
      </c>
      <c r="E2">
        <v>22</v>
      </c>
      <c r="F2">
        <f>ABS(TableFUL[[#This Row],[PP]]-TableFUL[[#This Row],[AP]])</f>
        <v>3.5325101199321338</v>
      </c>
      <c r="H2" t="s">
        <v>0</v>
      </c>
      <c r="I2">
        <v>0.45502591841976142</v>
      </c>
    </row>
    <row r="3" spans="1:9" x14ac:dyDescent="0.2">
      <c r="A3" t="s">
        <v>96</v>
      </c>
      <c r="B3">
        <v>26.63793103448274</v>
      </c>
      <c r="C3">
        <v>26.90217391304348</v>
      </c>
      <c r="D3">
        <f>TableFUL[[#This Row],[ARIMAPP]]*$I$2+TableFUL[[#This Row],[LSTMPP]]*$I$3</f>
        <v>25.179801052120002</v>
      </c>
      <c r="E3">
        <v>25</v>
      </c>
      <c r="F3">
        <f>ABS(TableFUL[[#This Row],[PP]]-TableFUL[[#This Row],[AP]])</f>
        <v>0.17980105212000197</v>
      </c>
      <c r="H3" t="s">
        <v>1</v>
      </c>
      <c r="I3">
        <v>0.4854199538134969</v>
      </c>
    </row>
    <row r="4" spans="1:9" x14ac:dyDescent="0.2">
      <c r="A4" t="s">
        <v>97</v>
      </c>
      <c r="B4">
        <v>37.555668772957837</v>
      </c>
      <c r="C4">
        <v>32.453703703703702</v>
      </c>
      <c r="D4">
        <f>TableFUL[[#This Row],[ARIMAPP]]*$I$2+TableFUL[[#This Row],[LSTMPP]]*$I$3</f>
        <v>32.842478028212263</v>
      </c>
      <c r="E4">
        <v>32</v>
      </c>
      <c r="F4">
        <f>ABS(TableFUL[[#This Row],[PP]]-TableFUL[[#This Row],[AP]])</f>
        <v>0.84247802821226259</v>
      </c>
    </row>
    <row r="5" spans="1:9" x14ac:dyDescent="0.2">
      <c r="A5" t="s">
        <v>98</v>
      </c>
      <c r="B5">
        <v>23.67647058823529</v>
      </c>
      <c r="C5">
        <v>25.555555555555561</v>
      </c>
      <c r="D5">
        <f>TableFUL[[#This Row],[ARIMAPP]]*$I$2+TableFUL[[#This Row],[LSTMPP]]*$I$3</f>
        <v>23.178584371806267</v>
      </c>
      <c r="E5">
        <v>22</v>
      </c>
      <c r="F5">
        <f>ABS(TableFUL[[#This Row],[PP]]-TableFUL[[#This Row],[AP]])</f>
        <v>1.1785843718062665</v>
      </c>
      <c r="H5" t="s">
        <v>2</v>
      </c>
      <c r="I5" cm="1">
        <f t="array" ref="I5">(SUM(TableFUL[PP]-TableFUL[AP]))^2</f>
        <v>1.2621774483536189E-27</v>
      </c>
    </row>
    <row r="6" spans="1:9" x14ac:dyDescent="0.2">
      <c r="A6" t="s">
        <v>99</v>
      </c>
      <c r="B6">
        <v>26.12903225806452</v>
      </c>
      <c r="C6">
        <v>25.91836734693878</v>
      </c>
      <c r="D6">
        <f>TableFUL[[#This Row],[ARIMAPP]]*$I$2+TableFUL[[#This Row],[LSTMPP]]*$I$3</f>
        <v>24.470679581117651</v>
      </c>
      <c r="E6">
        <v>24</v>
      </c>
      <c r="F6">
        <f>ABS(TableFUL[[#This Row],[PP]]-TableFUL[[#This Row],[AP]])</f>
        <v>0.47067958111765051</v>
      </c>
    </row>
    <row r="7" spans="1:9" x14ac:dyDescent="0.2">
      <c r="A7" t="s">
        <v>100</v>
      </c>
      <c r="B7">
        <v>30.97552556665562</v>
      </c>
      <c r="C7">
        <v>31.39705882352942</v>
      </c>
      <c r="D7">
        <f>TableFUL[[#This Row],[ARIMAPP]]*$I$2+TableFUL[[#This Row],[LSTMPP]]*$I$3</f>
        <v>29.335425813499569</v>
      </c>
      <c r="E7">
        <v>24</v>
      </c>
      <c r="F7">
        <f>ABS(TableFUL[[#This Row],[PP]]-TableFUL[[#This Row],[AP]])</f>
        <v>5.3354258134995689</v>
      </c>
      <c r="H7" t="s">
        <v>3</v>
      </c>
      <c r="I7">
        <f>AVERAGE(TableFUL[DIFF])/10</f>
        <v>0.52503844134890687</v>
      </c>
    </row>
    <row r="8" spans="1:9" x14ac:dyDescent="0.2">
      <c r="A8" t="s">
        <v>101</v>
      </c>
      <c r="B8">
        <v>23.8095238095238</v>
      </c>
      <c r="C8">
        <v>27.1</v>
      </c>
      <c r="D8">
        <f>TableFUL[[#This Row],[ARIMAPP]]*$I$2+TableFUL[[#This Row],[LSTMPP]]*$I$3</f>
        <v>23.988831186911511</v>
      </c>
      <c r="E8">
        <v>20</v>
      </c>
      <c r="F8">
        <f>ABS(TableFUL[[#This Row],[PP]]-TableFUL[[#This Row],[AP]])</f>
        <v>3.9888311869115114</v>
      </c>
    </row>
    <row r="9" spans="1:9" x14ac:dyDescent="0.2">
      <c r="A9" t="s">
        <v>102</v>
      </c>
      <c r="B9">
        <v>14.644284092709301</v>
      </c>
      <c r="C9">
        <v>26.111111111111111</v>
      </c>
      <c r="D9">
        <f>TableFUL[[#This Row],[ARIMAPP]]*$I$2+TableFUL[[#This Row],[LSTMPP]]*$I$3</f>
        <v>19.338383168459593</v>
      </c>
      <c r="E9">
        <v>34</v>
      </c>
      <c r="F9">
        <f>ABS(TableFUL[[#This Row],[PP]]-TableFUL[[#This Row],[AP]])</f>
        <v>14.661616831540407</v>
      </c>
    </row>
    <row r="10" spans="1:9" x14ac:dyDescent="0.2">
      <c r="A10" t="s">
        <v>103</v>
      </c>
      <c r="B10">
        <v>39.075690243412787</v>
      </c>
      <c r="C10">
        <v>38.252140510131532</v>
      </c>
      <c r="D10">
        <f>TableFUL[[#This Row],[ARIMAPP]]*$I$2+TableFUL[[#This Row],[LSTMPP]]*$I$3</f>
        <v>36.348804120590458</v>
      </c>
      <c r="E10">
        <v>23</v>
      </c>
      <c r="F10">
        <f>ABS(TableFUL[[#This Row],[PP]]-TableFUL[[#This Row],[AP]])</f>
        <v>13.348804120590458</v>
      </c>
    </row>
    <row r="11" spans="1:9" x14ac:dyDescent="0.2">
      <c r="A11" t="s">
        <v>104</v>
      </c>
      <c r="B11">
        <v>22.323204865065829</v>
      </c>
      <c r="C11">
        <v>27.517602857512529</v>
      </c>
      <c r="D11">
        <f>TableFUL[[#This Row],[ARIMAPP]]*$I$2+TableFUL[[#This Row],[LSTMPP]]*$I$3</f>
        <v>23.515230303950947</v>
      </c>
      <c r="E11">
        <v>30</v>
      </c>
      <c r="F11">
        <f>ABS(TableFUL[[#This Row],[PP]]-TableFUL[[#This Row],[AP]])</f>
        <v>6.4847696960490531</v>
      </c>
    </row>
    <row r="12" spans="1:9" x14ac:dyDescent="0.2">
      <c r="A12" t="s">
        <v>105</v>
      </c>
      <c r="B12">
        <v>38.620689655172391</v>
      </c>
      <c r="C12">
        <v>42.63495414735614</v>
      </c>
      <c r="D12">
        <f>TableFUL[[#This Row],[ARIMAPP]]*$I$2+TableFUL[[#This Row],[LSTMPP]]*$I$3</f>
        <v>38.269272253399571</v>
      </c>
      <c r="E12">
        <v>46</v>
      </c>
      <c r="F12">
        <f>ABS(TableFUL[[#This Row],[PP]]-TableFUL[[#This Row],[AP]])</f>
        <v>7.7307277466004294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106</v>
      </c>
      <c r="B2">
        <v>44.373605189766572</v>
      </c>
      <c r="C2">
        <v>38.380767746613458</v>
      </c>
      <c r="D2">
        <f>TableLIV[[#This Row],[ARIMAPP]]*$I$2+TableLIV[[#This Row],[LSTMPP]]*$I$3</f>
        <v>39.303637280013156</v>
      </c>
      <c r="E2">
        <v>49</v>
      </c>
      <c r="F2">
        <f>ABS(TableLIV[[#This Row],[PP]]-TableLIV[[#This Row],[AP]])</f>
        <v>9.6963627199868441</v>
      </c>
      <c r="H2" t="s">
        <v>0</v>
      </c>
      <c r="I2">
        <v>0.50322569826404318</v>
      </c>
    </row>
    <row r="3" spans="1:9" x14ac:dyDescent="0.2">
      <c r="A3" t="s">
        <v>107</v>
      </c>
      <c r="B3">
        <v>50.365853658536572</v>
      </c>
      <c r="C3">
        <v>44.0624622842763</v>
      </c>
      <c r="D3">
        <f>TableLIV[[#This Row],[ARIMAPP]]*$I$2+TableLIV[[#This Row],[LSTMPP]]*$I$3</f>
        <v>44.831791136943465</v>
      </c>
      <c r="E3">
        <v>34</v>
      </c>
      <c r="F3">
        <f>ABS(TableLIV[[#This Row],[PP]]-TableLIV[[#This Row],[AP]])</f>
        <v>10.831791136943465</v>
      </c>
      <c r="H3" t="s">
        <v>1</v>
      </c>
      <c r="I3">
        <v>0.44224490077840051</v>
      </c>
    </row>
    <row r="4" spans="1:9" x14ac:dyDescent="0.2">
      <c r="A4" t="s">
        <v>108</v>
      </c>
      <c r="B4">
        <v>68.125</v>
      </c>
      <c r="C4">
        <v>69.413891898200433</v>
      </c>
      <c r="D4">
        <f>TableLIV[[#This Row],[ARIMAPP]]*$I$2+TableLIV[[#This Row],[LSTMPP]]*$I$3</f>
        <v>64.98019042940021</v>
      </c>
      <c r="E4">
        <v>88</v>
      </c>
      <c r="F4">
        <f>ABS(TableLIV[[#This Row],[PP]]-TableLIV[[#This Row],[AP]])</f>
        <v>23.01980957059979</v>
      </c>
    </row>
    <row r="5" spans="1:9" x14ac:dyDescent="0.2">
      <c r="A5" t="s">
        <v>109</v>
      </c>
      <c r="B5">
        <v>52.416148922056813</v>
      </c>
      <c r="C5">
        <v>44.757038972317162</v>
      </c>
      <c r="D5">
        <f>TableLIV[[#This Row],[ARIMAPP]]*$I$2+TableLIV[[#This Row],[LSTMPP]]*$I$3</f>
        <v>46.170725401061517</v>
      </c>
      <c r="E5">
        <v>56</v>
      </c>
      <c r="F5">
        <f>ABS(TableLIV[[#This Row],[PP]]-TableLIV[[#This Row],[AP]])</f>
        <v>9.8292745989384827</v>
      </c>
      <c r="H5" t="s">
        <v>2</v>
      </c>
      <c r="I5" cm="1">
        <f t="array" ref="I5">(SUM(TableLIV[PP]-TableLIV[AP]))^2</f>
        <v>3.2311742677852644E-27</v>
      </c>
    </row>
    <row r="6" spans="1:9" x14ac:dyDescent="0.2">
      <c r="A6" t="s">
        <v>110</v>
      </c>
      <c r="B6">
        <v>49.687956810595317</v>
      </c>
      <c r="C6">
        <v>41.482109008218693</v>
      </c>
      <c r="D6">
        <f>TableLIV[[#This Row],[ARIMAPP]]*$I$2+TableLIV[[#This Row],[LSTMPP]]*$I$3</f>
        <v>43.349507943743916</v>
      </c>
      <c r="E6">
        <v>35</v>
      </c>
      <c r="F6">
        <f>ABS(TableLIV[[#This Row],[PP]]-TableLIV[[#This Row],[AP]])</f>
        <v>8.3495079437439159</v>
      </c>
    </row>
    <row r="7" spans="1:9" x14ac:dyDescent="0.2">
      <c r="A7" t="s">
        <v>111</v>
      </c>
      <c r="B7">
        <v>28.644746612513959</v>
      </c>
      <c r="C7">
        <v>28.904109589041099</v>
      </c>
      <c r="D7">
        <f>TableLIV[[#This Row],[ARIMAPP]]*$I$2+TableLIV[[#This Row],[LSTMPP]]*$I$3</f>
        <v>27.197467692972417</v>
      </c>
      <c r="E7">
        <v>29</v>
      </c>
      <c r="F7">
        <f>ABS(TableLIV[[#This Row],[PP]]-TableLIV[[#This Row],[AP]])</f>
        <v>1.8025323070275832</v>
      </c>
      <c r="H7" t="s">
        <v>3</v>
      </c>
      <c r="I7">
        <f>AVERAGE(TableLIV[DIFF])/10</f>
        <v>0.90541894134342604</v>
      </c>
    </row>
    <row r="8" spans="1:9" x14ac:dyDescent="0.2">
      <c r="A8" t="s">
        <v>112</v>
      </c>
      <c r="B8">
        <v>31.153846153846139</v>
      </c>
      <c r="C8">
        <v>30.75</v>
      </c>
      <c r="D8">
        <f>TableLIV[[#This Row],[ARIMAPP]]*$I$2+TableLIV[[#This Row],[LSTMPP]]*$I$3</f>
        <v>29.276446683315612</v>
      </c>
      <c r="E8">
        <v>22</v>
      </c>
      <c r="F8">
        <f>ABS(TableLIV[[#This Row],[PP]]-TableLIV[[#This Row],[AP]])</f>
        <v>7.2764466833156121</v>
      </c>
    </row>
    <row r="9" spans="1:9" x14ac:dyDescent="0.2">
      <c r="A9" t="s">
        <v>113</v>
      </c>
      <c r="B9">
        <v>36.206896551724121</v>
      </c>
      <c r="C9">
        <v>31.95652173913043</v>
      </c>
      <c r="D9">
        <f>TableLIV[[#This Row],[ARIMAPP]]*$I$2+TableLIV[[#This Row],[LSTMPP]]*$I$3</f>
        <v>32.352849584959884</v>
      </c>
      <c r="E9">
        <v>26</v>
      </c>
      <c r="F9">
        <f>ABS(TableLIV[[#This Row],[PP]]-TableLIV[[#This Row],[AP]])</f>
        <v>6.3528495849598841</v>
      </c>
    </row>
    <row r="10" spans="1:9" x14ac:dyDescent="0.2">
      <c r="A10" t="s">
        <v>114</v>
      </c>
      <c r="B10">
        <v>37</v>
      </c>
      <c r="C10">
        <v>34.830230609930453</v>
      </c>
      <c r="D10">
        <f>TableLIV[[#This Row],[ARIMAPP]]*$I$2+TableLIV[[#This Row],[LSTMPP]]*$I$3</f>
        <v>34.0228427159471</v>
      </c>
      <c r="E10">
        <v>44</v>
      </c>
      <c r="F10">
        <f>ABS(TableLIV[[#This Row],[PP]]-TableLIV[[#This Row],[AP]])</f>
        <v>9.9771572840529004</v>
      </c>
    </row>
    <row r="11" spans="1:9" x14ac:dyDescent="0.2">
      <c r="A11" t="s">
        <v>115</v>
      </c>
      <c r="B11">
        <v>39.047619047619037</v>
      </c>
      <c r="C11">
        <v>31.875</v>
      </c>
      <c r="D11">
        <f>TableLIV[[#This Row],[ARIMAPP]]*$I$2+TableLIV[[#This Row],[LSTMPP]]*$I$3</f>
        <v>33.746321573097958</v>
      </c>
      <c r="E11">
        <v>31</v>
      </c>
      <c r="F11">
        <f>ABS(TableLIV[[#This Row],[PP]]-TableLIV[[#This Row],[AP]])</f>
        <v>2.7463215730979584</v>
      </c>
    </row>
    <row r="12" spans="1:9" x14ac:dyDescent="0.2">
      <c r="A12" t="s">
        <v>116</v>
      </c>
      <c r="B12">
        <v>43.576624456072871</v>
      </c>
      <c r="C12">
        <v>37.691275961383582</v>
      </c>
      <c r="D12">
        <f>TableLIV[[#This Row],[ARIMAPP]]*$I$2+TableLIV[[#This Row],[LSTMPP]]*$I$3</f>
        <v>38.59765186765064</v>
      </c>
      <c r="E12">
        <v>22</v>
      </c>
      <c r="F12">
        <f>ABS(TableLIV[[#This Row],[PP]]-TableLIV[[#This Row],[AP]])</f>
        <v>16.59765186765064</v>
      </c>
    </row>
    <row r="13" spans="1:9" x14ac:dyDescent="0.2">
      <c r="A13" t="s">
        <v>117</v>
      </c>
      <c r="B13">
        <v>47.5</v>
      </c>
      <c r="C13">
        <v>30</v>
      </c>
      <c r="D13">
        <f>TableLIV[[#This Row],[ARIMAPP]]*$I$2+TableLIV[[#This Row],[LSTMPP]]*$I$3</f>
        <v>37.170567690894067</v>
      </c>
      <c r="E13">
        <v>35</v>
      </c>
      <c r="F13">
        <f>ABS(TableLIV[[#This Row],[PP]]-TableLIV[[#This Row],[AP]])</f>
        <v>2.1705676908940674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118</v>
      </c>
      <c r="B2">
        <v>19.99999997916122</v>
      </c>
      <c r="C2">
        <v>25</v>
      </c>
      <c r="D2">
        <f>TableLUT[[#This Row],[ARIMAPP]]*$I$2+TableLUT[[#This Row],[LSTMPP]]*$I$3</f>
        <v>17.118099535744015</v>
      </c>
      <c r="E2">
        <v>22</v>
      </c>
      <c r="F2">
        <f>ABS(TableLUT[[#This Row],[PP]]-TableLUT[[#This Row],[AP]])</f>
        <v>4.8819004642559847</v>
      </c>
      <c r="H2" t="s">
        <v>0</v>
      </c>
      <c r="I2">
        <v>0.40314615778671908</v>
      </c>
    </row>
    <row r="3" spans="1:9" x14ac:dyDescent="0.2">
      <c r="A3" t="s">
        <v>119</v>
      </c>
      <c r="B3">
        <v>50.000000000000007</v>
      </c>
      <c r="C3">
        <v>37.891566067353153</v>
      </c>
      <c r="D3">
        <f>TableLUT[[#This Row],[ARIMAPP]]*$I$2+TableLUT[[#This Row],[LSTMPP]]*$I$3</f>
        <v>33.881900464255985</v>
      </c>
      <c r="E3">
        <v>29</v>
      </c>
      <c r="F3">
        <f>ABS(TableLUT[[#This Row],[PP]]-TableLUT[[#This Row],[AP]])</f>
        <v>4.8819004642559847</v>
      </c>
      <c r="H3" t="s">
        <v>1</v>
      </c>
      <c r="I3">
        <v>0.36220705553642835</v>
      </c>
    </row>
    <row r="5" spans="1:9" x14ac:dyDescent="0.2">
      <c r="H5" t="s">
        <v>2</v>
      </c>
      <c r="I5" cm="1">
        <f t="array" ref="I5">(SUM(TableLUT[PP]-TableLUT[AP]))^2</f>
        <v>0</v>
      </c>
    </row>
    <row r="7" spans="1:9" x14ac:dyDescent="0.2">
      <c r="H7" t="s">
        <v>3</v>
      </c>
      <c r="I7">
        <f>AVERAGE(TableLUT[DIFF])/10</f>
        <v>0.48819004642559849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120</v>
      </c>
      <c r="B2">
        <v>41.240861350488977</v>
      </c>
      <c r="C2">
        <v>34.947677559748357</v>
      </c>
      <c r="D2">
        <f>TableMCI[[#This Row],[ARIMAPP]]*$I$2+TableMCI[[#This Row],[LSTMPP]]*$I$3</f>
        <v>37.849585754244572</v>
      </c>
      <c r="E2">
        <v>26</v>
      </c>
      <c r="F2">
        <f>ABS(TableMCI[[#This Row],[PP]]-TableMCI[[#This Row],[AP]])</f>
        <v>11.849585754244572</v>
      </c>
      <c r="H2" t="s">
        <v>0</v>
      </c>
      <c r="I2">
        <v>0.51376183485457327</v>
      </c>
    </row>
    <row r="3" spans="1:9" x14ac:dyDescent="0.2">
      <c r="A3" t="s">
        <v>121</v>
      </c>
      <c r="B3">
        <v>38.740157480314963</v>
      </c>
      <c r="C3">
        <v>35.864398200528882</v>
      </c>
      <c r="D3">
        <f>TableMCI[[#This Row],[ARIMAPP]]*$I$2+TableMCI[[#This Row],[LSTMPP]]*$I$3</f>
        <v>37.00187397716968</v>
      </c>
      <c r="E3">
        <v>30</v>
      </c>
      <c r="F3">
        <f>ABS(TableMCI[[#This Row],[PP]]-TableMCI[[#This Row],[AP]])</f>
        <v>7.0018739771696801</v>
      </c>
      <c r="H3" t="s">
        <v>1</v>
      </c>
      <c r="I3">
        <v>0.47675858080551298</v>
      </c>
    </row>
    <row r="4" spans="1:9" x14ac:dyDescent="0.2">
      <c r="A4" t="s">
        <v>122</v>
      </c>
      <c r="B4">
        <v>32.672413793103424</v>
      </c>
      <c r="C4">
        <v>30.054347826086961</v>
      </c>
      <c r="D4">
        <f>TableMCI[[#This Row],[ARIMAPP]]*$I$2+TableMCI[[#This Row],[LSTMPP]]*$I$3</f>
        <v>31.114507476073157</v>
      </c>
      <c r="E4">
        <v>33</v>
      </c>
      <c r="F4">
        <f>ABS(TableMCI[[#This Row],[PP]]-TableMCI[[#This Row],[AP]])</f>
        <v>1.8854925239268425</v>
      </c>
    </row>
    <row r="5" spans="1:9" x14ac:dyDescent="0.2">
      <c r="A5" t="s">
        <v>123</v>
      </c>
      <c r="B5">
        <v>48.181603455766307</v>
      </c>
      <c r="C5">
        <v>42.835888491605381</v>
      </c>
      <c r="D5">
        <f>TableMCI[[#This Row],[ARIMAPP]]*$I$2+TableMCI[[#This Row],[LSTMPP]]*$I$3</f>
        <v>45.176246402470937</v>
      </c>
      <c r="E5">
        <v>45</v>
      </c>
      <c r="F5">
        <f>ABS(TableMCI[[#This Row],[PP]]-TableMCI[[#This Row],[AP]])</f>
        <v>0.17624640247093737</v>
      </c>
      <c r="H5" t="s">
        <v>2</v>
      </c>
      <c r="I5" cm="1">
        <f t="array" ref="I5">(SUM(TableMCI[PP]-TableMCI[AP]))^2</f>
        <v>1.4590771302967834E-26</v>
      </c>
    </row>
    <row r="6" spans="1:9" x14ac:dyDescent="0.2">
      <c r="A6" t="s">
        <v>124</v>
      </c>
      <c r="B6">
        <v>30.378787878787861</v>
      </c>
      <c r="C6">
        <v>29.095238095238091</v>
      </c>
      <c r="D6">
        <f>TableMCI[[#This Row],[ARIMAPP]]*$I$2+TableMCI[[#This Row],[LSTMPP]]*$I$3</f>
        <v>29.478866223748131</v>
      </c>
      <c r="E6">
        <v>32</v>
      </c>
      <c r="F6">
        <f>ABS(TableMCI[[#This Row],[PP]]-TableMCI[[#This Row],[AP]])</f>
        <v>2.5211337762518689</v>
      </c>
    </row>
    <row r="7" spans="1:9" x14ac:dyDescent="0.2">
      <c r="A7" t="s">
        <v>125</v>
      </c>
      <c r="B7">
        <v>81.441207955522444</v>
      </c>
      <c r="C7">
        <v>78.772099587992471</v>
      </c>
      <c r="D7">
        <f>TableMCI[[#This Row],[ARIMAPP]]*$I$2+TableMCI[[#This Row],[LSTMPP]]*$I$3</f>
        <v>79.396658838643901</v>
      </c>
      <c r="E7">
        <v>71</v>
      </c>
      <c r="F7">
        <f>ABS(TableMCI[[#This Row],[PP]]-TableMCI[[#This Row],[AP]])</f>
        <v>8.3966588386439014</v>
      </c>
      <c r="H7" t="s">
        <v>3</v>
      </c>
      <c r="I7">
        <f>AVERAGE(TableMCI[DIFF])/10</f>
        <v>0.74037780773318862</v>
      </c>
    </row>
    <row r="8" spans="1:9" x14ac:dyDescent="0.2">
      <c r="A8" t="s">
        <v>126</v>
      </c>
      <c r="B8">
        <v>32.601677546262408</v>
      </c>
      <c r="C8">
        <v>32.35038756421298</v>
      </c>
      <c r="D8">
        <f>TableMCI[[#This Row],[ARIMAPP]]*$I$2+TableMCI[[#This Row],[LSTMPP]]*$I$3</f>
        <v>32.172822539127409</v>
      </c>
      <c r="E8">
        <v>49</v>
      </c>
      <c r="F8">
        <f>ABS(TableMCI[[#This Row],[PP]]-TableMCI[[#This Row],[AP]])</f>
        <v>16.827177460872591</v>
      </c>
    </row>
    <row r="9" spans="1:9" x14ac:dyDescent="0.2">
      <c r="A9" t="s">
        <v>127</v>
      </c>
      <c r="B9">
        <v>33.636363636363633</v>
      </c>
      <c r="C9">
        <v>30.484738312201848</v>
      </c>
      <c r="D9">
        <f>TableMCI[[#This Row],[ARIMAPP]]*$I$2+TableMCI[[#This Row],[LSTMPP]]*$I$3</f>
        <v>31.814940473606626</v>
      </c>
      <c r="E9">
        <v>45</v>
      </c>
      <c r="F9">
        <f>ABS(TableMCI[[#This Row],[PP]]-TableMCI[[#This Row],[AP]])</f>
        <v>13.185059526393374</v>
      </c>
    </row>
    <row r="10" spans="1:9" x14ac:dyDescent="0.2">
      <c r="A10" t="s">
        <v>128</v>
      </c>
      <c r="B10">
        <v>32.638715905234477</v>
      </c>
      <c r="C10">
        <v>28.999999999999989</v>
      </c>
      <c r="D10">
        <f>TableMCI[[#This Row],[ARIMAPP]]*$I$2+TableMCI[[#This Row],[LSTMPP]]*$I$3</f>
        <v>30.594525414130281</v>
      </c>
      <c r="E10">
        <v>21</v>
      </c>
      <c r="F10">
        <f>ABS(TableMCI[[#This Row],[PP]]-TableMCI[[#This Row],[AP]])</f>
        <v>9.5945254141302811</v>
      </c>
    </row>
    <row r="11" spans="1:9" x14ac:dyDescent="0.2">
      <c r="A11" t="s">
        <v>129</v>
      </c>
      <c r="B11">
        <v>31.111111111111128</v>
      </c>
      <c r="C11">
        <v>30.238095238095241</v>
      </c>
      <c r="D11">
        <f>TableMCI[[#This Row],[ARIMAPP]]*$I$2+TableMCI[[#This Row],[LSTMPP]]*$I$3</f>
        <v>30.399972900785183</v>
      </c>
      <c r="E11">
        <v>33</v>
      </c>
      <c r="F11">
        <f>ABS(TableMCI[[#This Row],[PP]]-TableMCI[[#This Row],[AP]])</f>
        <v>2.6000270992148167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130</v>
      </c>
      <c r="B2">
        <v>34.617764066964398</v>
      </c>
      <c r="C2">
        <v>33.500260520993763</v>
      </c>
      <c r="D2">
        <f>TableMUN[[#This Row],[ARIMAPP]]*$I$2+TableMUN[[#This Row],[LSTMPP]]*$I$3</f>
        <v>33.708622200416528</v>
      </c>
      <c r="E2">
        <v>34</v>
      </c>
      <c r="F2">
        <f>ABS(TableMUN[[#This Row],[PP]]-TableMUN[[#This Row],[AP]])</f>
        <v>0.2913777995834721</v>
      </c>
      <c r="H2" t="s">
        <v>0</v>
      </c>
      <c r="I2">
        <v>0.49538581868688369</v>
      </c>
    </row>
    <row r="3" spans="1:9" x14ac:dyDescent="0.2">
      <c r="A3" t="s">
        <v>131</v>
      </c>
      <c r="B3">
        <v>37.252747252747227</v>
      </c>
      <c r="C3">
        <v>37.231626890762577</v>
      </c>
      <c r="D3">
        <f>TableMUN[[#This Row],[ARIMAPP]]*$I$2+TableMUN[[#This Row],[LSTMPP]]*$I$3</f>
        <v>36.858402649875458</v>
      </c>
      <c r="E3">
        <v>28</v>
      </c>
      <c r="F3">
        <f>ABS(TableMUN[[#This Row],[PP]]-TableMUN[[#This Row],[AP]])</f>
        <v>8.8584026498754582</v>
      </c>
      <c r="H3" t="s">
        <v>1</v>
      </c>
      <c r="I3">
        <v>0.494308776990453</v>
      </c>
    </row>
    <row r="4" spans="1:9" x14ac:dyDescent="0.2">
      <c r="A4" t="s">
        <v>132</v>
      </c>
      <c r="B4">
        <v>30.433029286003499</v>
      </c>
      <c r="C4">
        <v>30.478260869565219</v>
      </c>
      <c r="D4">
        <f>TableMUN[[#This Row],[ARIMAPP]]*$I$2+TableMUN[[#This Row],[LSTMPP]]*$I$3</f>
        <v>30.141762983199516</v>
      </c>
      <c r="E4">
        <v>32</v>
      </c>
      <c r="F4">
        <f>ABS(TableMUN[[#This Row],[PP]]-TableMUN[[#This Row],[AP]])</f>
        <v>1.8582370168004836</v>
      </c>
    </row>
    <row r="5" spans="1:9" x14ac:dyDescent="0.2">
      <c r="A5" t="s">
        <v>133</v>
      </c>
      <c r="B5">
        <v>46.456437984384003</v>
      </c>
      <c r="C5">
        <v>43.875986194268727</v>
      </c>
      <c r="D5">
        <f>TableMUN[[#This Row],[ARIMAPP]]*$I$2+TableMUN[[#This Row],[LSTMPP]]*$I$3</f>
        <v>44.702145639109489</v>
      </c>
      <c r="E5">
        <v>33</v>
      </c>
      <c r="F5">
        <f>ABS(TableMUN[[#This Row],[PP]]-TableMUN[[#This Row],[AP]])</f>
        <v>11.702145639109489</v>
      </c>
      <c r="H5" t="s">
        <v>2</v>
      </c>
      <c r="I5" cm="1">
        <f t="array" ref="I5">(SUM(TableMUN[PP]-TableMUN[AP]))^2</f>
        <v>0</v>
      </c>
    </row>
    <row r="6" spans="1:9" x14ac:dyDescent="0.2">
      <c r="A6" t="s">
        <v>134</v>
      </c>
      <c r="B6">
        <v>24.016393442622942</v>
      </c>
      <c r="C6">
        <v>27.268041237113401</v>
      </c>
      <c r="D6">
        <f>TableMUN[[#This Row],[ARIMAPP]]*$I$2+TableMUN[[#This Row],[LSTMPP]]*$I$3</f>
        <v>25.376212842322836</v>
      </c>
      <c r="E6">
        <v>40</v>
      </c>
      <c r="F6">
        <f>ABS(TableMUN[[#This Row],[PP]]-TableMUN[[#This Row],[AP]])</f>
        <v>14.623787157677164</v>
      </c>
    </row>
    <row r="7" spans="1:9" x14ac:dyDescent="0.2">
      <c r="A7" t="s">
        <v>135</v>
      </c>
      <c r="B7">
        <v>30.673005045466539</v>
      </c>
      <c r="C7">
        <v>31.386714748246359</v>
      </c>
      <c r="D7">
        <f>TableMUN[[#This Row],[ARIMAPP]]*$I$2+TableMUN[[#This Row],[LSTMPP]]*$I$3</f>
        <v>30.709700296989226</v>
      </c>
      <c r="E7">
        <v>40</v>
      </c>
      <c r="F7">
        <f>ABS(TableMUN[[#This Row],[PP]]-TableMUN[[#This Row],[AP]])</f>
        <v>9.2902997030107741</v>
      </c>
      <c r="H7" t="s">
        <v>3</v>
      </c>
      <c r="I7">
        <f>AVERAGE(TableMUN[DIFF])/10</f>
        <v>0.77167773511221793</v>
      </c>
    </row>
    <row r="8" spans="1:9" x14ac:dyDescent="0.2">
      <c r="A8" t="s">
        <v>136</v>
      </c>
      <c r="B8">
        <v>43.679245283018908</v>
      </c>
      <c r="C8">
        <v>44.266488485553658</v>
      </c>
      <c r="D8">
        <f>TableMUN[[#This Row],[ARIMAPP]]*$I$2+TableMUN[[#This Row],[LSTMPP]]*$I$3</f>
        <v>43.519392469109519</v>
      </c>
      <c r="E8">
        <v>22</v>
      </c>
      <c r="F8">
        <f>ABS(TableMUN[[#This Row],[PP]]-TableMUN[[#This Row],[AP]])</f>
        <v>21.519392469109519</v>
      </c>
    </row>
    <row r="9" spans="1:9" x14ac:dyDescent="0.2">
      <c r="A9" t="s">
        <v>137</v>
      </c>
      <c r="B9">
        <v>34.210526315789487</v>
      </c>
      <c r="C9">
        <v>31.6412915721647</v>
      </c>
      <c r="D9">
        <f>TableMUN[[#This Row],[ARIMAPP]]*$I$2+TableMUN[[#This Row],[LSTMPP]]*$I$3</f>
        <v>32.587977726091616</v>
      </c>
      <c r="E9">
        <v>29</v>
      </c>
      <c r="F9">
        <f>ABS(TableMUN[[#This Row],[PP]]-TableMUN[[#This Row],[AP]])</f>
        <v>3.5879777260916157</v>
      </c>
    </row>
    <row r="10" spans="1:9" x14ac:dyDescent="0.2">
      <c r="A10" t="s">
        <v>138</v>
      </c>
      <c r="B10">
        <v>44.16666666666665</v>
      </c>
      <c r="C10">
        <v>41.052772814766392</v>
      </c>
      <c r="D10">
        <f>TableMUN[[#This Row],[ARIMAPP]]*$I$2+TableMUN[[#This Row],[LSTMPP]]*$I$3</f>
        <v>42.172286247471447</v>
      </c>
      <c r="E10">
        <v>45</v>
      </c>
      <c r="F10">
        <f>ABS(TableMUN[[#This Row],[PP]]-TableMUN[[#This Row],[AP]])</f>
        <v>2.8277137525285525</v>
      </c>
    </row>
    <row r="11" spans="1:9" x14ac:dyDescent="0.2">
      <c r="A11" t="s">
        <v>139</v>
      </c>
      <c r="B11">
        <v>35.185185185185198</v>
      </c>
      <c r="C11">
        <v>35.971883759204097</v>
      </c>
      <c r="D11">
        <f>TableMUN[[#This Row],[ARIMAPP]]*$I$2+TableMUN[[#This Row],[LSTMPP]]*$I$3</f>
        <v>35.211459635667495</v>
      </c>
      <c r="E11">
        <v>49</v>
      </c>
      <c r="F11">
        <f>ABS(TableMUN[[#This Row],[PP]]-TableMUN[[#This Row],[AP]])</f>
        <v>13.788540364332505</v>
      </c>
    </row>
    <row r="12" spans="1:9" x14ac:dyDescent="0.2">
      <c r="A12" t="s">
        <v>140</v>
      </c>
      <c r="B12">
        <v>20.861031748404908</v>
      </c>
      <c r="C12">
        <v>22.857142857142851</v>
      </c>
      <c r="D12">
        <f>TableMUN[[#This Row],[ARIMAPP]]*$I$2+TableMUN[[#This Row],[LSTMPP]]*$I$3</f>
        <v>21.632745622546988</v>
      </c>
      <c r="E12">
        <v>21</v>
      </c>
      <c r="F12">
        <f>ABS(TableMUN[[#This Row],[PP]]-TableMUN[[#This Row],[AP]])</f>
        <v>0.63274562254698807</v>
      </c>
    </row>
    <row r="13" spans="1:9" x14ac:dyDescent="0.2">
      <c r="A13" t="s">
        <v>141</v>
      </c>
      <c r="B13">
        <v>26.08695652173914</v>
      </c>
      <c r="C13">
        <v>27.222222222222221</v>
      </c>
      <c r="D13">
        <f>TableMUN[[#This Row],[ARIMAPP]]*$I$2+TableMUN[[#This Row],[LSTMPP]]*$I$3</f>
        <v>26.379291687199881</v>
      </c>
      <c r="E13">
        <v>30</v>
      </c>
      <c r="F13">
        <f>ABS(TableMUN[[#This Row],[PP]]-TableMUN[[#This Row],[AP]])</f>
        <v>3.6207083128001187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99</v>
      </c>
      <c r="B2">
        <v>45.985401459854018</v>
      </c>
      <c r="C2">
        <v>44.118080297793917</v>
      </c>
      <c r="D2">
        <f>TableNEW[[#This Row],[ARIMAPP]]*$I$2+TableNEW[[#This Row],[LSTMPP]]*$I$3</f>
        <v>59.514294286393813</v>
      </c>
      <c r="E2">
        <v>46</v>
      </c>
      <c r="F2">
        <f>ABS(TableNEW[[#This Row],[PP]]-TableNEW[[#This Row],[AP]])</f>
        <v>13.514294286393813</v>
      </c>
      <c r="H2" t="s">
        <v>0</v>
      </c>
      <c r="I2">
        <v>0.65209098901382589</v>
      </c>
    </row>
    <row r="3" spans="1:9" x14ac:dyDescent="0.2">
      <c r="A3" t="s">
        <v>142</v>
      </c>
      <c r="B3">
        <v>45.733448887531907</v>
      </c>
      <c r="C3">
        <v>41.13438045310064</v>
      </c>
      <c r="D3">
        <f>TableNEW[[#This Row],[ARIMAPP]]*$I$2+TableNEW[[#This Row],[LSTMPP]]*$I$3</f>
        <v>57.353048743867774</v>
      </c>
      <c r="E3">
        <v>77</v>
      </c>
      <c r="F3">
        <f>ABS(TableNEW[[#This Row],[PP]]-TableNEW[[#This Row],[AP]])</f>
        <v>19.646951256132226</v>
      </c>
      <c r="H3" t="s">
        <v>1</v>
      </c>
      <c r="I3">
        <v>0.66928633723249908</v>
      </c>
    </row>
    <row r="4" spans="1:9" x14ac:dyDescent="0.2">
      <c r="A4" t="s">
        <v>143</v>
      </c>
      <c r="B4">
        <v>24.620908142741531</v>
      </c>
      <c r="C4">
        <v>30.202020202020201</v>
      </c>
      <c r="D4">
        <f>TableNEW[[#This Row],[ARIMAPP]]*$I$2+TableNEW[[#This Row],[LSTMPP]]*$I$3</f>
        <v>36.268871819250926</v>
      </c>
      <c r="E4">
        <v>47</v>
      </c>
      <c r="F4">
        <f>ABS(TableNEW[[#This Row],[PP]]-TableNEW[[#This Row],[AP]])</f>
        <v>10.731128180749074</v>
      </c>
    </row>
    <row r="5" spans="1:9" x14ac:dyDescent="0.2">
      <c r="A5" t="s">
        <v>144</v>
      </c>
      <c r="B5">
        <v>22.522522522522539</v>
      </c>
      <c r="C5">
        <v>25.51136363636364</v>
      </c>
      <c r="D5">
        <f>TableNEW[[#This Row],[ARIMAPP]]*$I$2+TableNEW[[#This Row],[LSTMPP]]*$I$3</f>
        <v>31.761141112786078</v>
      </c>
      <c r="E5">
        <v>35</v>
      </c>
      <c r="F5">
        <f>ABS(TableNEW[[#This Row],[PP]]-TableNEW[[#This Row],[AP]])</f>
        <v>3.2388588872139223</v>
      </c>
      <c r="H5" t="s">
        <v>2</v>
      </c>
      <c r="I5" cm="1">
        <f t="array" ref="I5">(SUM(TableNEW[PP]-TableNEW[AP]))^2</f>
        <v>0</v>
      </c>
    </row>
    <row r="6" spans="1:9" x14ac:dyDescent="0.2">
      <c r="A6" t="s">
        <v>145</v>
      </c>
      <c r="B6">
        <v>29.10569105691059</v>
      </c>
      <c r="C6">
        <v>29.030612244897959</v>
      </c>
      <c r="D6">
        <f>TableNEW[[#This Row],[ARIMAPP]]*$I$2+TableNEW[[#This Row],[LSTMPP]]*$I$3</f>
        <v>38.409351004236385</v>
      </c>
      <c r="E6">
        <v>35</v>
      </c>
      <c r="F6">
        <f>ABS(TableNEW[[#This Row],[PP]]-TableNEW[[#This Row],[AP]])</f>
        <v>3.4093510042363846</v>
      </c>
    </row>
    <row r="7" spans="1:9" x14ac:dyDescent="0.2">
      <c r="A7" t="s">
        <v>146</v>
      </c>
      <c r="B7">
        <v>35.396861200436753</v>
      </c>
      <c r="C7">
        <v>26.261682242990648</v>
      </c>
      <c r="D7">
        <f>TableNEW[[#This Row],[ARIMAPP]]*$I$2+TableNEW[[#This Row],[LSTMPP]]*$I$3</f>
        <v>40.658559346152899</v>
      </c>
      <c r="E7">
        <v>28</v>
      </c>
      <c r="F7">
        <f>ABS(TableNEW[[#This Row],[PP]]-TableNEW[[#This Row],[AP]])</f>
        <v>12.658559346152899</v>
      </c>
      <c r="H7" t="s">
        <v>3</v>
      </c>
      <c r="I7">
        <f>AVERAGE(TableNEW[DIFF])/10</f>
        <v>1.1969292344497504</v>
      </c>
    </row>
    <row r="8" spans="1:9" x14ac:dyDescent="0.2">
      <c r="A8" t="s">
        <v>147</v>
      </c>
      <c r="B8">
        <v>40.746675280074868</v>
      </c>
      <c r="C8">
        <v>35.648148148148159</v>
      </c>
      <c r="D8">
        <f>TableNEW[[#This Row],[ARIMAPP]]*$I$2+TableNEW[[#This Row],[LSTMPP]]*$I$3</f>
        <v>50.429358285604806</v>
      </c>
      <c r="E8">
        <v>47</v>
      </c>
      <c r="F8">
        <f>ABS(TableNEW[[#This Row],[PP]]-TableNEW[[#This Row],[AP]])</f>
        <v>3.4293582856048062</v>
      </c>
    </row>
    <row r="9" spans="1:9" x14ac:dyDescent="0.2">
      <c r="A9" t="s">
        <v>148</v>
      </c>
      <c r="B9">
        <v>24.74358974358973</v>
      </c>
      <c r="C9">
        <v>26.612903225806441</v>
      </c>
      <c r="D9">
        <f>TableNEW[[#This Row],[ARIMAPP]]*$I$2+TableNEW[[#This Row],[LSTMPP]]*$I$3</f>
        <v>33.946724430772733</v>
      </c>
      <c r="E9">
        <v>65</v>
      </c>
      <c r="F9">
        <f>ABS(TableNEW[[#This Row],[PP]]-TableNEW[[#This Row],[AP]])</f>
        <v>31.053275569227267</v>
      </c>
    </row>
    <row r="10" spans="1:9" x14ac:dyDescent="0.2">
      <c r="A10" t="s">
        <v>149</v>
      </c>
      <c r="B10">
        <v>10.95238094850794</v>
      </c>
      <c r="C10">
        <v>17.5</v>
      </c>
      <c r="D10">
        <f>TableNEW[[#This Row],[ARIMAPP]]*$I$2+TableNEW[[#This Row],[LSTMPP]]*$I$3</f>
        <v>18.854459826337461</v>
      </c>
      <c r="E10">
        <v>26</v>
      </c>
      <c r="F10">
        <f>ABS(TableNEW[[#This Row],[PP]]-TableNEW[[#This Row],[AP]])</f>
        <v>7.145540173662539</v>
      </c>
    </row>
    <row r="11" spans="1:9" x14ac:dyDescent="0.2">
      <c r="A11" t="s">
        <v>150</v>
      </c>
      <c r="B11">
        <v>33.617021276595743</v>
      </c>
      <c r="C11">
        <v>35.274924709682772</v>
      </c>
      <c r="D11">
        <f>TableNEW[[#This Row],[ARIMAPP]]*$I$2+TableNEW[[#This Row],[LSTMPP]]*$I$3</f>
        <v>45.530381807049906</v>
      </c>
      <c r="E11">
        <v>33</v>
      </c>
      <c r="F11">
        <f>ABS(TableNEW[[#This Row],[PP]]-TableNEW[[#This Row],[AP]])</f>
        <v>12.530381807049906</v>
      </c>
    </row>
    <row r="12" spans="1:9" x14ac:dyDescent="0.2">
      <c r="A12" t="s">
        <v>151</v>
      </c>
      <c r="B12">
        <v>35.138747197941868</v>
      </c>
      <c r="C12">
        <v>43.803600683851293</v>
      </c>
      <c r="D12">
        <f>TableNEW[[#This Row],[ARIMAPP]]*$I$2+TableNEW[[#This Row],[LSTMPP]]*$I$3</f>
        <v>52.230811872302539</v>
      </c>
      <c r="E12">
        <v>36</v>
      </c>
      <c r="F12">
        <f>ABS(TableNEW[[#This Row],[PP]]-TableNEW[[#This Row],[AP]])</f>
        <v>16.230811872302539</v>
      </c>
    </row>
    <row r="13" spans="1:9" x14ac:dyDescent="0.2">
      <c r="A13" t="s">
        <v>152</v>
      </c>
      <c r="B13">
        <v>46.499999999999993</v>
      </c>
      <c r="C13">
        <v>50.383168757840252</v>
      </c>
      <c r="D13">
        <f>TableNEW[[#This Row],[ARIMAPP]]*$I$2+TableNEW[[#This Row],[LSTMPP]]*$I$3</f>
        <v>64.042997465244682</v>
      </c>
      <c r="E13">
        <v>54</v>
      </c>
      <c r="F13">
        <f>ABS(TableNEW[[#This Row],[PP]]-TableNEW[[#This Row],[AP]])</f>
        <v>10.042997465244682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153</v>
      </c>
      <c r="B2">
        <v>35.391351221263612</v>
      </c>
      <c r="C2">
        <v>36.658778626722501</v>
      </c>
      <c r="D2">
        <f>TableNFO[[#This Row],[ARIMAPP]]*$I$2+TableNFO[[#This Row],[LSTMPP]]*$I$3</f>
        <v>40.098448272163566</v>
      </c>
      <c r="E2">
        <v>25</v>
      </c>
      <c r="F2">
        <f>ABS(TableNFO[[#This Row],[PP]]-TableNFO[[#This Row],[AP]])</f>
        <v>15.098448272163566</v>
      </c>
      <c r="H2" t="s">
        <v>0</v>
      </c>
      <c r="I2">
        <v>0.5732842573762279</v>
      </c>
    </row>
    <row r="3" spans="1:9" x14ac:dyDescent="0.2">
      <c r="A3" t="s">
        <v>154</v>
      </c>
      <c r="B3">
        <v>43.773041335529001</v>
      </c>
      <c r="C3">
        <v>25.919479699181</v>
      </c>
      <c r="D3">
        <f>TableNFO[[#This Row],[ARIMAPP]]*$I$2+TableNFO[[#This Row],[LSTMPP]]*$I$3</f>
        <v>39.100391303837739</v>
      </c>
      <c r="E3">
        <v>32</v>
      </c>
      <c r="F3">
        <f>ABS(TableNFO[[#This Row],[PP]]-TableNFO[[#This Row],[AP]])</f>
        <v>7.1003913038377391</v>
      </c>
      <c r="H3" t="s">
        <v>1</v>
      </c>
      <c r="I3">
        <v>0.54036562350989725</v>
      </c>
    </row>
    <row r="4" spans="1:9" x14ac:dyDescent="0.2">
      <c r="A4" t="s">
        <v>155</v>
      </c>
      <c r="B4">
        <v>33.877551020408163</v>
      </c>
      <c r="C4">
        <v>33.118255470195777</v>
      </c>
      <c r="D4">
        <f>TableNFO[[#This Row],[ARIMAPP]]*$I$2+TableNFO[[#This Row],[LSTMPP]]*$I$3</f>
        <v>37.317433445172369</v>
      </c>
      <c r="E4">
        <v>35</v>
      </c>
      <c r="F4">
        <f>ABS(TableNFO[[#This Row],[PP]]-TableNFO[[#This Row],[AP]])</f>
        <v>2.3174334451723695</v>
      </c>
    </row>
    <row r="5" spans="1:9" x14ac:dyDescent="0.2">
      <c r="A5" t="s">
        <v>156</v>
      </c>
      <c r="B5">
        <v>23.714320230205171</v>
      </c>
      <c r="C5">
        <v>25.161290322580641</v>
      </c>
      <c r="D5">
        <f>TableNFO[[#This Row],[ARIMAPP]]*$I$2+TableNFO[[#This Row],[LSTMPP]]*$I$3</f>
        <v>27.19134279583006</v>
      </c>
      <c r="E5">
        <v>35</v>
      </c>
      <c r="F5">
        <f>ABS(TableNFO[[#This Row],[PP]]-TableNFO[[#This Row],[AP]])</f>
        <v>7.8086572041699398</v>
      </c>
      <c r="H5" t="s">
        <v>2</v>
      </c>
      <c r="I5" cm="1">
        <f t="array" ref="I5">(SUM(TableNFO[PP]-TableNFO[AP]))^2</f>
        <v>1.2621774483536189E-29</v>
      </c>
    </row>
    <row r="6" spans="1:9" x14ac:dyDescent="0.2">
      <c r="A6" t="s">
        <v>157</v>
      </c>
      <c r="B6">
        <v>18.620689655172399</v>
      </c>
      <c r="C6">
        <v>22.60869565217391</v>
      </c>
      <c r="D6">
        <f>TableNFO[[#This Row],[ARIMAPP]]*$I$2+TableNFO[[#This Row],[LSTMPP]]*$I$3</f>
        <v>22.891910163631177</v>
      </c>
      <c r="E6">
        <v>24</v>
      </c>
      <c r="F6">
        <f>ABS(TableNFO[[#This Row],[PP]]-TableNFO[[#This Row],[AP]])</f>
        <v>1.1080898363688227</v>
      </c>
    </row>
    <row r="7" spans="1:9" x14ac:dyDescent="0.2">
      <c r="A7" t="s">
        <v>158</v>
      </c>
      <c r="B7">
        <v>38.076923076923073</v>
      </c>
      <c r="C7">
        <v>29.511931707591891</v>
      </c>
      <c r="D7">
        <f>TableNFO[[#This Row],[ARIMAPP]]*$I$2+TableNFO[[#This Row],[LSTMPP]]*$I$3</f>
        <v>37.776133947479998</v>
      </c>
      <c r="E7">
        <v>42</v>
      </c>
      <c r="F7">
        <f>ABS(TableNFO[[#This Row],[PP]]-TableNFO[[#This Row],[AP]])</f>
        <v>4.2238660525200018</v>
      </c>
      <c r="H7" t="s">
        <v>3</v>
      </c>
      <c r="I7">
        <f>AVERAGE(TableNFO[DIFF])/10</f>
        <v>0.70046494346210497</v>
      </c>
    </row>
    <row r="8" spans="1:9" x14ac:dyDescent="0.2">
      <c r="A8" t="s">
        <v>159</v>
      </c>
      <c r="B8">
        <v>14.375</v>
      </c>
      <c r="C8">
        <v>22.916666666666671</v>
      </c>
      <c r="D8">
        <f>TableNFO[[#This Row],[ARIMAPP]]*$I$2+TableNFO[[#This Row],[LSTMPP]]*$I$3</f>
        <v>20.624340071885094</v>
      </c>
      <c r="E8">
        <v>32</v>
      </c>
      <c r="F8">
        <f>ABS(TableNFO[[#This Row],[PP]]-TableNFO[[#This Row],[AP]])</f>
        <v>11.375659928114906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160</v>
      </c>
      <c r="B2">
        <v>17.082089199934231</v>
      </c>
      <c r="C2">
        <v>26.071428571428569</v>
      </c>
      <c r="D2">
        <f>TableSHU[[#This Row],[ARIMAPP]]*$I$2+TableSHU[[#This Row],[LSTMPP]]*$I$3</f>
        <v>21.335734505362609</v>
      </c>
      <c r="E2">
        <v>24</v>
      </c>
      <c r="F2">
        <f>ABS(TableSHU[[#This Row],[PP]]-TableSHU[[#This Row],[AP]])</f>
        <v>2.6642654946373909</v>
      </c>
      <c r="H2" t="s">
        <v>0</v>
      </c>
      <c r="I2">
        <v>0.44704680758648663</v>
      </c>
    </row>
    <row r="3" spans="1:9" x14ac:dyDescent="0.2">
      <c r="A3" t="s">
        <v>161</v>
      </c>
      <c r="B3">
        <v>19.09090909090909</v>
      </c>
      <c r="C3">
        <v>18.125</v>
      </c>
      <c r="D3">
        <f>TableSHU[[#This Row],[ARIMAPP]]*$I$2+TableSHU[[#This Row],[LSTMPP]]*$I$3</f>
        <v>18.058317413390618</v>
      </c>
      <c r="E3">
        <v>24</v>
      </c>
      <c r="F3">
        <f>ABS(TableSHU[[#This Row],[PP]]-TableSHU[[#This Row],[AP]])</f>
        <v>5.9416825866093816</v>
      </c>
      <c r="H3" t="s">
        <v>1</v>
      </c>
      <c r="I3">
        <v>0.52545034208970343</v>
      </c>
    </row>
    <row r="4" spans="1:9" x14ac:dyDescent="0.2">
      <c r="A4" t="s">
        <v>162</v>
      </c>
      <c r="B4">
        <v>33.33333333333335</v>
      </c>
      <c r="C4">
        <v>37.5</v>
      </c>
      <c r="D4">
        <f>TableSHU[[#This Row],[ARIMAPP]]*$I$2+TableSHU[[#This Row],[LSTMPP]]*$I$3</f>
        <v>34.605948081246773</v>
      </c>
      <c r="E4">
        <v>26</v>
      </c>
      <c r="F4">
        <f>ABS(TableSHU[[#This Row],[PP]]-TableSHU[[#This Row],[AP]])</f>
        <v>8.6059480812467726</v>
      </c>
    </row>
    <row r="5" spans="1:9" x14ac:dyDescent="0.2">
      <c r="H5" t="s">
        <v>2</v>
      </c>
      <c r="I5" cm="1">
        <f t="array" ref="I5">(SUM(TableSHU[PP]-TableSHU[AP]))^2</f>
        <v>0</v>
      </c>
    </row>
    <row r="7" spans="1:9" x14ac:dyDescent="0.2">
      <c r="H7" t="s">
        <v>3</v>
      </c>
      <c r="I7">
        <f>AVERAGE(TableSHU[DIFF])/10</f>
        <v>0.5737298720831181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163</v>
      </c>
      <c r="B2">
        <v>43.451991934040016</v>
      </c>
      <c r="C2">
        <v>41.831614019026027</v>
      </c>
      <c r="D2">
        <f>TableTOT[[#This Row],[ARIMAPP]]*$I$2+TableTOT[[#This Row],[LSTMPP]]*$I$3</f>
        <v>43.440097539320462</v>
      </c>
      <c r="E2">
        <v>54</v>
      </c>
      <c r="F2">
        <f>ABS(TableTOT[[#This Row],[PP]]-TableTOT[[#This Row],[AP]])</f>
        <v>10.559902460679538</v>
      </c>
      <c r="H2" t="s">
        <v>0</v>
      </c>
      <c r="I2">
        <v>0.53326403940321987</v>
      </c>
    </row>
    <row r="3" spans="1:9" x14ac:dyDescent="0.2">
      <c r="A3" t="s">
        <v>164</v>
      </c>
      <c r="B3">
        <v>25.228518969218388</v>
      </c>
      <c r="C3">
        <v>35.69105691056911</v>
      </c>
      <c r="D3">
        <f>TableTOT[[#This Row],[ARIMAPP]]*$I$2+TableTOT[[#This Row],[LSTMPP]]*$I$3</f>
        <v>30.746884600478488</v>
      </c>
      <c r="E3">
        <v>29</v>
      </c>
      <c r="F3">
        <f>ABS(TableTOT[[#This Row],[PP]]-TableTOT[[#This Row],[AP]])</f>
        <v>1.7468846004784879</v>
      </c>
      <c r="H3" t="s">
        <v>1</v>
      </c>
      <c r="I3">
        <v>0.48453097676889667</v>
      </c>
    </row>
    <row r="4" spans="1:9" x14ac:dyDescent="0.2">
      <c r="A4" t="s">
        <v>165</v>
      </c>
      <c r="B4">
        <v>28.723404255319139</v>
      </c>
      <c r="C4">
        <v>28.513513513513509</v>
      </c>
      <c r="D4">
        <f>TableTOT[[#This Row],[ARIMAPP]]*$I$2+TableTOT[[#This Row],[LSTMPP]]*$I$3</f>
        <v>29.132839132418951</v>
      </c>
      <c r="E4">
        <v>37</v>
      </c>
      <c r="F4">
        <f>ABS(TableTOT[[#This Row],[PP]]-TableTOT[[#This Row],[AP]])</f>
        <v>7.8671608675810489</v>
      </c>
    </row>
    <row r="5" spans="1:9" x14ac:dyDescent="0.2">
      <c r="A5" t="s">
        <v>166</v>
      </c>
      <c r="B5">
        <v>30.789473684210549</v>
      </c>
      <c r="C5">
        <v>30.833333333333329</v>
      </c>
      <c r="D5">
        <f>TableTOT[[#This Row],[ARIMAPP]]*$I$2+TableTOT[[#This Row],[LSTMPP]]*$I$3</f>
        <v>31.358624224982236</v>
      </c>
      <c r="E5">
        <v>28</v>
      </c>
      <c r="F5">
        <f>ABS(TableTOT[[#This Row],[PP]]-TableTOT[[#This Row],[AP]])</f>
        <v>3.3586242249822362</v>
      </c>
      <c r="H5" t="s">
        <v>2</v>
      </c>
      <c r="I5" cm="1">
        <f t="array" ref="I5">(SUM(TableTOT[PP]-TableTOT[AP]))^2</f>
        <v>4.543838814073028E-28</v>
      </c>
    </row>
    <row r="6" spans="1:9" x14ac:dyDescent="0.2">
      <c r="A6" t="s">
        <v>167</v>
      </c>
      <c r="B6">
        <v>45.641025641025657</v>
      </c>
      <c r="C6">
        <v>43.877208313569547</v>
      </c>
      <c r="D6">
        <f>TableTOT[[#This Row],[ARIMAPP]]*$I$2+TableTOT[[#This Row],[LSTMPP]]*$I$3</f>
        <v>45.598584297905482</v>
      </c>
      <c r="E6">
        <v>66</v>
      </c>
      <c r="F6">
        <f>ABS(TableTOT[[#This Row],[PP]]-TableTOT[[#This Row],[AP]])</f>
        <v>20.401415702094518</v>
      </c>
    </row>
    <row r="7" spans="1:9" x14ac:dyDescent="0.2">
      <c r="A7" t="s">
        <v>168</v>
      </c>
      <c r="B7">
        <v>42.214845699876022</v>
      </c>
      <c r="C7">
        <v>19</v>
      </c>
      <c r="D7">
        <f>TableTOT[[#This Row],[ARIMAPP]]*$I$2+TableTOT[[#This Row],[LSTMPP]]*$I$3</f>
        <v>31.717747699308575</v>
      </c>
      <c r="E7">
        <v>25</v>
      </c>
      <c r="F7">
        <f>ABS(TableTOT[[#This Row],[PP]]-TableTOT[[#This Row],[AP]])</f>
        <v>6.7177476993085747</v>
      </c>
      <c r="H7" t="s">
        <v>3</v>
      </c>
      <c r="I7">
        <f>AVERAGE(TableTOT[DIFF])/10</f>
        <v>0.97071197575887747</v>
      </c>
    </row>
    <row r="8" spans="1:9" x14ac:dyDescent="0.2">
      <c r="A8" t="s">
        <v>169</v>
      </c>
      <c r="B8">
        <v>41.66666666666665</v>
      </c>
      <c r="C8">
        <v>31.560500871242759</v>
      </c>
      <c r="D8">
        <f>TableTOT[[#This Row],[ARIMAPP]]*$I$2+TableTOT[[#This Row],[LSTMPP]]*$I$3</f>
        <v>37.511375289593019</v>
      </c>
      <c r="E8">
        <v>34</v>
      </c>
      <c r="F8">
        <f>ABS(TableTOT[[#This Row],[PP]]-TableTOT[[#This Row],[AP]])</f>
        <v>3.511375289593019</v>
      </c>
    </row>
    <row r="9" spans="1:9" x14ac:dyDescent="0.2">
      <c r="A9" t="s">
        <v>170</v>
      </c>
      <c r="B9">
        <v>52.5</v>
      </c>
      <c r="C9">
        <v>50.559172316877721</v>
      </c>
      <c r="D9">
        <f>TableTOT[[#This Row],[ARIMAPP]]*$I$2+TableTOT[[#This Row],[LSTMPP]]*$I$3</f>
        <v>52.493847215992766</v>
      </c>
      <c r="E9">
        <v>29</v>
      </c>
      <c r="F9">
        <f>ABS(TableTOT[[#This Row],[PP]]-TableTOT[[#This Row],[AP]])</f>
        <v>23.493847215992766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171</v>
      </c>
      <c r="B2">
        <v>37.133333333333383</v>
      </c>
      <c r="C2">
        <v>34.541666666666657</v>
      </c>
      <c r="D2">
        <f>TableWHU[[#This Row],[ARIMAPP]]*$I$2+TableWHU[[#This Row],[LSTMPP]]*$I$3</f>
        <v>34.656915467114061</v>
      </c>
      <c r="E2">
        <v>28</v>
      </c>
      <c r="F2">
        <f>ABS(TableWHU[[#This Row],[PP]]-TableWHU[[#This Row],[AP]])</f>
        <v>6.6569154671140609</v>
      </c>
      <c r="H2" t="s">
        <v>0</v>
      </c>
      <c r="I2">
        <v>0.49284212179003012</v>
      </c>
    </row>
    <row r="3" spans="1:9" x14ac:dyDescent="0.2">
      <c r="A3" t="s">
        <v>172</v>
      </c>
      <c r="B3">
        <v>39.184855928450062</v>
      </c>
      <c r="C3">
        <v>38.240033346196647</v>
      </c>
      <c r="D3">
        <f>TableWHU[[#This Row],[ARIMAPP]]*$I$2+TableWHU[[#This Row],[LSTMPP]]*$I$3</f>
        <v>37.419229387688375</v>
      </c>
      <c r="E3">
        <v>35</v>
      </c>
      <c r="F3">
        <f>ABS(TableWHU[[#This Row],[PP]]-TableWHU[[#This Row],[AP]])</f>
        <v>2.4192293876883753</v>
      </c>
      <c r="H3" t="s">
        <v>1</v>
      </c>
      <c r="I3">
        <v>0.47351637185942358</v>
      </c>
    </row>
    <row r="4" spans="1:9" x14ac:dyDescent="0.2">
      <c r="A4" t="s">
        <v>173</v>
      </c>
      <c r="B4">
        <v>32.803030303030283</v>
      </c>
      <c r="C4">
        <v>31.333333333333329</v>
      </c>
      <c r="D4">
        <f>TableWHU[[#This Row],[ARIMAPP]]*$I$2+TableWHU[[#This Row],[LSTMPP]]*$I$3</f>
        <v>31.003561373950038</v>
      </c>
      <c r="E4">
        <v>27</v>
      </c>
      <c r="F4">
        <f>ABS(TableWHU[[#This Row],[PP]]-TableWHU[[#This Row],[AP]])</f>
        <v>4.0035613739500384</v>
      </c>
    </row>
    <row r="5" spans="1:9" x14ac:dyDescent="0.2">
      <c r="A5" t="s">
        <v>174</v>
      </c>
      <c r="B5">
        <v>42.445429245944219</v>
      </c>
      <c r="C5">
        <v>36.212121212121218</v>
      </c>
      <c r="D5">
        <f>TableWHU[[#This Row],[ARIMAPP]]*$I$2+TableWHU[[#This Row],[LSTMPP]]*$I$3</f>
        <v>38.065927663557062</v>
      </c>
      <c r="E5">
        <v>54</v>
      </c>
      <c r="F5">
        <f>ABS(TableWHU[[#This Row],[PP]]-TableWHU[[#This Row],[AP]])</f>
        <v>15.934072336442938</v>
      </c>
      <c r="H5" t="s">
        <v>2</v>
      </c>
      <c r="I5" cm="1">
        <f t="array" ref="I5">(SUM(TableWHU[PP]-TableWHU[AP]))^2</f>
        <v>3.1554436208840472E-28</v>
      </c>
    </row>
    <row r="6" spans="1:9" x14ac:dyDescent="0.2">
      <c r="A6" t="s">
        <v>175</v>
      </c>
      <c r="B6">
        <v>32.093023255813968</v>
      </c>
      <c r="C6">
        <v>32.058823529411768</v>
      </c>
      <c r="D6">
        <f>TableWHU[[#This Row],[ARIMAPP]]*$I$2+TableWHU[[#This Row],[LSTMPP]]*$I$3</f>
        <v>30.997171479780718</v>
      </c>
      <c r="E6">
        <v>25</v>
      </c>
      <c r="F6">
        <f>ABS(TableWHU[[#This Row],[PP]]-TableWHU[[#This Row],[AP]])</f>
        <v>5.9971714797807181</v>
      </c>
    </row>
    <row r="7" spans="1:9" x14ac:dyDescent="0.2">
      <c r="A7" t="s">
        <v>176</v>
      </c>
      <c r="B7">
        <v>35.172413793103438</v>
      </c>
      <c r="C7">
        <v>32.391304347826093</v>
      </c>
      <c r="D7">
        <f>TableWHU[[#This Row],[ARIMAPP]]*$I$2+TableWHU[[#This Row],[LSTMPP]]*$I$3</f>
        <v>32.672259956847007</v>
      </c>
      <c r="E7">
        <v>30</v>
      </c>
      <c r="F7">
        <f>ABS(TableWHU[[#This Row],[PP]]-TableWHU[[#This Row],[AP]])</f>
        <v>2.6722599568470073</v>
      </c>
      <c r="H7" t="s">
        <v>3</v>
      </c>
      <c r="I7">
        <f>AVERAGE(TableWHU[DIFF])/10</f>
        <v>0.62140393329657739</v>
      </c>
    </row>
    <row r="8" spans="1:9" x14ac:dyDescent="0.2">
      <c r="A8" t="s">
        <v>177</v>
      </c>
      <c r="B8">
        <v>33.333333333333329</v>
      </c>
      <c r="C8">
        <v>37.5</v>
      </c>
      <c r="D8">
        <f>TableWHU[[#This Row],[ARIMAPP]]*$I$2+TableWHU[[#This Row],[LSTMPP]]*$I$3</f>
        <v>34.18493467106272</v>
      </c>
      <c r="E8">
        <v>40</v>
      </c>
      <c r="F8">
        <f>ABS(TableWHU[[#This Row],[PP]]-TableWHU[[#This Row],[AP]])</f>
        <v>5.8150653289372798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178</v>
      </c>
      <c r="B2">
        <v>19.131391301663069</v>
      </c>
      <c r="C2">
        <v>25.188679245283019</v>
      </c>
      <c r="D2">
        <f>TableWOL[[#This Row],[ARIMAPP]]*$I$2+TableWOL[[#This Row],[LSTMPP]]*$I$3</f>
        <v>30.470321753397506</v>
      </c>
      <c r="E2">
        <v>29</v>
      </c>
      <c r="F2">
        <f>ABS(TableWOL[[#This Row],[PP]]-TableWOL[[#This Row],[AP]])</f>
        <v>1.4703217533975064</v>
      </c>
      <c r="H2" t="s">
        <v>0</v>
      </c>
      <c r="I2">
        <v>0.69442769288132011</v>
      </c>
    </row>
    <row r="3" spans="1:9" x14ac:dyDescent="0.2">
      <c r="A3" t="s">
        <v>40</v>
      </c>
      <c r="B3">
        <v>25.758689774265239</v>
      </c>
      <c r="C3">
        <v>28.91304347826086</v>
      </c>
      <c r="D3">
        <f>TableWOL[[#This Row],[ARIMAPP]]*$I$2+TableWOL[[#This Row],[LSTMPP]]*$I$3</f>
        <v>37.613445500335693</v>
      </c>
      <c r="E3">
        <v>52</v>
      </c>
      <c r="F3">
        <f>ABS(TableWOL[[#This Row],[PP]]-TableWOL[[#This Row],[AP]])</f>
        <v>14.386554499664307</v>
      </c>
      <c r="H3" t="s">
        <v>1</v>
      </c>
      <c r="I3">
        <v>0.68224910337019828</v>
      </c>
    </row>
    <row r="4" spans="1:9" x14ac:dyDescent="0.2">
      <c r="A4" t="s">
        <v>179</v>
      </c>
      <c r="B4">
        <v>40.20620536647494</v>
      </c>
      <c r="C4">
        <v>34.224137931034477</v>
      </c>
      <c r="D4">
        <f>TableWOL[[#This Row],[ARIMAPP]]*$I$2+TableWOL[[#This Row],[LSTMPP]]*$I$3</f>
        <v>51.269689849220008</v>
      </c>
      <c r="E4">
        <v>21</v>
      </c>
      <c r="F4">
        <f>ABS(TableWOL[[#This Row],[PP]]-TableWOL[[#This Row],[AP]])</f>
        <v>30.269689849220008</v>
      </c>
    </row>
    <row r="5" spans="1:9" x14ac:dyDescent="0.2">
      <c r="A5" t="s">
        <v>180</v>
      </c>
      <c r="B5">
        <v>30.912168545544809</v>
      </c>
      <c r="C5">
        <v>24.583333333333329</v>
      </c>
      <c r="D5">
        <f>TableWOL[[#This Row],[ARIMAPP]]*$I$2+TableWOL[[#This Row],[LSTMPP]]*$I$3</f>
        <v>38.238223009558567</v>
      </c>
      <c r="E5">
        <v>51</v>
      </c>
      <c r="F5">
        <f>ABS(TableWOL[[#This Row],[PP]]-TableWOL[[#This Row],[AP]])</f>
        <v>12.761776990441433</v>
      </c>
      <c r="H5" t="s">
        <v>2</v>
      </c>
      <c r="I5" cm="1">
        <f t="array" ref="I5">(SUM(TableWOL[PP]-TableWOL[AP]))^2</f>
        <v>5.0487097934144756E-29</v>
      </c>
    </row>
    <row r="6" spans="1:9" x14ac:dyDescent="0.2">
      <c r="A6" t="s">
        <v>181</v>
      </c>
      <c r="B6">
        <v>24.680596171672502</v>
      </c>
      <c r="C6">
        <v>25.3125</v>
      </c>
      <c r="D6">
        <f>TableWOL[[#This Row],[ARIMAPP]]*$I$2+TableWOL[[#This Row],[LSTMPP]]*$I$3</f>
        <v>34.408319887488219</v>
      </c>
      <c r="E6">
        <v>39</v>
      </c>
      <c r="F6">
        <f>ABS(TableWOL[[#This Row],[PP]]-TableWOL[[#This Row],[AP]])</f>
        <v>4.5916801125117814</v>
      </c>
    </row>
    <row r="7" spans="1:9" x14ac:dyDescent="0.2">
      <c r="H7" t="s">
        <v>3</v>
      </c>
      <c r="I7">
        <f>AVERAGE(TableWOL[DIFF])/10</f>
        <v>1.2696004641047007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BUR</vt:lpstr>
      <vt:lpstr>CHE</vt:lpstr>
      <vt:lpstr>CRY</vt:lpstr>
      <vt:lpstr>EVE</vt:lpstr>
      <vt:lpstr>FUL</vt:lpstr>
      <vt:lpstr>LIV</vt:lpstr>
      <vt:lpstr>LUT</vt:lpstr>
      <vt:lpstr>MCI</vt:lpstr>
      <vt:lpstr>MUN</vt:lpstr>
      <vt:lpstr>NEW</vt:lpstr>
      <vt:lpstr>NFO</vt:lpstr>
      <vt:lpstr>SHU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2023-12-04T19:40:08Z</dcterms:created>
  <dcterms:modified xsi:type="dcterms:W3CDTF">2023-12-04T19:59:00Z</dcterms:modified>
</cp:coreProperties>
</file>