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codeName="ThisWorkbook"/>
  <mc:AlternateContent xmlns:mc="http://schemas.openxmlformats.org/markup-compatibility/2006">
    <mc:Choice Requires="x15">
      <x15ac:absPath xmlns:x15ac="http://schemas.microsoft.com/office/spreadsheetml/2010/11/ac" url="https://netorgft8159579.sharepoint.com/sites/Sharepoint-Elemento/101ADMINISTRATIVO/101-ADMINISTRATIVO/002- PRESUPUESTOS/RD/PR_RD_202104_008_CONTROL DE BOMBEO SECRETS BAVARO/2. OFERTA/"/>
    </mc:Choice>
  </mc:AlternateContent>
  <xr:revisionPtr revIDLastSave="1307" documentId="13_ncr:1_{B77F65F5-C7EB-A648-BA31-4090DE56FE2F}" xr6:coauthVersionLast="46" xr6:coauthVersionMax="46" xr10:uidLastSave="{E7E25B52-3705-F140-AA92-915EA1308116}"/>
  <bookViews>
    <workbookView xWindow="0" yWindow="520" windowWidth="35840" windowHeight="20460" tabRatio="905" activeTab="2" xr2:uid="{00000000-000D-0000-FFFF-FFFF00000000}"/>
  </bookViews>
  <sheets>
    <sheet name="1. OFERTA" sheetId="20" r:id="rId1"/>
    <sheet name="2. COSTO INDIRECTO" sheetId="5" r:id="rId2"/>
    <sheet name="3. DESGLOSE DE MATERIALES" sheetId="15" r:id="rId3"/>
    <sheet name="4. MODULOS" sheetId="29" r:id="rId4"/>
    <sheet name="MATERIALES" sheetId="27" r:id="rId5"/>
    <sheet name="LISTAS" sheetId="28" r:id="rId6"/>
    <sheet name="Calculadora Internacional" sheetId="22" r:id="rId7"/>
    <sheet name="Calculadora Pick N Send" sheetId="21" r:id="rId8"/>
    <sheet name="Lista de Clientes" sheetId="18" r:id="rId9"/>
  </sheets>
  <externalReferences>
    <externalReference r:id="rId10"/>
    <externalReference r:id="rId11"/>
    <externalReference r:id="rId12"/>
    <externalReference r:id="rId13"/>
    <externalReference r:id="rId14"/>
    <externalReference r:id="rId15"/>
    <externalReference r:id="rId16"/>
  </externalReferences>
  <definedNames>
    <definedName name="_cap1" localSheetId="0">#REF!</definedName>
    <definedName name="_cap1" localSheetId="2">#REF!</definedName>
    <definedName name="_cap1" localSheetId="3">#REF!</definedName>
    <definedName name="_cap1">#REF!</definedName>
    <definedName name="_cap2" localSheetId="0">#REF!</definedName>
    <definedName name="_cap2">#REF!</definedName>
    <definedName name="_cap3">#REF!</definedName>
    <definedName name="_cap4">#REF!</definedName>
    <definedName name="_cap5">#REF!</definedName>
    <definedName name="_cap6">#REF!</definedName>
    <definedName name="_cap7">#REF!</definedName>
    <definedName name="_cap8">#REF!</definedName>
    <definedName name="_xlnm._FilterDatabase" localSheetId="8" hidden="1">'Lista de Clientes'!$B$3:$I$23</definedName>
    <definedName name="_MA1">#REF!</definedName>
    <definedName name="_MA2">#REF!</definedName>
    <definedName name="_MA3">#REF!</definedName>
    <definedName name="_MA4">#REF!</definedName>
    <definedName name="_MA5">#REF!</definedName>
    <definedName name="_MA6">#REF!</definedName>
    <definedName name="_MB1">#REF!</definedName>
    <definedName name="_MB2">#REF!</definedName>
    <definedName name="_MB3">#REF!</definedName>
    <definedName name="_MB4">#REF!</definedName>
    <definedName name="_MB5">#REF!</definedName>
    <definedName name="_MB6">#REF!</definedName>
    <definedName name="_MC1">#REF!</definedName>
    <definedName name="_MC2">#REF!</definedName>
    <definedName name="_MC3">#REF!</definedName>
    <definedName name="_MC4">#REF!</definedName>
    <definedName name="_MC5">#REF!</definedName>
    <definedName name="_MC6">#REF!</definedName>
    <definedName name="_MD1">#REF!</definedName>
    <definedName name="_MD2">#REF!</definedName>
    <definedName name="_MD3">#REF!</definedName>
    <definedName name="_MD4">#REF!</definedName>
    <definedName name="_MD5">#REF!</definedName>
    <definedName name="_MD6">#REF!</definedName>
    <definedName name="_ME1">#REF!</definedName>
    <definedName name="_ME2">#REF!</definedName>
    <definedName name="_ME3">#REF!</definedName>
    <definedName name="_ME4">#REF!</definedName>
    <definedName name="_ME5">#REF!</definedName>
    <definedName name="_ME6">#REF!</definedName>
    <definedName name="_MF1">#REF!</definedName>
    <definedName name="_MF2">#REF!</definedName>
    <definedName name="_MF3">#REF!</definedName>
    <definedName name="_MF4">#REF!</definedName>
    <definedName name="_MF5">#REF!</definedName>
    <definedName name="_MF6">#REF!</definedName>
    <definedName name="cond_am" localSheetId="3">[1]MATERIALES!$O$5:$O$18</definedName>
    <definedName name="cond_am" localSheetId="5">LISTAS!$G$5:$G$18</definedName>
    <definedName name="cond_am">MATERIALES!$O$5:$O$18</definedName>
    <definedName name="cond_eu" localSheetId="3">[1]MATERIALES!$P$5:$P$18</definedName>
    <definedName name="cond_eu" localSheetId="5">LISTAS!$H$5:$H$18</definedName>
    <definedName name="cond_eu">MATERIALES!$P$5:$P$18</definedName>
    <definedName name="Conductores" localSheetId="0">#REF!</definedName>
    <definedName name="Conductores" localSheetId="3">#REF!</definedName>
    <definedName name="Conductores" localSheetId="5">LISTAS!#REF!</definedName>
    <definedName name="Conductores" localSheetId="4">MATERIALES!$C$151:$G$160</definedName>
    <definedName name="Conductores">#REF!</definedName>
    <definedName name="Conectores" localSheetId="0">#REF!</definedName>
    <definedName name="Conectores" localSheetId="3">#REF!</definedName>
    <definedName name="Conectores" localSheetId="5">[2]Sheet1!#REF!</definedName>
    <definedName name="Conectores" localSheetId="4">[2]Sheet1!#REF!</definedName>
    <definedName name="Conectores">#REF!</definedName>
    <definedName name="Curvas" localSheetId="0">#REF!</definedName>
    <definedName name="Curvas" localSheetId="5">[2]Sheet1!#REF!</definedName>
    <definedName name="Curvas" localSheetId="4">[2]Sheet1!#REF!</definedName>
    <definedName name="Curvas">#REF!</definedName>
    <definedName name="DescHH_A">#REF!</definedName>
    <definedName name="DescHH_B">#REF!</definedName>
    <definedName name="DescHH_C">#REF!</definedName>
    <definedName name="DescHH_D">#REF!</definedName>
    <definedName name="DescHH_E">#REF!</definedName>
    <definedName name="DescHH_F">#REF!</definedName>
    <definedName name="DescHH_Sampol">#REF!</definedName>
    <definedName name="diametro" localSheetId="0">#REF!</definedName>
    <definedName name="diametro" localSheetId="5">LISTAS!#REF!</definedName>
    <definedName name="diametro" localSheetId="4">MATERIALES!$C$7:$C$11</definedName>
    <definedName name="diametro">#REF!</definedName>
    <definedName name="INDICE">#REF!</definedName>
    <definedName name="m_5843577754375898640_StreetAddress" localSheetId="0">'1. OFERTA'!$E$37</definedName>
    <definedName name="ManoObra_A" localSheetId="0">#REF!</definedName>
    <definedName name="ManoObra_A">#REF!</definedName>
    <definedName name="ManoObra_B" localSheetId="0">#REF!</definedName>
    <definedName name="ManoObra_B">#REF!</definedName>
    <definedName name="ManoObra_C">#REF!</definedName>
    <definedName name="ManoObra_D">#REF!</definedName>
    <definedName name="ManoObra_E">#REF!</definedName>
    <definedName name="ManoObra_F">#REF!</definedName>
    <definedName name="ManoObra_G">#REF!</definedName>
    <definedName name="ManoObra_Sampol">#REF!</definedName>
    <definedName name="ManoObra_Sampol_Hab">#REF!</definedName>
    <definedName name="ManoObra_Sampol_Old">#REF!</definedName>
    <definedName name="Marca_ilum">LISTAS!$N$20</definedName>
    <definedName name="Marca_Luminaria">LISTAS!$N$5:$N$18</definedName>
    <definedName name="Marca_tomas" localSheetId="3">[1]LISTAS!$I$5:$I$18</definedName>
    <definedName name="Marca_tomas">LISTAS!$I$5:$I$18</definedName>
    <definedName name="Margen_A">#REF!</definedName>
    <definedName name="Margen_B">#REF!</definedName>
    <definedName name="Margen_C">#REF!</definedName>
    <definedName name="Margen_D">#REF!</definedName>
    <definedName name="Margen_E">#REF!</definedName>
    <definedName name="Margen_F">#REF!</definedName>
    <definedName name="Margen_G">#REF!</definedName>
    <definedName name="Margen_Sampol">#REF!</definedName>
    <definedName name="Margen_Sampol_Old">#REF!</definedName>
    <definedName name="Materiales" localSheetId="0">[3]materiales!$I$1:$I$372</definedName>
    <definedName name="Materiales">[4]materiales!$I$1:$I$372</definedName>
    <definedName name="Otros_A">#REF!</definedName>
    <definedName name="Otros_B">#REF!</definedName>
    <definedName name="Otros_C">#REF!</definedName>
    <definedName name="Otros_D">#REF!</definedName>
    <definedName name="Otros_E">#REF!</definedName>
    <definedName name="Otros_F">#REF!</definedName>
    <definedName name="Otros_G">#REF!</definedName>
    <definedName name="Otros_Sampol">#REF!</definedName>
    <definedName name="Resumen">#REF!</definedName>
    <definedName name="sistema" localSheetId="3">[1]LISTAS!$B$4:$B$18</definedName>
    <definedName name="sistema">LISTAS!$B$4:$B$18</definedName>
    <definedName name="Tipo_apagadores" localSheetId="3">[1]LISTAS!$L$5:$L$18</definedName>
    <definedName name="Tipo_apagadores">LISTAS!$L$5:$L$18</definedName>
    <definedName name="Tipo_cableado">[5]LISTAS!$M$4:$M$18</definedName>
    <definedName name="Tipo_cableado_tel">[1]LISTAS!$M$4:$M$18</definedName>
    <definedName name="Tipo_condut" localSheetId="3">[1]MATERIALES!$N$5:$N$6</definedName>
    <definedName name="Tipo_condut" localSheetId="5">LISTAS!$F$5:$F$6</definedName>
    <definedName name="Tipo_condut">MATERIALES!$N$5:$N$6</definedName>
    <definedName name="Tipo_embellecedores" localSheetId="3">[1]LISTAS!$K$5:$K$18</definedName>
    <definedName name="Tipo_embellecedores">LISTAS!$K$5:$K$18</definedName>
    <definedName name="Tipo_luminaria">LISTAS!$M$4:$M$18</definedName>
    <definedName name="Tipo_tomas" localSheetId="3">[1]LISTAS!$J$5:$J$18</definedName>
    <definedName name="Tipo_tomas">LISTAS!$J$5:$J$18</definedName>
    <definedName name="Tuberia" localSheetId="0">#REF!</definedName>
    <definedName name="Tuberia">#REF!</definedName>
    <definedName name="Uniones" localSheetId="0">#REF!</definedName>
    <definedName name="Uniones" localSheetId="5">[2]Sheet1!#REF!</definedName>
    <definedName name="Uniones" localSheetId="4">[2]Sheet1!#REF!</definedName>
    <definedName name="Uniones">#REF!</definedName>
  </definedNames>
  <calcPr calcId="191028"/>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4" i="22" l="1"/>
  <c r="E23" i="22"/>
  <c r="E21" i="22"/>
  <c r="E20" i="22"/>
  <c r="E19" i="22"/>
  <c r="E18" i="22"/>
  <c r="D17" i="22"/>
  <c r="E16" i="22"/>
  <c r="E15" i="22"/>
  <c r="E14" i="22"/>
  <c r="E13" i="22"/>
  <c r="F10" i="22"/>
  <c r="F9" i="22"/>
  <c r="F8" i="22"/>
  <c r="F7" i="22"/>
  <c r="F6" i="22"/>
  <c r="F5" i="22"/>
  <c r="E4" i="22"/>
  <c r="F4" i="22" s="1"/>
  <c r="F11" i="22" l="1"/>
  <c r="J8" i="22" s="1"/>
  <c r="J4" i="22"/>
  <c r="G4" i="22"/>
  <c r="J5" i="22"/>
  <c r="J6" i="22"/>
  <c r="J9" i="22"/>
  <c r="J7" i="22"/>
  <c r="E17" i="22"/>
  <c r="J10" i="22"/>
  <c r="C17" i="5"/>
  <c r="L16" i="5"/>
  <c r="D22" i="22" l="1"/>
  <c r="I4" i="22"/>
  <c r="H4" i="22"/>
  <c r="J11" i="22"/>
  <c r="E25" i="20"/>
  <c r="H74" i="20"/>
  <c r="G75" i="20"/>
  <c r="G131" i="20"/>
  <c r="A67" i="20"/>
  <c r="A68" i="20" s="1"/>
  <c r="A69" i="20" s="1"/>
  <c r="A58" i="20"/>
  <c r="A59" i="20" s="1"/>
  <c r="N7" i="15"/>
  <c r="P7" i="15" s="1"/>
  <c r="R7" i="15" s="1"/>
  <c r="T7" i="15" s="1"/>
  <c r="O7" i="15"/>
  <c r="Q7" i="15" s="1"/>
  <c r="S7" i="15" s="1"/>
  <c r="N8" i="15"/>
  <c r="P8" i="15" s="1"/>
  <c r="R8" i="15" s="1"/>
  <c r="T8" i="15" s="1"/>
  <c r="O8" i="15"/>
  <c r="Q8" i="15"/>
  <c r="S8" i="15"/>
  <c r="E123" i="20"/>
  <c r="F123" i="20"/>
  <c r="E124" i="20"/>
  <c r="F124" i="20"/>
  <c r="E125" i="20"/>
  <c r="F125" i="20"/>
  <c r="E126" i="20"/>
  <c r="F126" i="20"/>
  <c r="E127" i="20"/>
  <c r="F127" i="20"/>
  <c r="E128" i="20"/>
  <c r="F128" i="20"/>
  <c r="E129" i="20"/>
  <c r="F129" i="20"/>
  <c r="E130" i="20"/>
  <c r="F130" i="20"/>
  <c r="E115" i="20"/>
  <c r="F115" i="20"/>
  <c r="E116" i="20"/>
  <c r="F116" i="20"/>
  <c r="E117" i="20"/>
  <c r="F117" i="20"/>
  <c r="E118" i="20"/>
  <c r="F118" i="20"/>
  <c r="E119" i="20"/>
  <c r="F119" i="20"/>
  <c r="E120" i="20"/>
  <c r="F120" i="20"/>
  <c r="E121" i="20"/>
  <c r="F121" i="20"/>
  <c r="E122" i="20"/>
  <c r="F122" i="20"/>
  <c r="E104" i="20"/>
  <c r="F104" i="20"/>
  <c r="E105" i="20"/>
  <c r="F105" i="20"/>
  <c r="E106" i="20"/>
  <c r="F106" i="20"/>
  <c r="E107" i="20"/>
  <c r="F107" i="20"/>
  <c r="E108" i="20"/>
  <c r="F108" i="20"/>
  <c r="E109" i="20"/>
  <c r="F109" i="20"/>
  <c r="E110" i="20"/>
  <c r="F110" i="20"/>
  <c r="E111" i="20"/>
  <c r="F111" i="20"/>
  <c r="E112" i="20"/>
  <c r="F112" i="20"/>
  <c r="E113" i="20"/>
  <c r="F113" i="20"/>
  <c r="E114" i="20"/>
  <c r="F114" i="20"/>
  <c r="F103" i="20"/>
  <c r="E103" i="20"/>
  <c r="E90" i="20"/>
  <c r="F90" i="20"/>
  <c r="E91" i="20"/>
  <c r="F91" i="20"/>
  <c r="E92" i="20"/>
  <c r="F92" i="20"/>
  <c r="E93" i="20"/>
  <c r="F93" i="20"/>
  <c r="E94" i="20"/>
  <c r="F94" i="20"/>
  <c r="E95" i="20"/>
  <c r="F95" i="20"/>
  <c r="E96" i="20"/>
  <c r="F96" i="20"/>
  <c r="E97" i="20"/>
  <c r="F97" i="20"/>
  <c r="E98" i="20"/>
  <c r="F98" i="20"/>
  <c r="E99" i="20"/>
  <c r="F99" i="20"/>
  <c r="E100" i="20"/>
  <c r="F100" i="20"/>
  <c r="E101" i="20"/>
  <c r="F101" i="20"/>
  <c r="B102" i="20"/>
  <c r="A76" i="20"/>
  <c r="A77" i="20"/>
  <c r="A78" i="20"/>
  <c r="A79" i="20"/>
  <c r="A80" i="20"/>
  <c r="A81" i="20"/>
  <c r="A82" i="20"/>
  <c r="A83" i="20"/>
  <c r="A84" i="20"/>
  <c r="A85" i="20"/>
  <c r="A86" i="20"/>
  <c r="A87" i="20"/>
  <c r="A88" i="20"/>
  <c r="A89" i="20"/>
  <c r="A90" i="20"/>
  <c r="A91" i="20"/>
  <c r="A92" i="20"/>
  <c r="A93" i="20"/>
  <c r="A94" i="20"/>
  <c r="A95" i="20"/>
  <c r="A96" i="20"/>
  <c r="A97" i="20"/>
  <c r="A98" i="20"/>
  <c r="A99" i="20"/>
  <c r="A100" i="20"/>
  <c r="A101" i="20"/>
  <c r="A102" i="20"/>
  <c r="A103" i="20"/>
  <c r="A104" i="20"/>
  <c r="A105" i="20"/>
  <c r="A106" i="20"/>
  <c r="A107" i="20"/>
  <c r="A108" i="20"/>
  <c r="A109" i="20"/>
  <c r="A110" i="20"/>
  <c r="A111" i="20"/>
  <c r="A112" i="20"/>
  <c r="A113" i="20"/>
  <c r="A114" i="20"/>
  <c r="A115" i="20"/>
  <c r="A116" i="20"/>
  <c r="A117" i="20"/>
  <c r="A118" i="20"/>
  <c r="A119" i="20"/>
  <c r="A120" i="20"/>
  <c r="A121" i="20"/>
  <c r="A122" i="20"/>
  <c r="A123" i="20"/>
  <c r="A124" i="20"/>
  <c r="A125" i="20"/>
  <c r="A126" i="20"/>
  <c r="A127" i="20"/>
  <c r="A128" i="20"/>
  <c r="A129" i="20"/>
  <c r="A130" i="20"/>
  <c r="B125" i="20"/>
  <c r="B126" i="20"/>
  <c r="B127" i="20"/>
  <c r="B128" i="20"/>
  <c r="B129" i="20"/>
  <c r="B130" i="20"/>
  <c r="B120" i="20"/>
  <c r="B121" i="20"/>
  <c r="B122" i="20"/>
  <c r="B123" i="20"/>
  <c r="B124" i="20"/>
  <c r="B90" i="20"/>
  <c r="B91" i="20"/>
  <c r="B92" i="20"/>
  <c r="B93" i="20"/>
  <c r="B94" i="20"/>
  <c r="B95" i="20"/>
  <c r="B96" i="20"/>
  <c r="B97" i="20"/>
  <c r="B98" i="20"/>
  <c r="B99" i="20"/>
  <c r="B100" i="20"/>
  <c r="B101" i="20"/>
  <c r="B103" i="20"/>
  <c r="B104" i="20"/>
  <c r="B105" i="20"/>
  <c r="B106" i="20"/>
  <c r="B107" i="20"/>
  <c r="B108" i="20"/>
  <c r="B109" i="20"/>
  <c r="B110" i="20"/>
  <c r="B111" i="20"/>
  <c r="B112" i="20"/>
  <c r="B113" i="20"/>
  <c r="B114" i="20"/>
  <c r="B115" i="20"/>
  <c r="B116" i="20"/>
  <c r="B117" i="20"/>
  <c r="B118" i="20"/>
  <c r="B119" i="20"/>
  <c r="H277" i="27"/>
  <c r="I277" i="27" s="1"/>
  <c r="H260" i="27"/>
  <c r="I260" i="27" s="1"/>
  <c r="H142" i="27"/>
  <c r="I142" i="27" s="1"/>
  <c r="H221" i="27"/>
  <c r="I221" i="27" s="1"/>
  <c r="M54" i="15"/>
  <c r="N54" i="15" s="1"/>
  <c r="P54" i="15" s="1"/>
  <c r="R54" i="15" s="1"/>
  <c r="T54" i="15" s="1"/>
  <c r="G122" i="20" s="1"/>
  <c r="M55" i="15"/>
  <c r="N55" i="15" s="1"/>
  <c r="P55" i="15" s="1"/>
  <c r="R55" i="15" s="1"/>
  <c r="T55" i="15" s="1"/>
  <c r="G123" i="20" s="1"/>
  <c r="M56" i="15"/>
  <c r="N56" i="15" s="1"/>
  <c r="P56" i="15" s="1"/>
  <c r="R56" i="15" s="1"/>
  <c r="T56" i="15" s="1"/>
  <c r="G124" i="20" s="1"/>
  <c r="M57" i="15"/>
  <c r="N57" i="15" s="1"/>
  <c r="P57" i="15" s="1"/>
  <c r="R57" i="15" s="1"/>
  <c r="T57" i="15" s="1"/>
  <c r="G125" i="20" s="1"/>
  <c r="M58" i="15"/>
  <c r="N58" i="15" s="1"/>
  <c r="P58" i="15" s="1"/>
  <c r="R58" i="15" s="1"/>
  <c r="T58" i="15" s="1"/>
  <c r="G126" i="20" s="1"/>
  <c r="M59" i="15"/>
  <c r="N59" i="15" s="1"/>
  <c r="P59" i="15" s="1"/>
  <c r="R59" i="15" s="1"/>
  <c r="T59" i="15" s="1"/>
  <c r="G127" i="20" s="1"/>
  <c r="H127" i="20" s="1"/>
  <c r="M60" i="15"/>
  <c r="N60" i="15" s="1"/>
  <c r="P60" i="15" s="1"/>
  <c r="R60" i="15" s="1"/>
  <c r="T60" i="15" s="1"/>
  <c r="G128" i="20" s="1"/>
  <c r="M61" i="15"/>
  <c r="N61" i="15" s="1"/>
  <c r="P61" i="15" s="1"/>
  <c r="R61" i="15" s="1"/>
  <c r="T61" i="15" s="1"/>
  <c r="G129" i="20" s="1"/>
  <c r="M62" i="15"/>
  <c r="N62" i="15" s="1"/>
  <c r="P62" i="15" s="1"/>
  <c r="R62" i="15" s="1"/>
  <c r="T62" i="15" s="1"/>
  <c r="G130" i="20" s="1"/>
  <c r="H179" i="27"/>
  <c r="I179" i="27" s="1"/>
  <c r="H177" i="27"/>
  <c r="I177" i="27" s="1"/>
  <c r="H176" i="27"/>
  <c r="I176" i="27" s="1"/>
  <c r="H175" i="27"/>
  <c r="I175" i="27" s="1"/>
  <c r="E22" i="22" l="1"/>
  <c r="D25" i="22"/>
  <c r="E25" i="22" s="1"/>
  <c r="H123" i="20"/>
  <c r="H128" i="20"/>
  <c r="A60" i="20"/>
  <c r="A61" i="20"/>
  <c r="H125" i="20"/>
  <c r="H124" i="20"/>
  <c r="H129" i="20"/>
  <c r="H126" i="20"/>
  <c r="H122" i="20"/>
  <c r="H130" i="20"/>
  <c r="O62" i="15"/>
  <c r="Q62" i="15" s="1"/>
  <c r="S62" i="15" s="1"/>
  <c r="O61" i="15"/>
  <c r="Q61" i="15" s="1"/>
  <c r="S61" i="15" s="1"/>
  <c r="O60" i="15"/>
  <c r="Q60" i="15" s="1"/>
  <c r="S60" i="15" s="1"/>
  <c r="O59" i="15"/>
  <c r="Q59" i="15" s="1"/>
  <c r="S59" i="15" s="1"/>
  <c r="O58" i="15"/>
  <c r="Q58" i="15" s="1"/>
  <c r="S58" i="15" s="1"/>
  <c r="O57" i="15"/>
  <c r="Q57" i="15" s="1"/>
  <c r="S57" i="15" s="1"/>
  <c r="O56" i="15"/>
  <c r="Q56" i="15" s="1"/>
  <c r="S56" i="15" s="1"/>
  <c r="O55" i="15"/>
  <c r="Q55" i="15" s="1"/>
  <c r="S55" i="15" s="1"/>
  <c r="O54" i="15"/>
  <c r="Q54" i="15" s="1"/>
  <c r="S54" i="15" s="1"/>
  <c r="H275" i="27"/>
  <c r="I275" i="27" s="1"/>
  <c r="H276" i="27"/>
  <c r="I276" i="27" s="1"/>
  <c r="H274" i="27"/>
  <c r="I274" i="27" s="1"/>
  <c r="K5" i="22" l="1"/>
  <c r="L5" i="22" s="1"/>
  <c r="M5" i="22" s="1"/>
  <c r="K6" i="22"/>
  <c r="L6" i="22" s="1"/>
  <c r="M6" i="22" s="1"/>
  <c r="K8" i="22"/>
  <c r="L8" i="22" s="1"/>
  <c r="M8" i="22" s="1"/>
  <c r="K7" i="22"/>
  <c r="L7" i="22" s="1"/>
  <c r="M7" i="22" s="1"/>
  <c r="K10" i="22"/>
  <c r="L10" i="22" s="1"/>
  <c r="M10" i="22" s="1"/>
  <c r="K4" i="22"/>
  <c r="K9" i="22"/>
  <c r="L9" i="22" s="1"/>
  <c r="M9" i="22" s="1"/>
  <c r="A63" i="20"/>
  <c r="A62" i="20"/>
  <c r="H120" i="27"/>
  <c r="I120" i="27" s="1"/>
  <c r="M36" i="15"/>
  <c r="N36" i="15" s="1"/>
  <c r="P36" i="15" s="1"/>
  <c r="R36" i="15" s="1"/>
  <c r="T36" i="15" s="1"/>
  <c r="G104" i="20" s="1"/>
  <c r="H104" i="20" s="1"/>
  <c r="M37" i="15"/>
  <c r="N37" i="15" s="1"/>
  <c r="P37" i="15" s="1"/>
  <c r="R37" i="15" s="1"/>
  <c r="T37" i="15" s="1"/>
  <c r="G105" i="20" s="1"/>
  <c r="H105" i="20" s="1"/>
  <c r="M38" i="15"/>
  <c r="N38" i="15" s="1"/>
  <c r="P38" i="15" s="1"/>
  <c r="R38" i="15" s="1"/>
  <c r="T38" i="15" s="1"/>
  <c r="G106" i="20" s="1"/>
  <c r="H106" i="20" s="1"/>
  <c r="M39" i="15"/>
  <c r="N39" i="15" s="1"/>
  <c r="P39" i="15" s="1"/>
  <c r="R39" i="15" s="1"/>
  <c r="T39" i="15" s="1"/>
  <c r="G107" i="20" s="1"/>
  <c r="H107" i="20" s="1"/>
  <c r="M40" i="15"/>
  <c r="N40" i="15" s="1"/>
  <c r="P40" i="15" s="1"/>
  <c r="R40" i="15" s="1"/>
  <c r="T40" i="15" s="1"/>
  <c r="G108" i="20" s="1"/>
  <c r="H108" i="20" s="1"/>
  <c r="M41" i="15"/>
  <c r="N41" i="15" s="1"/>
  <c r="P41" i="15" s="1"/>
  <c r="R41" i="15" s="1"/>
  <c r="T41" i="15" s="1"/>
  <c r="G109" i="20" s="1"/>
  <c r="H109" i="20" s="1"/>
  <c r="M42" i="15"/>
  <c r="N42" i="15" s="1"/>
  <c r="P42" i="15" s="1"/>
  <c r="R42" i="15" s="1"/>
  <c r="T42" i="15" s="1"/>
  <c r="G110" i="20" s="1"/>
  <c r="H110" i="20" s="1"/>
  <c r="M43" i="15"/>
  <c r="N43" i="15" s="1"/>
  <c r="P43" i="15" s="1"/>
  <c r="R43" i="15" s="1"/>
  <c r="T43" i="15" s="1"/>
  <c r="G111" i="20" s="1"/>
  <c r="H111" i="20" s="1"/>
  <c r="M44" i="15"/>
  <c r="N44" i="15" s="1"/>
  <c r="P44" i="15" s="1"/>
  <c r="R44" i="15" s="1"/>
  <c r="T44" i="15" s="1"/>
  <c r="G112" i="20" s="1"/>
  <c r="H112" i="20" s="1"/>
  <c r="M45" i="15"/>
  <c r="N45" i="15" s="1"/>
  <c r="P45" i="15" s="1"/>
  <c r="R45" i="15" s="1"/>
  <c r="T45" i="15" s="1"/>
  <c r="G113" i="20" s="1"/>
  <c r="H113" i="20" s="1"/>
  <c r="M46" i="15"/>
  <c r="N46" i="15" s="1"/>
  <c r="P46" i="15" s="1"/>
  <c r="R46" i="15" s="1"/>
  <c r="T46" i="15" s="1"/>
  <c r="G114" i="20" s="1"/>
  <c r="H114" i="20" s="1"/>
  <c r="M47" i="15"/>
  <c r="N47" i="15" s="1"/>
  <c r="P47" i="15" s="1"/>
  <c r="R47" i="15" s="1"/>
  <c r="T47" i="15" s="1"/>
  <c r="G115" i="20" s="1"/>
  <c r="H115" i="20" s="1"/>
  <c r="M48" i="15"/>
  <c r="N48" i="15" s="1"/>
  <c r="P48" i="15" s="1"/>
  <c r="R48" i="15" s="1"/>
  <c r="T48" i="15" s="1"/>
  <c r="G116" i="20" s="1"/>
  <c r="H116" i="20" s="1"/>
  <c r="M49" i="15"/>
  <c r="N49" i="15" s="1"/>
  <c r="P49" i="15" s="1"/>
  <c r="R49" i="15" s="1"/>
  <c r="T49" i="15" s="1"/>
  <c r="G117" i="20" s="1"/>
  <c r="H117" i="20" s="1"/>
  <c r="M50" i="15"/>
  <c r="N50" i="15" s="1"/>
  <c r="P50" i="15" s="1"/>
  <c r="R50" i="15" s="1"/>
  <c r="T50" i="15" s="1"/>
  <c r="G118" i="20" s="1"/>
  <c r="H118" i="20" s="1"/>
  <c r="M51" i="15"/>
  <c r="N51" i="15" s="1"/>
  <c r="P51" i="15" s="1"/>
  <c r="R51" i="15" s="1"/>
  <c r="T51" i="15" s="1"/>
  <c r="G119" i="20" s="1"/>
  <c r="H119" i="20" s="1"/>
  <c r="M52" i="15"/>
  <c r="N52" i="15" s="1"/>
  <c r="P52" i="15" s="1"/>
  <c r="R52" i="15" s="1"/>
  <c r="T52" i="15" s="1"/>
  <c r="G120" i="20" s="1"/>
  <c r="H120" i="20" s="1"/>
  <c r="M53" i="15"/>
  <c r="N53" i="15" s="1"/>
  <c r="P53" i="15" s="1"/>
  <c r="R53" i="15" s="1"/>
  <c r="T53" i="15" s="1"/>
  <c r="G121" i="20" s="1"/>
  <c r="H121" i="20" s="1"/>
  <c r="M35" i="15"/>
  <c r="O35" i="15" s="1"/>
  <c r="Q35" i="15" s="1"/>
  <c r="S35" i="15" s="1"/>
  <c r="B35" i="15"/>
  <c r="B36" i="15" s="1"/>
  <c r="B37" i="15" s="1"/>
  <c r="B38" i="15" s="1"/>
  <c r="B39" i="15" s="1"/>
  <c r="B40" i="15" s="1"/>
  <c r="B41" i="15" s="1"/>
  <c r="B42" i="15" s="1"/>
  <c r="B43" i="15" s="1"/>
  <c r="B44" i="15" s="1"/>
  <c r="B45" i="15" s="1"/>
  <c r="B46" i="15" s="1"/>
  <c r="B47" i="15" s="1"/>
  <c r="B48" i="15" s="1"/>
  <c r="B49" i="15" s="1"/>
  <c r="B50" i="15" s="1"/>
  <c r="B51" i="15" s="1"/>
  <c r="B52" i="15" s="1"/>
  <c r="B53" i="15" s="1"/>
  <c r="B54" i="15" s="1"/>
  <c r="B55" i="15" s="1"/>
  <c r="B56" i="15" s="1"/>
  <c r="B57" i="15" s="1"/>
  <c r="B58" i="15" s="1"/>
  <c r="B59" i="15" s="1"/>
  <c r="B60" i="15" s="1"/>
  <c r="B61" i="15" s="1"/>
  <c r="B62" i="15" s="1"/>
  <c r="K11" i="22" l="1"/>
  <c r="L4" i="22"/>
  <c r="O53" i="15"/>
  <c r="Q53" i="15" s="1"/>
  <c r="S53" i="15" s="1"/>
  <c r="O52" i="15"/>
  <c r="Q52" i="15" s="1"/>
  <c r="S52" i="15" s="1"/>
  <c r="O51" i="15"/>
  <c r="Q51" i="15" s="1"/>
  <c r="S51" i="15" s="1"/>
  <c r="O50" i="15"/>
  <c r="Q50" i="15" s="1"/>
  <c r="S50" i="15" s="1"/>
  <c r="O49" i="15"/>
  <c r="Q49" i="15" s="1"/>
  <c r="S49" i="15" s="1"/>
  <c r="O48" i="15"/>
  <c r="Q48" i="15" s="1"/>
  <c r="S48" i="15" s="1"/>
  <c r="O47" i="15"/>
  <c r="Q47" i="15" s="1"/>
  <c r="S47" i="15" s="1"/>
  <c r="O46" i="15"/>
  <c r="Q46" i="15" s="1"/>
  <c r="S46" i="15" s="1"/>
  <c r="O45" i="15"/>
  <c r="Q45" i="15" s="1"/>
  <c r="S45" i="15" s="1"/>
  <c r="O44" i="15"/>
  <c r="Q44" i="15" s="1"/>
  <c r="S44" i="15" s="1"/>
  <c r="O43" i="15"/>
  <c r="Q43" i="15" s="1"/>
  <c r="S43" i="15" s="1"/>
  <c r="O42" i="15"/>
  <c r="Q42" i="15" s="1"/>
  <c r="S42" i="15" s="1"/>
  <c r="O41" i="15"/>
  <c r="Q41" i="15" s="1"/>
  <c r="S41" i="15" s="1"/>
  <c r="O40" i="15"/>
  <c r="Q40" i="15" s="1"/>
  <c r="S40" i="15" s="1"/>
  <c r="O39" i="15"/>
  <c r="Q39" i="15" s="1"/>
  <c r="S39" i="15" s="1"/>
  <c r="O38" i="15"/>
  <c r="Q38" i="15" s="1"/>
  <c r="S38" i="15" s="1"/>
  <c r="O37" i="15"/>
  <c r="Q37" i="15" s="1"/>
  <c r="S37" i="15" s="1"/>
  <c r="O36" i="15"/>
  <c r="Q36" i="15" s="1"/>
  <c r="S36" i="15" s="1"/>
  <c r="N35" i="15"/>
  <c r="P35" i="15" s="1"/>
  <c r="R35" i="15" s="1"/>
  <c r="T35" i="15" s="1"/>
  <c r="G103" i="20" s="1"/>
  <c r="H103" i="20" s="1"/>
  <c r="H102" i="20" s="1"/>
  <c r="L11" i="22" l="1"/>
  <c r="M4" i="22"/>
  <c r="F76" i="20"/>
  <c r="F77" i="20"/>
  <c r="F78" i="20"/>
  <c r="F79" i="20"/>
  <c r="F80" i="20"/>
  <c r="F81" i="20"/>
  <c r="F82" i="20"/>
  <c r="F83" i="20"/>
  <c r="F84" i="20"/>
  <c r="F85" i="20"/>
  <c r="F86" i="20"/>
  <c r="F87" i="20"/>
  <c r="F88" i="20"/>
  <c r="F89" i="20"/>
  <c r="M20" i="15"/>
  <c r="N20" i="15" s="1"/>
  <c r="P20" i="15" s="1"/>
  <c r="R20" i="15" s="1"/>
  <c r="T20" i="15" s="1"/>
  <c r="G88" i="20" s="1"/>
  <c r="M21" i="15"/>
  <c r="N21" i="15" s="1"/>
  <c r="P21" i="15" s="1"/>
  <c r="R21" i="15" s="1"/>
  <c r="T21" i="15" s="1"/>
  <c r="G89" i="20" s="1"/>
  <c r="M22" i="15"/>
  <c r="N22" i="15" s="1"/>
  <c r="P22" i="15" s="1"/>
  <c r="R22" i="15" s="1"/>
  <c r="T22" i="15" s="1"/>
  <c r="G90" i="20" s="1"/>
  <c r="H90" i="20" s="1"/>
  <c r="M23" i="15"/>
  <c r="N23" i="15" s="1"/>
  <c r="P23" i="15" s="1"/>
  <c r="R23" i="15" s="1"/>
  <c r="T23" i="15" s="1"/>
  <c r="G91" i="20" s="1"/>
  <c r="H91" i="20" s="1"/>
  <c r="M24" i="15"/>
  <c r="N24" i="15" s="1"/>
  <c r="P24" i="15" s="1"/>
  <c r="R24" i="15" s="1"/>
  <c r="T24" i="15" s="1"/>
  <c r="G92" i="20" s="1"/>
  <c r="H92" i="20" s="1"/>
  <c r="M25" i="15"/>
  <c r="N25" i="15" s="1"/>
  <c r="P25" i="15" s="1"/>
  <c r="R25" i="15" s="1"/>
  <c r="T25" i="15" s="1"/>
  <c r="G93" i="20" s="1"/>
  <c r="H93" i="20" s="1"/>
  <c r="M26" i="15"/>
  <c r="N26" i="15" s="1"/>
  <c r="P26" i="15" s="1"/>
  <c r="R26" i="15" s="1"/>
  <c r="T26" i="15" s="1"/>
  <c r="G94" i="20" s="1"/>
  <c r="H94" i="20" s="1"/>
  <c r="M27" i="15"/>
  <c r="N27" i="15" s="1"/>
  <c r="P27" i="15" s="1"/>
  <c r="R27" i="15" s="1"/>
  <c r="T27" i="15" s="1"/>
  <c r="G95" i="20" s="1"/>
  <c r="H95" i="20" s="1"/>
  <c r="M28" i="15"/>
  <c r="N28" i="15" s="1"/>
  <c r="P28" i="15" s="1"/>
  <c r="M29" i="15"/>
  <c r="N29" i="15" s="1"/>
  <c r="P29" i="15" s="1"/>
  <c r="R29" i="15" s="1"/>
  <c r="T29" i="15" s="1"/>
  <c r="G97" i="20" s="1"/>
  <c r="H97" i="20" s="1"/>
  <c r="M30" i="15"/>
  <c r="N30" i="15" s="1"/>
  <c r="P30" i="15" s="1"/>
  <c r="R30" i="15" s="1"/>
  <c r="T30" i="15" s="1"/>
  <c r="G98" i="20" s="1"/>
  <c r="H98" i="20" s="1"/>
  <c r="M31" i="15"/>
  <c r="N31" i="15" s="1"/>
  <c r="P31" i="15" s="1"/>
  <c r="R31" i="15" s="1"/>
  <c r="T31" i="15" s="1"/>
  <c r="G99" i="20" s="1"/>
  <c r="H99" i="20" s="1"/>
  <c r="M32" i="15"/>
  <c r="N32" i="15" s="1"/>
  <c r="P32" i="15" s="1"/>
  <c r="R32" i="15" s="1"/>
  <c r="T32" i="15" s="1"/>
  <c r="G100" i="20" s="1"/>
  <c r="H100" i="20" s="1"/>
  <c r="M33" i="15"/>
  <c r="N33" i="15" s="1"/>
  <c r="P33" i="15" s="1"/>
  <c r="R33" i="15" s="1"/>
  <c r="T33" i="15" s="1"/>
  <c r="G101" i="20" s="1"/>
  <c r="H101" i="20" s="1"/>
  <c r="F75" i="20"/>
  <c r="H75" i="20" s="1"/>
  <c r="E76" i="20"/>
  <c r="E77" i="20"/>
  <c r="E78" i="20"/>
  <c r="E79" i="20"/>
  <c r="E80" i="20"/>
  <c r="E81" i="20"/>
  <c r="E82" i="20"/>
  <c r="E83" i="20"/>
  <c r="E84" i="20"/>
  <c r="E85" i="20"/>
  <c r="E86" i="20"/>
  <c r="E87" i="20"/>
  <c r="E88" i="20"/>
  <c r="E89" i="20"/>
  <c r="E75" i="20"/>
  <c r="A74" i="20"/>
  <c r="B88" i="20"/>
  <c r="B89" i="20"/>
  <c r="B76" i="20"/>
  <c r="B77" i="20"/>
  <c r="B78" i="20"/>
  <c r="B79" i="20"/>
  <c r="B80" i="20"/>
  <c r="B81" i="20"/>
  <c r="B82" i="20"/>
  <c r="B83" i="20"/>
  <c r="B84" i="20"/>
  <c r="B85" i="20"/>
  <c r="B86" i="20"/>
  <c r="B87" i="20"/>
  <c r="B75" i="20"/>
  <c r="H244" i="27"/>
  <c r="I135" i="27"/>
  <c r="I125" i="27"/>
  <c r="I126" i="27"/>
  <c r="I127" i="27"/>
  <c r="I128" i="27"/>
  <c r="I129" i="27"/>
  <c r="I130" i="27"/>
  <c r="I131" i="27"/>
  <c r="I132" i="27"/>
  <c r="I133" i="27"/>
  <c r="I134" i="27"/>
  <c r="H273" i="27"/>
  <c r="I273" i="27" s="1"/>
  <c r="M8" i="15"/>
  <c r="M9" i="15"/>
  <c r="N9" i="15" s="1"/>
  <c r="P9" i="15" s="1"/>
  <c r="R9" i="15" s="1"/>
  <c r="T9" i="15" s="1"/>
  <c r="G77" i="20" s="1"/>
  <c r="M10" i="15"/>
  <c r="N10" i="15" s="1"/>
  <c r="P10" i="15" s="1"/>
  <c r="R10" i="15" s="1"/>
  <c r="T10" i="15" s="1"/>
  <c r="G78" i="20" s="1"/>
  <c r="M11" i="15"/>
  <c r="N11" i="15" s="1"/>
  <c r="P11" i="15" s="1"/>
  <c r="R11" i="15" s="1"/>
  <c r="T11" i="15" s="1"/>
  <c r="G79" i="20" s="1"/>
  <c r="M12" i="15"/>
  <c r="N12" i="15" s="1"/>
  <c r="P12" i="15" s="1"/>
  <c r="R12" i="15" s="1"/>
  <c r="T12" i="15" s="1"/>
  <c r="G80" i="20" s="1"/>
  <c r="M13" i="15"/>
  <c r="N13" i="15" s="1"/>
  <c r="P13" i="15" s="1"/>
  <c r="R13" i="15" s="1"/>
  <c r="T13" i="15" s="1"/>
  <c r="G81" i="20" s="1"/>
  <c r="M14" i="15"/>
  <c r="M15" i="15"/>
  <c r="M16" i="15"/>
  <c r="M17" i="15"/>
  <c r="M18" i="15"/>
  <c r="M19" i="15"/>
  <c r="H272" i="27"/>
  <c r="I272" i="27" s="1"/>
  <c r="B7" i="15"/>
  <c r="A75" i="20" s="1"/>
  <c r="M6" i="15"/>
  <c r="N6" i="15" s="1"/>
  <c r="P6" i="15" s="1"/>
  <c r="M685" i="29"/>
  <c r="N685" i="29" s="1"/>
  <c r="L685" i="29"/>
  <c r="M684" i="29"/>
  <c r="N684" i="29" s="1"/>
  <c r="P684" i="29" s="1"/>
  <c r="R684" i="29" s="1"/>
  <c r="T684" i="29" s="1"/>
  <c r="M683" i="29"/>
  <c r="O683" i="29" s="1"/>
  <c r="Q683" i="29" s="1"/>
  <c r="S683" i="29" s="1"/>
  <c r="B683" i="29"/>
  <c r="B684" i="29" s="1"/>
  <c r="B685" i="29" s="1"/>
  <c r="M682" i="29"/>
  <c r="N682" i="29" s="1"/>
  <c r="P682" i="29" s="1"/>
  <c r="R682" i="29" s="1"/>
  <c r="B682" i="29"/>
  <c r="K680" i="29"/>
  <c r="E680" i="29"/>
  <c r="D680" i="29"/>
  <c r="K679" i="29"/>
  <c r="C679" i="29"/>
  <c r="C680" i="29" s="1"/>
  <c r="M678" i="29"/>
  <c r="O678" i="29" s="1"/>
  <c r="Q678" i="29" s="1"/>
  <c r="S678" i="29" s="1"/>
  <c r="K678" i="29"/>
  <c r="C678" i="29"/>
  <c r="M677" i="29"/>
  <c r="O677" i="29" s="1"/>
  <c r="Q677" i="29" s="1"/>
  <c r="S677" i="29" s="1"/>
  <c r="K677" i="29"/>
  <c r="C677" i="29"/>
  <c r="B677" i="29"/>
  <c r="B678" i="29" s="1"/>
  <c r="B679" i="29" s="1"/>
  <c r="B680" i="29" s="1"/>
  <c r="K675" i="29"/>
  <c r="E675" i="29"/>
  <c r="C675" i="29"/>
  <c r="K674" i="29"/>
  <c r="C674" i="29"/>
  <c r="K673" i="29"/>
  <c r="C673" i="29"/>
  <c r="K672" i="29"/>
  <c r="C672" i="29"/>
  <c r="K671" i="29"/>
  <c r="C671" i="29"/>
  <c r="M670" i="29"/>
  <c r="N670" i="29" s="1"/>
  <c r="P670" i="29" s="1"/>
  <c r="R670" i="29" s="1"/>
  <c r="T670" i="29" s="1"/>
  <c r="K670" i="29"/>
  <c r="C670" i="29"/>
  <c r="B670" i="29"/>
  <c r="B671" i="29" s="1"/>
  <c r="B672" i="29" s="1"/>
  <c r="B673" i="29" s="1"/>
  <c r="B674" i="29" s="1"/>
  <c r="B675" i="29" s="1"/>
  <c r="M669" i="29"/>
  <c r="O669" i="29" s="1"/>
  <c r="Q669" i="29" s="1"/>
  <c r="S669" i="29" s="1"/>
  <c r="K669" i="29"/>
  <c r="E669" i="29"/>
  <c r="D669" i="29"/>
  <c r="C669" i="29"/>
  <c r="B669" i="29"/>
  <c r="K667" i="29"/>
  <c r="K658" i="29"/>
  <c r="L657" i="29"/>
  <c r="K657" i="29"/>
  <c r="K656" i="29"/>
  <c r="J655" i="29"/>
  <c r="L655" i="29" s="1"/>
  <c r="M654" i="29"/>
  <c r="N654" i="29" s="1"/>
  <c r="G654" i="29"/>
  <c r="J654" i="29" s="1"/>
  <c r="L654" i="29" s="1"/>
  <c r="E654" i="29"/>
  <c r="E679" i="29" s="1"/>
  <c r="D654" i="29"/>
  <c r="D679" i="29" s="1"/>
  <c r="M653" i="29"/>
  <c r="N653" i="29" s="1"/>
  <c r="E653" i="29"/>
  <c r="E678" i="29" s="1"/>
  <c r="D653" i="29"/>
  <c r="D678" i="29" s="1"/>
  <c r="M652" i="29"/>
  <c r="N652" i="29" s="1"/>
  <c r="I652" i="29"/>
  <c r="E652" i="29"/>
  <c r="E677" i="29" s="1"/>
  <c r="D652" i="29"/>
  <c r="D677" i="29" s="1"/>
  <c r="K651" i="29"/>
  <c r="I651" i="29"/>
  <c r="M651" i="29" s="1"/>
  <c r="N651" i="29" s="1"/>
  <c r="H651" i="29"/>
  <c r="H652" i="29" s="1"/>
  <c r="G651" i="29"/>
  <c r="J651" i="29" s="1"/>
  <c r="L651" i="29" s="1"/>
  <c r="E651" i="29"/>
  <c r="D651" i="29"/>
  <c r="M650" i="29"/>
  <c r="N650" i="29" s="1"/>
  <c r="K650" i="29"/>
  <c r="J650" i="29"/>
  <c r="L650" i="29" s="1"/>
  <c r="G650" i="29"/>
  <c r="E650" i="29"/>
  <c r="D650" i="29"/>
  <c r="D675" i="29" s="1"/>
  <c r="B650" i="29"/>
  <c r="B651" i="29" s="1"/>
  <c r="B652" i="29" s="1"/>
  <c r="B653" i="29" s="1"/>
  <c r="B654" i="29" s="1"/>
  <c r="L649" i="29"/>
  <c r="K649" i="29"/>
  <c r="I649" i="29"/>
  <c r="G649" i="29"/>
  <c r="M649" i="29" s="1"/>
  <c r="N649" i="29" s="1"/>
  <c r="E649" i="29"/>
  <c r="E674" i="29" s="1"/>
  <c r="D649" i="29"/>
  <c r="D674" i="29" s="1"/>
  <c r="I648" i="29"/>
  <c r="H648" i="29"/>
  <c r="E648" i="29"/>
  <c r="E673" i="29" s="1"/>
  <c r="D648" i="29"/>
  <c r="D673" i="29" s="1"/>
  <c r="B648" i="29"/>
  <c r="B649" i="29" s="1"/>
  <c r="I647" i="29"/>
  <c r="H647" i="29"/>
  <c r="E647" i="29"/>
  <c r="E672" i="29" s="1"/>
  <c r="D647" i="29"/>
  <c r="D672" i="29" s="1"/>
  <c r="K646" i="29"/>
  <c r="I646" i="29"/>
  <c r="G646" i="29" s="1"/>
  <c r="M646" i="29" s="1"/>
  <c r="N646" i="29" s="1"/>
  <c r="H646" i="29"/>
  <c r="F646" i="29"/>
  <c r="F647" i="29" s="1"/>
  <c r="F648" i="29" s="1"/>
  <c r="F649" i="29" s="1"/>
  <c r="F650" i="29" s="1"/>
  <c r="F651" i="29" s="1"/>
  <c r="F652" i="29" s="1"/>
  <c r="E646" i="29"/>
  <c r="E671" i="29" s="1"/>
  <c r="D646" i="29"/>
  <c r="D671" i="29" s="1"/>
  <c r="L645" i="29"/>
  <c r="K645" i="29"/>
  <c r="G645" i="29"/>
  <c r="M645" i="29" s="1"/>
  <c r="N645" i="29" s="1"/>
  <c r="F645" i="29"/>
  <c r="E645" i="29"/>
  <c r="E670" i="29" s="1"/>
  <c r="D645" i="29"/>
  <c r="D670" i="29" s="1"/>
  <c r="B645" i="29"/>
  <c r="B646" i="29" s="1"/>
  <c r="B647" i="29" s="1"/>
  <c r="M643" i="29"/>
  <c r="N643" i="29" s="1"/>
  <c r="E643" i="29"/>
  <c r="D643" i="29"/>
  <c r="C643" i="29"/>
  <c r="M642" i="29"/>
  <c r="N642" i="29" s="1"/>
  <c r="L642" i="29"/>
  <c r="E642" i="29"/>
  <c r="D642" i="29"/>
  <c r="C642" i="29"/>
  <c r="M641" i="29"/>
  <c r="N641" i="29" s="1"/>
  <c r="L641" i="29"/>
  <c r="K641" i="29"/>
  <c r="E641" i="29"/>
  <c r="D641" i="29"/>
  <c r="C641" i="29"/>
  <c r="M640" i="29"/>
  <c r="N640" i="29" s="1"/>
  <c r="P640" i="29" s="1"/>
  <c r="R640" i="29" s="1"/>
  <c r="T640" i="29" s="1"/>
  <c r="L640" i="29"/>
  <c r="J640" i="29"/>
  <c r="G640" i="29"/>
  <c r="E640" i="29"/>
  <c r="D640" i="29"/>
  <c r="C640" i="29"/>
  <c r="M639" i="29"/>
  <c r="N639" i="29" s="1"/>
  <c r="E639" i="29"/>
  <c r="D639" i="29"/>
  <c r="C639" i="29"/>
  <c r="M638" i="29"/>
  <c r="N638" i="29" s="1"/>
  <c r="I638" i="29"/>
  <c r="H638" i="29"/>
  <c r="E638" i="29"/>
  <c r="D638" i="29"/>
  <c r="C638" i="29"/>
  <c r="K637" i="29"/>
  <c r="I637" i="29"/>
  <c r="M637" i="29" s="1"/>
  <c r="N637" i="29" s="1"/>
  <c r="H637" i="29"/>
  <c r="E637" i="29"/>
  <c r="D637" i="29"/>
  <c r="C637" i="29"/>
  <c r="M636" i="29"/>
  <c r="N636" i="29" s="1"/>
  <c r="K636" i="29"/>
  <c r="J636" i="29"/>
  <c r="L636" i="29" s="1"/>
  <c r="G636" i="29"/>
  <c r="E636" i="29"/>
  <c r="D636" i="29"/>
  <c r="C636" i="29"/>
  <c r="L635" i="29"/>
  <c r="K635" i="29"/>
  <c r="I635" i="29"/>
  <c r="H635" i="29"/>
  <c r="E635" i="29"/>
  <c r="D635" i="29"/>
  <c r="C635" i="29"/>
  <c r="K634" i="29"/>
  <c r="E634" i="29"/>
  <c r="D634" i="29"/>
  <c r="C634" i="29"/>
  <c r="I633" i="29"/>
  <c r="H633" i="29"/>
  <c r="K633" i="29" s="1"/>
  <c r="E633" i="29"/>
  <c r="D633" i="29"/>
  <c r="C633" i="29"/>
  <c r="K632" i="29"/>
  <c r="I632" i="29"/>
  <c r="G632" i="29" s="1" a="1"/>
  <c r="G632" i="29" s="1"/>
  <c r="E632" i="29"/>
  <c r="D632" i="29"/>
  <c r="C632" i="29"/>
  <c r="L631" i="29"/>
  <c r="I631" i="29"/>
  <c r="H631" i="29"/>
  <c r="K631" i="29" s="1"/>
  <c r="G631" i="29"/>
  <c r="M631" i="29" s="1"/>
  <c r="N631" i="29" s="1"/>
  <c r="P631" i="29" s="1"/>
  <c r="R631" i="29" s="1"/>
  <c r="T631" i="29" s="1"/>
  <c r="E631" i="29"/>
  <c r="D631" i="29"/>
  <c r="C631" i="29"/>
  <c r="K630" i="29"/>
  <c r="I630" i="29"/>
  <c r="H630" i="29"/>
  <c r="F630" i="29"/>
  <c r="F631" i="29" s="1"/>
  <c r="F632" i="29" s="1"/>
  <c r="F633" i="29" s="1"/>
  <c r="F634" i="29" s="1"/>
  <c r="F635" i="29" s="1"/>
  <c r="F636" i="29" s="1"/>
  <c r="F637" i="29" s="1"/>
  <c r="E630" i="29"/>
  <c r="D630" i="29"/>
  <c r="C630" i="29"/>
  <c r="B630" i="29"/>
  <c r="B631" i="29" s="1"/>
  <c r="B632" i="29" s="1"/>
  <c r="B633" i="29" s="1"/>
  <c r="B634" i="29" s="1"/>
  <c r="B635" i="29" s="1"/>
  <c r="B636" i="29" s="1"/>
  <c r="B637" i="29" s="1"/>
  <c r="B638" i="29" s="1"/>
  <c r="B639" i="29" s="1"/>
  <c r="B640" i="29" s="1"/>
  <c r="B641" i="29" s="1"/>
  <c r="B642" i="29" s="1"/>
  <c r="B643" i="29" s="1"/>
  <c r="L629" i="29"/>
  <c r="I629" i="29"/>
  <c r="I634" i="29" s="1"/>
  <c r="G634" i="29" s="1" a="1"/>
  <c r="G634" i="29" s="1"/>
  <c r="H629" i="29"/>
  <c r="K629" i="29" s="1"/>
  <c r="G629" i="29"/>
  <c r="M629" i="29" s="1"/>
  <c r="N629" i="29" s="1"/>
  <c r="P629" i="29" s="1"/>
  <c r="R629" i="29" s="1"/>
  <c r="T629" i="29" s="1"/>
  <c r="E629" i="29"/>
  <c r="D629" i="29"/>
  <c r="C629" i="29"/>
  <c r="K628" i="29"/>
  <c r="I628" i="29"/>
  <c r="H628" i="29"/>
  <c r="F628" i="29"/>
  <c r="F629" i="29" s="1"/>
  <c r="E628" i="29"/>
  <c r="D628" i="29"/>
  <c r="C628" i="29"/>
  <c r="B628" i="29"/>
  <c r="B629" i="29" s="1"/>
  <c r="L627" i="29"/>
  <c r="K627" i="29"/>
  <c r="G627" i="29"/>
  <c r="M627" i="29" s="1"/>
  <c r="N627" i="29" s="1"/>
  <c r="E627" i="29"/>
  <c r="D627" i="29"/>
  <c r="C627" i="29"/>
  <c r="B627" i="29"/>
  <c r="M625" i="29"/>
  <c r="N625" i="29" s="1"/>
  <c r="M624" i="29"/>
  <c r="N624" i="29" s="1"/>
  <c r="M623" i="29"/>
  <c r="N623" i="29" s="1"/>
  <c r="L623" i="29"/>
  <c r="K623" i="29"/>
  <c r="M622" i="29"/>
  <c r="N622" i="29" s="1"/>
  <c r="L622" i="29"/>
  <c r="J622" i="29"/>
  <c r="G622" i="29"/>
  <c r="M621" i="29"/>
  <c r="N621" i="29" s="1"/>
  <c r="I620" i="29"/>
  <c r="M620" i="29" s="1"/>
  <c r="N620" i="29" s="1"/>
  <c r="I619" i="29"/>
  <c r="M619" i="29" s="1"/>
  <c r="N619" i="29" s="1"/>
  <c r="H619" i="29"/>
  <c r="H620" i="29" s="1"/>
  <c r="M618" i="29"/>
  <c r="N618" i="29" s="1"/>
  <c r="K618" i="29"/>
  <c r="J618" i="29"/>
  <c r="L618" i="29" s="1"/>
  <c r="G618" i="29"/>
  <c r="L617" i="29"/>
  <c r="K617" i="29"/>
  <c r="H617" i="29"/>
  <c r="K616" i="29"/>
  <c r="K615" i="29"/>
  <c r="I615" i="29"/>
  <c r="H615" i="29"/>
  <c r="K614" i="29"/>
  <c r="I614" i="29"/>
  <c r="G614" i="29" a="1"/>
  <c r="G614" i="29" s="1"/>
  <c r="L613" i="29"/>
  <c r="I613" i="29"/>
  <c r="G613" i="29"/>
  <c r="M613" i="29" s="1"/>
  <c r="N613" i="29" s="1"/>
  <c r="P613" i="29" s="1"/>
  <c r="R613" i="29" s="1"/>
  <c r="T613" i="29" s="1"/>
  <c r="L612" i="29"/>
  <c r="K612" i="29"/>
  <c r="I612" i="29"/>
  <c r="H612" i="29"/>
  <c r="G612" i="29"/>
  <c r="L611" i="29"/>
  <c r="I611" i="29"/>
  <c r="I617" i="29" s="1"/>
  <c r="H611" i="29"/>
  <c r="F611" i="29"/>
  <c r="F612" i="29" s="1"/>
  <c r="F613" i="29" s="1"/>
  <c r="F614" i="29" s="1"/>
  <c r="F615" i="29" s="1"/>
  <c r="F616" i="29" s="1"/>
  <c r="F617" i="29" s="1"/>
  <c r="F618" i="29" s="1"/>
  <c r="F619" i="29" s="1"/>
  <c r="L610" i="29"/>
  <c r="I610" i="29"/>
  <c r="H610" i="29"/>
  <c r="K610" i="29" s="1"/>
  <c r="G610" i="29"/>
  <c r="M610" i="29" s="1"/>
  <c r="N610" i="29" s="1"/>
  <c r="F610" i="29"/>
  <c r="L609" i="29"/>
  <c r="K609" i="29"/>
  <c r="G609" i="29"/>
  <c r="M609" i="29" s="1"/>
  <c r="N609" i="29" s="1"/>
  <c r="B609" i="29"/>
  <c r="B610" i="29" s="1"/>
  <c r="B611" i="29" s="1"/>
  <c r="B612" i="29" s="1"/>
  <c r="B613" i="29" s="1"/>
  <c r="B614" i="29" s="1"/>
  <c r="B615" i="29" s="1"/>
  <c r="B616" i="29" s="1"/>
  <c r="B617" i="29" s="1"/>
  <c r="B618" i="29" s="1"/>
  <c r="B619" i="29" s="1"/>
  <c r="B620" i="29" s="1"/>
  <c r="B621" i="29" s="1"/>
  <c r="B622" i="29" s="1"/>
  <c r="B623" i="29" s="1"/>
  <c r="B624" i="29" s="1"/>
  <c r="B625" i="29" s="1"/>
  <c r="M607" i="29"/>
  <c r="N607" i="29" s="1"/>
  <c r="E607" i="29"/>
  <c r="D607" i="29"/>
  <c r="C607" i="29"/>
  <c r="M606" i="29"/>
  <c r="N606" i="29" s="1"/>
  <c r="E606" i="29"/>
  <c r="D606" i="29"/>
  <c r="C606" i="29"/>
  <c r="K605" i="29"/>
  <c r="G605" i="29" a="1"/>
  <c r="G605" i="29" s="1"/>
  <c r="E605" i="29"/>
  <c r="D605" i="29"/>
  <c r="C605" i="29"/>
  <c r="K604" i="29"/>
  <c r="G604" i="29" a="1"/>
  <c r="G604" i="29" s="1"/>
  <c r="E604" i="29"/>
  <c r="D604" i="29"/>
  <c r="C604" i="29"/>
  <c r="K603" i="29"/>
  <c r="G603" i="29" a="1"/>
  <c r="G603" i="29" s="1"/>
  <c r="M603" i="29" s="1"/>
  <c r="E603" i="29"/>
  <c r="D603" i="29"/>
  <c r="C603" i="29"/>
  <c r="L602" i="29"/>
  <c r="H602" i="29"/>
  <c r="K602" i="29" s="1"/>
  <c r="G602" i="29"/>
  <c r="M602" i="29" s="1"/>
  <c r="N602" i="29" s="1"/>
  <c r="E602" i="29"/>
  <c r="D602" i="29"/>
  <c r="C602" i="29"/>
  <c r="L601" i="29"/>
  <c r="K601" i="29"/>
  <c r="H601" i="29"/>
  <c r="G601" i="29"/>
  <c r="M601" i="29" s="1"/>
  <c r="N601" i="29" s="1"/>
  <c r="E601" i="29"/>
  <c r="D601" i="29"/>
  <c r="C601" i="29"/>
  <c r="L600" i="29"/>
  <c r="K600" i="29"/>
  <c r="G600" i="29"/>
  <c r="M600" i="29" s="1"/>
  <c r="N600" i="29" s="1"/>
  <c r="P600" i="29" s="1"/>
  <c r="R600" i="29" s="1"/>
  <c r="T600" i="29" s="1"/>
  <c r="E600" i="29"/>
  <c r="D600" i="29"/>
  <c r="C600" i="29"/>
  <c r="L599" i="29"/>
  <c r="H599" i="29"/>
  <c r="K599" i="29" s="1"/>
  <c r="G599" i="29"/>
  <c r="M599" i="29" s="1"/>
  <c r="N599" i="29" s="1"/>
  <c r="E599" i="29"/>
  <c r="D599" i="29"/>
  <c r="C599" i="29"/>
  <c r="L598" i="29"/>
  <c r="K598" i="29"/>
  <c r="E598" i="29"/>
  <c r="D598" i="29"/>
  <c r="C598" i="29"/>
  <c r="L597" i="29"/>
  <c r="K597" i="29"/>
  <c r="I597" i="29"/>
  <c r="H597" i="29"/>
  <c r="G597" i="29"/>
  <c r="M597" i="29" s="1"/>
  <c r="N597" i="29" s="1"/>
  <c r="P597" i="29" s="1"/>
  <c r="R597" i="29" s="1"/>
  <c r="T597" i="29" s="1"/>
  <c r="E597" i="29"/>
  <c r="D597" i="29"/>
  <c r="C597" i="29"/>
  <c r="L596" i="29"/>
  <c r="K596" i="29"/>
  <c r="I596" i="29"/>
  <c r="G596" i="29" s="1" a="1"/>
  <c r="G596" i="29" s="1"/>
  <c r="M596" i="29" s="1"/>
  <c r="E596" i="29"/>
  <c r="D596" i="29"/>
  <c r="C596" i="29"/>
  <c r="K595" i="29"/>
  <c r="I595" i="29"/>
  <c r="G595" i="29"/>
  <c r="M595" i="29" s="1"/>
  <c r="N595" i="29" s="1"/>
  <c r="P595" i="29" s="1"/>
  <c r="R595" i="29" s="1"/>
  <c r="T595" i="29" s="1"/>
  <c r="E595" i="29"/>
  <c r="D595" i="29"/>
  <c r="C595" i="29"/>
  <c r="L594" i="29"/>
  <c r="I594" i="29"/>
  <c r="H594" i="29"/>
  <c r="E594" i="29"/>
  <c r="D594" i="29"/>
  <c r="C594" i="29"/>
  <c r="L593" i="29"/>
  <c r="K593" i="29"/>
  <c r="I593" i="29"/>
  <c r="H593" i="29"/>
  <c r="F593" i="29"/>
  <c r="F594" i="29" s="1"/>
  <c r="F595" i="29" s="1"/>
  <c r="F596" i="29" s="1"/>
  <c r="F597" i="29" s="1"/>
  <c r="F598" i="29" s="1"/>
  <c r="F599" i="29" s="1"/>
  <c r="F600" i="29" s="1"/>
  <c r="F601" i="29" s="1"/>
  <c r="F602" i="29" s="1"/>
  <c r="F603" i="29" s="1"/>
  <c r="F604" i="29" s="1"/>
  <c r="F605" i="29" s="1"/>
  <c r="F606" i="29" s="1"/>
  <c r="F607" i="29" s="1"/>
  <c r="E593" i="29"/>
  <c r="D593" i="29"/>
  <c r="C593" i="29"/>
  <c r="B593" i="29"/>
  <c r="B594" i="29" s="1"/>
  <c r="B595" i="29" s="1"/>
  <c r="B596" i="29" s="1"/>
  <c r="B597" i="29" s="1"/>
  <c r="B598" i="29" s="1"/>
  <c r="B599" i="29" s="1"/>
  <c r="B600" i="29" s="1"/>
  <c r="B601" i="29" s="1"/>
  <c r="B602" i="29" s="1"/>
  <c r="B603" i="29" s="1"/>
  <c r="B604" i="29" s="1"/>
  <c r="B605" i="29" s="1"/>
  <c r="B606" i="29" s="1"/>
  <c r="B607" i="29" s="1"/>
  <c r="I592" i="29"/>
  <c r="H592" i="29"/>
  <c r="G592" i="29"/>
  <c r="M592" i="29" s="1"/>
  <c r="N592" i="29" s="1"/>
  <c r="F592" i="29"/>
  <c r="E592" i="29"/>
  <c r="D592" i="29"/>
  <c r="C592" i="29"/>
  <c r="L591" i="29"/>
  <c r="K591" i="29"/>
  <c r="J591" i="29"/>
  <c r="L595" i="29" s="1"/>
  <c r="L606" i="29" s="1"/>
  <c r="G591" i="29"/>
  <c r="M591" i="29" s="1"/>
  <c r="N591" i="29" s="1"/>
  <c r="E591" i="29"/>
  <c r="D591" i="29"/>
  <c r="C591" i="29"/>
  <c r="B591" i="29"/>
  <c r="B592" i="29" s="1"/>
  <c r="M589" i="29"/>
  <c r="N589" i="29" s="1"/>
  <c r="M588" i="29"/>
  <c r="N588" i="29" s="1"/>
  <c r="M587" i="29"/>
  <c r="N587" i="29" s="1"/>
  <c r="K587" i="29"/>
  <c r="L586" i="29"/>
  <c r="K586" i="29"/>
  <c r="H586" i="29"/>
  <c r="G586" i="29" s="1" a="1"/>
  <c r="G586" i="29" s="1"/>
  <c r="M586" i="29" s="1"/>
  <c r="N586" i="29" s="1"/>
  <c r="K585" i="29"/>
  <c r="G585" i="29" a="1"/>
  <c r="G585" i="29" s="1"/>
  <c r="M585" i="29" s="1"/>
  <c r="J584" i="29"/>
  <c r="L584" i="29" s="1"/>
  <c r="B583" i="29"/>
  <c r="B584" i="29" s="1"/>
  <c r="B585" i="29" s="1"/>
  <c r="B586" i="29" s="1"/>
  <c r="B587" i="29" s="1"/>
  <c r="B588" i="29" s="1"/>
  <c r="B589" i="29" s="1"/>
  <c r="M581" i="29"/>
  <c r="N581" i="29" s="1"/>
  <c r="K581" i="29"/>
  <c r="I581" i="29"/>
  <c r="I582" i="29" s="1"/>
  <c r="I583" i="29" s="1"/>
  <c r="H581" i="29"/>
  <c r="H582" i="29" s="1"/>
  <c r="M580" i="29"/>
  <c r="N580" i="29" s="1"/>
  <c r="K580" i="29"/>
  <c r="J580" i="29"/>
  <c r="L580" i="29" s="1"/>
  <c r="G580" i="29"/>
  <c r="L579" i="29"/>
  <c r="H579" i="29"/>
  <c r="L578" i="29"/>
  <c r="K578" i="29"/>
  <c r="I577" i="29"/>
  <c r="H577" i="29"/>
  <c r="G577" i="29" s="1"/>
  <c r="M577" i="29" s="1"/>
  <c r="N577" i="29" s="1"/>
  <c r="L576" i="29"/>
  <c r="K576" i="29"/>
  <c r="I576" i="29"/>
  <c r="G576" i="29" a="1"/>
  <c r="G576" i="29" s="1"/>
  <c r="M576" i="29" s="1"/>
  <c r="N576" i="29" s="1"/>
  <c r="L575" i="29"/>
  <c r="L588" i="29" s="1"/>
  <c r="K575" i="29"/>
  <c r="I575" i="29"/>
  <c r="G575" i="29"/>
  <c r="M575" i="29" s="1"/>
  <c r="N575" i="29" s="1"/>
  <c r="F575" i="29"/>
  <c r="F576" i="29" s="1"/>
  <c r="F577" i="29" s="1"/>
  <c r="F578" i="29" s="1"/>
  <c r="F579" i="29" s="1"/>
  <c r="F580" i="29" s="1"/>
  <c r="F581" i="29" s="1"/>
  <c r="K574" i="29"/>
  <c r="I574" i="29"/>
  <c r="H574" i="29"/>
  <c r="B574" i="29"/>
  <c r="B575" i="29" s="1"/>
  <c r="B576" i="29" s="1"/>
  <c r="B577" i="29" s="1"/>
  <c r="B578" i="29" s="1"/>
  <c r="B579" i="29" s="1"/>
  <c r="B580" i="29" s="1"/>
  <c r="B581" i="29" s="1"/>
  <c r="B582" i="29" s="1"/>
  <c r="I573" i="29"/>
  <c r="H573" i="29"/>
  <c r="K573" i="29" s="1"/>
  <c r="G573" i="29"/>
  <c r="M573" i="29" s="1"/>
  <c r="N573" i="29" s="1"/>
  <c r="B573" i="29"/>
  <c r="L572" i="29"/>
  <c r="K572" i="29"/>
  <c r="I572" i="29"/>
  <c r="H572" i="29"/>
  <c r="G572" i="29"/>
  <c r="F572" i="29"/>
  <c r="F573" i="29" s="1"/>
  <c r="F574" i="29" s="1"/>
  <c r="L571" i="29"/>
  <c r="K571" i="29"/>
  <c r="G571" i="29"/>
  <c r="M571" i="29" s="1"/>
  <c r="B571" i="29"/>
  <c r="B572" i="29" s="1"/>
  <c r="M569" i="29"/>
  <c r="N569" i="29" s="1"/>
  <c r="M568" i="29"/>
  <c r="N568" i="29" s="1"/>
  <c r="M567" i="29"/>
  <c r="O567" i="29" s="1"/>
  <c r="Q567" i="29" s="1"/>
  <c r="S567" i="29" s="1"/>
  <c r="L567" i="29"/>
  <c r="K567" i="29"/>
  <c r="L566" i="29"/>
  <c r="K566" i="29"/>
  <c r="H566" i="29"/>
  <c r="G566" i="29" a="1"/>
  <c r="G566" i="29" s="1"/>
  <c r="M566" i="29" s="1"/>
  <c r="N566" i="29" s="1"/>
  <c r="K565" i="29"/>
  <c r="G565" i="29" a="1"/>
  <c r="G565" i="29" s="1"/>
  <c r="M565" i="29" s="1"/>
  <c r="K564" i="29"/>
  <c r="J564" i="29"/>
  <c r="L564" i="29" s="1"/>
  <c r="K563" i="29"/>
  <c r="K562" i="29"/>
  <c r="F562" i="29"/>
  <c r="K561" i="29"/>
  <c r="I561" i="29"/>
  <c r="I562" i="29" s="1"/>
  <c r="H561" i="29"/>
  <c r="H562" i="29" s="1"/>
  <c r="H563" i="29" s="1"/>
  <c r="H564" i="29" s="1"/>
  <c r="G561" i="29"/>
  <c r="J561" i="29" s="1"/>
  <c r="L561" i="29" s="1"/>
  <c r="M560" i="29"/>
  <c r="N560" i="29" s="1"/>
  <c r="L560" i="29"/>
  <c r="K560" i="29"/>
  <c r="J560" i="29"/>
  <c r="G560" i="29"/>
  <c r="H559" i="29"/>
  <c r="K559" i="29" s="1"/>
  <c r="G559" i="29"/>
  <c r="M559" i="29" s="1"/>
  <c r="N559" i="29" s="1"/>
  <c r="L558" i="29"/>
  <c r="K558" i="29"/>
  <c r="L557" i="29"/>
  <c r="K557" i="29"/>
  <c r="I557" i="29"/>
  <c r="H557" i="29"/>
  <c r="G557" i="29"/>
  <c r="M557" i="29" s="1"/>
  <c r="N557" i="29" s="1"/>
  <c r="P557" i="29" s="1"/>
  <c r="R557" i="29" s="1"/>
  <c r="T557" i="29" s="1"/>
  <c r="L556" i="29"/>
  <c r="K556" i="29"/>
  <c r="I556" i="29"/>
  <c r="G556" i="29" s="1" a="1"/>
  <c r="G556" i="29" s="1"/>
  <c r="M556" i="29" s="1"/>
  <c r="N556" i="29" s="1"/>
  <c r="L555" i="29"/>
  <c r="K555" i="29"/>
  <c r="I555" i="29"/>
  <c r="G555" i="29"/>
  <c r="M555" i="29" s="1"/>
  <c r="N555" i="29" s="1"/>
  <c r="P555" i="29" s="1"/>
  <c r="R555" i="29" s="1"/>
  <c r="T555" i="29" s="1"/>
  <c r="L554" i="29"/>
  <c r="K554" i="29"/>
  <c r="I554" i="29"/>
  <c r="G554" i="29" s="1"/>
  <c r="H554" i="29"/>
  <c r="F554" i="29"/>
  <c r="F555" i="29" s="1"/>
  <c r="F556" i="29" s="1"/>
  <c r="F557" i="29" s="1"/>
  <c r="F558" i="29" s="1"/>
  <c r="F559" i="29" s="1"/>
  <c r="F560" i="29" s="1"/>
  <c r="F561" i="29" s="1"/>
  <c r="K553" i="29"/>
  <c r="I553" i="29"/>
  <c r="H553" i="29"/>
  <c r="F553" i="29"/>
  <c r="I552" i="29"/>
  <c r="H552" i="29"/>
  <c r="F552" i="29"/>
  <c r="B552" i="29"/>
  <c r="B553" i="29" s="1"/>
  <c r="B554" i="29" s="1"/>
  <c r="B555" i="29" s="1"/>
  <c r="B556" i="29" s="1"/>
  <c r="B557" i="29" s="1"/>
  <c r="B558" i="29" s="1"/>
  <c r="B559" i="29" s="1"/>
  <c r="B560" i="29" s="1"/>
  <c r="B561" i="29" s="1"/>
  <c r="B562" i="29" s="1"/>
  <c r="B563" i="29" s="1"/>
  <c r="B564" i="29" s="1"/>
  <c r="B565" i="29" s="1"/>
  <c r="B566" i="29" s="1"/>
  <c r="B567" i="29" s="1"/>
  <c r="B568" i="29" s="1"/>
  <c r="B569" i="29" s="1"/>
  <c r="L551" i="29"/>
  <c r="K551" i="29"/>
  <c r="G551" i="29"/>
  <c r="M551" i="29" s="1"/>
  <c r="B551" i="29"/>
  <c r="M549" i="29"/>
  <c r="N549" i="29" s="1"/>
  <c r="M548" i="29"/>
  <c r="N548" i="29" s="1"/>
  <c r="M547" i="29"/>
  <c r="N547" i="29" s="1"/>
  <c r="K547" i="29"/>
  <c r="L546" i="29"/>
  <c r="H546" i="29"/>
  <c r="K546" i="29" s="1"/>
  <c r="G546" i="29" a="1"/>
  <c r="G546" i="29" s="1"/>
  <c r="M546" i="29" s="1"/>
  <c r="N546" i="29" s="1"/>
  <c r="P546" i="29" s="1"/>
  <c r="R546" i="29" s="1"/>
  <c r="T546" i="29" s="1"/>
  <c r="K545" i="29"/>
  <c r="G545" i="29" a="1"/>
  <c r="G545" i="29" s="1"/>
  <c r="M545" i="29" s="1"/>
  <c r="L544" i="29"/>
  <c r="J544" i="29"/>
  <c r="I542" i="29"/>
  <c r="M542" i="29" s="1"/>
  <c r="N542" i="29" s="1"/>
  <c r="I541" i="29"/>
  <c r="M541" i="29" s="1"/>
  <c r="N541" i="29" s="1"/>
  <c r="H541" i="29"/>
  <c r="K541" i="29" s="1"/>
  <c r="M540" i="29"/>
  <c r="N540" i="29" s="1"/>
  <c r="P540" i="29" s="1"/>
  <c r="R540" i="29" s="1"/>
  <c r="T540" i="29" s="1"/>
  <c r="L540" i="29"/>
  <c r="K540" i="29"/>
  <c r="J540" i="29"/>
  <c r="G540" i="29"/>
  <c r="K539" i="29"/>
  <c r="I539" i="29"/>
  <c r="H539" i="29"/>
  <c r="G539" i="29" s="1"/>
  <c r="M539" i="29" s="1"/>
  <c r="N539" i="29" s="1"/>
  <c r="L538" i="29"/>
  <c r="K538" i="29"/>
  <c r="I538" i="29"/>
  <c r="G538" i="29" s="1" a="1"/>
  <c r="G538" i="29" s="1"/>
  <c r="M538" i="29" s="1"/>
  <c r="N538" i="29" s="1"/>
  <c r="I537" i="29"/>
  <c r="H537" i="29"/>
  <c r="L536" i="29"/>
  <c r="L537" i="29" s="1"/>
  <c r="K536" i="29"/>
  <c r="I536" i="29"/>
  <c r="G536" i="29" a="1"/>
  <c r="G536" i="29" s="1"/>
  <c r="M536" i="29" s="1"/>
  <c r="N536" i="29" s="1"/>
  <c r="P536" i="29" s="1"/>
  <c r="R536" i="29" s="1"/>
  <c r="T536" i="29" s="1"/>
  <c r="L535" i="29"/>
  <c r="K535" i="29"/>
  <c r="I535" i="29"/>
  <c r="G535" i="29" s="1"/>
  <c r="M535" i="29" s="1"/>
  <c r="N535" i="29" s="1"/>
  <c r="I534" i="29"/>
  <c r="H534" i="29"/>
  <c r="K534" i="29" s="1"/>
  <c r="K533" i="29"/>
  <c r="I533" i="29"/>
  <c r="H533" i="29"/>
  <c r="G533" i="29"/>
  <c r="M533" i="29" s="1"/>
  <c r="N533" i="29" s="1"/>
  <c r="F533" i="29"/>
  <c r="F534" i="29" s="1"/>
  <c r="F535" i="29" s="1"/>
  <c r="F536" i="29" s="1"/>
  <c r="F537" i="29" s="1"/>
  <c r="F538" i="29" s="1"/>
  <c r="F539" i="29" s="1"/>
  <c r="F540" i="29" s="1"/>
  <c r="F541" i="29" s="1"/>
  <c r="K532" i="29"/>
  <c r="I532" i="29"/>
  <c r="G532" i="29" s="1"/>
  <c r="H532" i="29"/>
  <c r="F532" i="29"/>
  <c r="L531" i="29"/>
  <c r="K531" i="29"/>
  <c r="G531" i="29"/>
  <c r="M531" i="29" s="1"/>
  <c r="O531" i="29" s="1"/>
  <c r="Q531" i="29" s="1"/>
  <c r="S531" i="29" s="1"/>
  <c r="B531" i="29"/>
  <c r="B532" i="29" s="1"/>
  <c r="B533" i="29" s="1"/>
  <c r="B534" i="29" s="1"/>
  <c r="B535" i="29" s="1"/>
  <c r="B536" i="29" s="1"/>
  <c r="B537" i="29" s="1"/>
  <c r="B538" i="29" s="1"/>
  <c r="B539" i="29" s="1"/>
  <c r="B540" i="29" s="1"/>
  <c r="B541" i="29" s="1"/>
  <c r="B542" i="29" s="1"/>
  <c r="B543" i="29" s="1"/>
  <c r="B544" i="29" s="1"/>
  <c r="B545" i="29" s="1"/>
  <c r="B546" i="29" s="1"/>
  <c r="B547" i="29" s="1"/>
  <c r="B548" i="29" s="1"/>
  <c r="B549" i="29" s="1"/>
  <c r="M529" i="29"/>
  <c r="N529" i="29" s="1"/>
  <c r="M528" i="29"/>
  <c r="N528" i="29" s="1"/>
  <c r="M527" i="29"/>
  <c r="N527" i="29" s="1"/>
  <c r="K527" i="29"/>
  <c r="L526" i="29"/>
  <c r="H526" i="29"/>
  <c r="K525" i="29"/>
  <c r="G525" i="29" a="1"/>
  <c r="G525" i="29" s="1"/>
  <c r="M525" i="29" s="1"/>
  <c r="J524" i="29"/>
  <c r="L524" i="29" s="1"/>
  <c r="M522" i="29"/>
  <c r="N522" i="29" s="1"/>
  <c r="I522" i="29"/>
  <c r="I523" i="29" s="1"/>
  <c r="I524" i="29" s="1"/>
  <c r="G524" i="29" s="1"/>
  <c r="M521" i="29"/>
  <c r="N521" i="29" s="1"/>
  <c r="K521" i="29"/>
  <c r="I521" i="29"/>
  <c r="H521" i="29"/>
  <c r="H522" i="29" s="1"/>
  <c r="M520" i="29"/>
  <c r="N520" i="29" s="1"/>
  <c r="K520" i="29"/>
  <c r="J520" i="29"/>
  <c r="L520" i="29" s="1"/>
  <c r="G520" i="29"/>
  <c r="L519" i="29"/>
  <c r="K519" i="29"/>
  <c r="H519" i="29"/>
  <c r="G519" i="29"/>
  <c r="M519" i="29" s="1"/>
  <c r="N519" i="29" s="1"/>
  <c r="P519" i="29" s="1"/>
  <c r="R519" i="29" s="1"/>
  <c r="T519" i="29" s="1"/>
  <c r="L518" i="29"/>
  <c r="K518" i="29"/>
  <c r="I517" i="29"/>
  <c r="H517" i="29"/>
  <c r="L516" i="29"/>
  <c r="K516" i="29"/>
  <c r="I516" i="29"/>
  <c r="G516" i="29" a="1"/>
  <c r="G516" i="29" s="1"/>
  <c r="M516" i="29" s="1"/>
  <c r="N516" i="29" s="1"/>
  <c r="P516" i="29" s="1"/>
  <c r="R516" i="29" s="1"/>
  <c r="T516" i="29" s="1"/>
  <c r="L515" i="29"/>
  <c r="L528" i="29" s="1"/>
  <c r="K515" i="29"/>
  <c r="I515" i="29"/>
  <c r="G515" i="29"/>
  <c r="M515" i="29" s="1"/>
  <c r="N515" i="29" s="1"/>
  <c r="K514" i="29"/>
  <c r="I514" i="29"/>
  <c r="H514" i="29"/>
  <c r="F514" i="29"/>
  <c r="F515" i="29" s="1"/>
  <c r="F516" i="29" s="1"/>
  <c r="F517" i="29" s="1"/>
  <c r="F518" i="29" s="1"/>
  <c r="F519" i="29" s="1"/>
  <c r="F520" i="29" s="1"/>
  <c r="F521" i="29" s="1"/>
  <c r="L513" i="29"/>
  <c r="I513" i="29"/>
  <c r="I519" i="29" s="1"/>
  <c r="H513" i="29"/>
  <c r="K513" i="29" s="1"/>
  <c r="B513" i="29"/>
  <c r="B514" i="29" s="1"/>
  <c r="B515" i="29" s="1"/>
  <c r="B516" i="29" s="1"/>
  <c r="B517" i="29" s="1"/>
  <c r="B518" i="29" s="1"/>
  <c r="B519" i="29" s="1"/>
  <c r="B520" i="29" s="1"/>
  <c r="B521" i="29" s="1"/>
  <c r="B522" i="29" s="1"/>
  <c r="B523" i="29" s="1"/>
  <c r="B524" i="29" s="1"/>
  <c r="B525" i="29" s="1"/>
  <c r="B526" i="29" s="1"/>
  <c r="B527" i="29" s="1"/>
  <c r="B528" i="29" s="1"/>
  <c r="B529" i="29" s="1"/>
  <c r="K512" i="29"/>
  <c r="I512" i="29"/>
  <c r="H512" i="29"/>
  <c r="F512" i="29"/>
  <c r="F513" i="29" s="1"/>
  <c r="L511" i="29"/>
  <c r="K511" i="29"/>
  <c r="G511" i="29"/>
  <c r="M511" i="29" s="1"/>
  <c r="N511" i="29" s="1"/>
  <c r="P511" i="29" s="1"/>
  <c r="R511" i="29" s="1"/>
  <c r="B511" i="29"/>
  <c r="B512" i="29" s="1"/>
  <c r="M509" i="29"/>
  <c r="N509" i="29" s="1"/>
  <c r="M508" i="29"/>
  <c r="N508" i="29" s="1"/>
  <c r="M507" i="29"/>
  <c r="O507" i="29" s="1"/>
  <c r="Q507" i="29" s="1"/>
  <c r="S507" i="29" s="1"/>
  <c r="K507" i="29"/>
  <c r="L506" i="29"/>
  <c r="K506" i="29"/>
  <c r="H506" i="29"/>
  <c r="G506" i="29" s="1" a="1"/>
  <c r="G506" i="29" s="1"/>
  <c r="M506" i="29" s="1"/>
  <c r="N506" i="29" s="1"/>
  <c r="P506" i="29" s="1"/>
  <c r="R506" i="29" s="1"/>
  <c r="T506" i="29" s="1"/>
  <c r="K505" i="29"/>
  <c r="G505" i="29" a="1"/>
  <c r="G505" i="29" s="1"/>
  <c r="M505" i="29" s="1"/>
  <c r="N505" i="29" s="1"/>
  <c r="P505" i="29" s="1"/>
  <c r="R505" i="29" s="1"/>
  <c r="T505" i="29" s="1"/>
  <c r="J504" i="29"/>
  <c r="L504" i="29" s="1"/>
  <c r="H502" i="29"/>
  <c r="K502" i="29" s="1"/>
  <c r="I501" i="29"/>
  <c r="I502" i="29" s="1"/>
  <c r="H501" i="29"/>
  <c r="K501" i="29" s="1"/>
  <c r="M500" i="29"/>
  <c r="O500" i="29" s="1"/>
  <c r="Q500" i="29" s="1"/>
  <c r="S500" i="29" s="1"/>
  <c r="L500" i="29"/>
  <c r="K500" i="29"/>
  <c r="J500" i="29"/>
  <c r="G500" i="29"/>
  <c r="B500" i="29"/>
  <c r="B501" i="29" s="1"/>
  <c r="B502" i="29" s="1"/>
  <c r="B503" i="29" s="1"/>
  <c r="B504" i="29" s="1"/>
  <c r="B505" i="29" s="1"/>
  <c r="B506" i="29" s="1"/>
  <c r="B507" i="29" s="1"/>
  <c r="B508" i="29" s="1"/>
  <c r="B509" i="29" s="1"/>
  <c r="I499" i="29"/>
  <c r="H499" i="29"/>
  <c r="L498" i="29"/>
  <c r="K498" i="29"/>
  <c r="G498" i="29" a="1"/>
  <c r="G498" i="29" s="1"/>
  <c r="M498" i="29" s="1"/>
  <c r="N498" i="29" s="1"/>
  <c r="L497" i="29"/>
  <c r="K497" i="29"/>
  <c r="I497" i="29"/>
  <c r="H497" i="29"/>
  <c r="G497" i="29"/>
  <c r="M497" i="29" s="1"/>
  <c r="N497" i="29" s="1"/>
  <c r="L496" i="29"/>
  <c r="L507" i="29" s="1"/>
  <c r="K496" i="29"/>
  <c r="I496" i="29"/>
  <c r="G496" i="29" s="1" a="1"/>
  <c r="G496" i="29" s="1"/>
  <c r="M496" i="29" s="1"/>
  <c r="N496" i="29" s="1"/>
  <c r="L495" i="29"/>
  <c r="K495" i="29"/>
  <c r="I495" i="29"/>
  <c r="G495" i="29" s="1"/>
  <c r="M495" i="29" s="1"/>
  <c r="N495" i="29" s="1"/>
  <c r="L494" i="29"/>
  <c r="K494" i="29"/>
  <c r="I494" i="29"/>
  <c r="H494" i="29"/>
  <c r="G494" i="29"/>
  <c r="F494" i="29"/>
  <c r="F495" i="29" s="1"/>
  <c r="F496" i="29" s="1"/>
  <c r="F497" i="29" s="1"/>
  <c r="F498" i="29" s="1"/>
  <c r="F499" i="29" s="1"/>
  <c r="F500" i="29" s="1"/>
  <c r="F501" i="29" s="1"/>
  <c r="K493" i="29"/>
  <c r="I493" i="29"/>
  <c r="I498" i="29" s="1"/>
  <c r="H493" i="29"/>
  <c r="G493" i="29" s="1"/>
  <c r="M493" i="29" s="1"/>
  <c r="N493" i="29" s="1"/>
  <c r="F493" i="29"/>
  <c r="I492" i="29"/>
  <c r="H492" i="29"/>
  <c r="F492" i="29"/>
  <c r="L491" i="29"/>
  <c r="K491" i="29"/>
  <c r="G491" i="29"/>
  <c r="M491" i="29" s="1"/>
  <c r="N491" i="29" s="1"/>
  <c r="P491" i="29" s="1"/>
  <c r="R491" i="29" s="1"/>
  <c r="B491" i="29"/>
  <c r="B492" i="29" s="1"/>
  <c r="B493" i="29" s="1"/>
  <c r="B494" i="29" s="1"/>
  <c r="B495" i="29" s="1"/>
  <c r="B496" i="29" s="1"/>
  <c r="B497" i="29" s="1"/>
  <c r="B498" i="29" s="1"/>
  <c r="B499" i="29" s="1"/>
  <c r="M489" i="29"/>
  <c r="N489" i="29" s="1"/>
  <c r="M488" i="29"/>
  <c r="N488" i="29" s="1"/>
  <c r="M487" i="29"/>
  <c r="N487" i="29" s="1"/>
  <c r="K487" i="29"/>
  <c r="L486" i="29"/>
  <c r="K486" i="29"/>
  <c r="H486" i="29"/>
  <c r="G486" i="29" a="1"/>
  <c r="G486" i="29" s="1"/>
  <c r="M486" i="29" s="1"/>
  <c r="N486" i="29" s="1"/>
  <c r="K485" i="29"/>
  <c r="G485" i="29" a="1"/>
  <c r="G485" i="29" s="1"/>
  <c r="M485" i="29" s="1"/>
  <c r="O485" i="29" s="1"/>
  <c r="Q485" i="29" s="1"/>
  <c r="S485" i="29" s="1"/>
  <c r="L484" i="29"/>
  <c r="J484" i="29"/>
  <c r="B484" i="29"/>
  <c r="B485" i="29" s="1"/>
  <c r="B486" i="29" s="1"/>
  <c r="B487" i="29" s="1"/>
  <c r="B488" i="29" s="1"/>
  <c r="B489" i="29" s="1"/>
  <c r="I481" i="29"/>
  <c r="I482" i="29" s="1"/>
  <c r="H481" i="29"/>
  <c r="M480" i="29"/>
  <c r="N480" i="29" s="1"/>
  <c r="L480" i="29"/>
  <c r="K480" i="29"/>
  <c r="J480" i="29"/>
  <c r="G480" i="29"/>
  <c r="K479" i="29"/>
  <c r="I479" i="29"/>
  <c r="H479" i="29"/>
  <c r="G479" i="29" s="1"/>
  <c r="M479" i="29" s="1"/>
  <c r="N479" i="29" s="1"/>
  <c r="L478" i="29"/>
  <c r="K478" i="29"/>
  <c r="I478" i="29"/>
  <c r="G478" i="29" s="1" a="1"/>
  <c r="G478" i="29" s="1"/>
  <c r="M478" i="29" s="1"/>
  <c r="N478" i="29" s="1"/>
  <c r="L477" i="29"/>
  <c r="I477" i="29"/>
  <c r="H477" i="29"/>
  <c r="K477" i="29" s="1"/>
  <c r="G477" i="29"/>
  <c r="M477" i="29" s="1"/>
  <c r="N477" i="29" s="1"/>
  <c r="L476" i="29"/>
  <c r="L487" i="29" s="1"/>
  <c r="K476" i="29"/>
  <c r="I476" i="29"/>
  <c r="G476" i="29" a="1"/>
  <c r="G476" i="29" s="1"/>
  <c r="M476" i="29" s="1"/>
  <c r="N476" i="29" s="1"/>
  <c r="L475" i="29"/>
  <c r="K475" i="29"/>
  <c r="I475" i="29"/>
  <c r="G475" i="29" s="1"/>
  <c r="M475" i="29" s="1"/>
  <c r="O475" i="29" s="1"/>
  <c r="Q475" i="29" s="1"/>
  <c r="S475" i="29" s="1"/>
  <c r="L474" i="29"/>
  <c r="I474" i="29"/>
  <c r="H474" i="29"/>
  <c r="K474" i="29" s="1"/>
  <c r="G474" i="29"/>
  <c r="L473" i="29"/>
  <c r="K473" i="29"/>
  <c r="I473" i="29"/>
  <c r="H473" i="29"/>
  <c r="G473" i="29"/>
  <c r="M473" i="29" s="1"/>
  <c r="N473" i="29" s="1"/>
  <c r="F473" i="29"/>
  <c r="F474" i="29" s="1"/>
  <c r="F475" i="29" s="1"/>
  <c r="F476" i="29" s="1"/>
  <c r="F477" i="29" s="1"/>
  <c r="F478" i="29" s="1"/>
  <c r="F479" i="29" s="1"/>
  <c r="F480" i="29" s="1"/>
  <c r="F481" i="29" s="1"/>
  <c r="K472" i="29"/>
  <c r="I472" i="29"/>
  <c r="H472" i="29"/>
  <c r="F472" i="29"/>
  <c r="L471" i="29"/>
  <c r="K471" i="29"/>
  <c r="G471" i="29"/>
  <c r="M471" i="29" s="1"/>
  <c r="N471" i="29" s="1"/>
  <c r="B471" i="29"/>
  <c r="B472" i="29" s="1"/>
  <c r="B473" i="29" s="1"/>
  <c r="B474" i="29" s="1"/>
  <c r="B475" i="29" s="1"/>
  <c r="B476" i="29" s="1"/>
  <c r="B477" i="29" s="1"/>
  <c r="B478" i="29" s="1"/>
  <c r="B479" i="29" s="1"/>
  <c r="B480" i="29" s="1"/>
  <c r="B481" i="29" s="1"/>
  <c r="B482" i="29" s="1"/>
  <c r="B483" i="29" s="1"/>
  <c r="M469" i="29"/>
  <c r="N469" i="29" s="1"/>
  <c r="M468" i="29"/>
  <c r="N468" i="29" s="1"/>
  <c r="M467" i="29"/>
  <c r="N467" i="29" s="1"/>
  <c r="K467" i="29"/>
  <c r="L466" i="29"/>
  <c r="K466" i="29"/>
  <c r="H466" i="29"/>
  <c r="G466" i="29" s="1" a="1"/>
  <c r="G466" i="29" s="1"/>
  <c r="M466" i="29" s="1"/>
  <c r="K465" i="29"/>
  <c r="G465" i="29" a="1"/>
  <c r="G465" i="29" s="1"/>
  <c r="M465" i="29" s="1"/>
  <c r="O465" i="29" s="1"/>
  <c r="Q465" i="29" s="1"/>
  <c r="S465" i="29" s="1"/>
  <c r="K464" i="29"/>
  <c r="J464" i="29"/>
  <c r="L464" i="29" s="1"/>
  <c r="M463" i="29"/>
  <c r="N463" i="29" s="1"/>
  <c r="K463" i="29"/>
  <c r="M462" i="29"/>
  <c r="N462" i="29" s="1"/>
  <c r="K462" i="29"/>
  <c r="M461" i="29"/>
  <c r="N461" i="29" s="1"/>
  <c r="K461" i="29"/>
  <c r="I461" i="29"/>
  <c r="I462" i="29" s="1"/>
  <c r="I463" i="29" s="1"/>
  <c r="I464" i="29" s="1"/>
  <c r="H461" i="29"/>
  <c r="H462" i="29" s="1"/>
  <c r="H463" i="29" s="1"/>
  <c r="H464" i="29" s="1"/>
  <c r="M460" i="29"/>
  <c r="N460" i="29" s="1"/>
  <c r="K460" i="29"/>
  <c r="J460" i="29"/>
  <c r="L460" i="29" s="1"/>
  <c r="G460" i="29"/>
  <c r="K459" i="29"/>
  <c r="H459" i="29"/>
  <c r="G459" i="29" s="1"/>
  <c r="M459" i="29" s="1"/>
  <c r="N459" i="29" s="1"/>
  <c r="L458" i="29"/>
  <c r="K458" i="29"/>
  <c r="I457" i="29"/>
  <c r="H457" i="29"/>
  <c r="L456" i="29"/>
  <c r="K456" i="29"/>
  <c r="I456" i="29"/>
  <c r="G456" i="29" s="1" a="1"/>
  <c r="G456" i="29" s="1"/>
  <c r="M456" i="29" s="1"/>
  <c r="N456" i="29" s="1"/>
  <c r="P456" i="29" s="1"/>
  <c r="R456" i="29" s="1"/>
  <c r="T456" i="29" s="1"/>
  <c r="L455" i="29"/>
  <c r="K455" i="29"/>
  <c r="I455" i="29"/>
  <c r="G455" i="29"/>
  <c r="M455" i="29" s="1"/>
  <c r="N455" i="29" s="1"/>
  <c r="K454" i="29"/>
  <c r="I454" i="29"/>
  <c r="H454" i="29"/>
  <c r="L453" i="29"/>
  <c r="I453" i="29"/>
  <c r="H453" i="29"/>
  <c r="K453" i="29" s="1"/>
  <c r="K452" i="29"/>
  <c r="I452" i="29"/>
  <c r="H452" i="29"/>
  <c r="F452" i="29"/>
  <c r="F453" i="29" s="1"/>
  <c r="F454" i="29" s="1"/>
  <c r="F455" i="29" s="1"/>
  <c r="F456" i="29" s="1"/>
  <c r="F457" i="29" s="1"/>
  <c r="F458" i="29" s="1"/>
  <c r="F459" i="29" s="1"/>
  <c r="F460" i="29" s="1"/>
  <c r="F461" i="29" s="1"/>
  <c r="F462" i="29" s="1"/>
  <c r="L451" i="29"/>
  <c r="K451" i="29"/>
  <c r="G451" i="29"/>
  <c r="M451" i="29" s="1"/>
  <c r="N451" i="29" s="1"/>
  <c r="B451" i="29"/>
  <c r="B452" i="29" s="1"/>
  <c r="B453" i="29" s="1"/>
  <c r="B454" i="29" s="1"/>
  <c r="B455" i="29" s="1"/>
  <c r="B456" i="29" s="1"/>
  <c r="B457" i="29" s="1"/>
  <c r="B458" i="29" s="1"/>
  <c r="B459" i="29" s="1"/>
  <c r="B460" i="29" s="1"/>
  <c r="B461" i="29" s="1"/>
  <c r="B462" i="29" s="1"/>
  <c r="B463" i="29" s="1"/>
  <c r="B464" i="29" s="1"/>
  <c r="B465" i="29" s="1"/>
  <c r="B466" i="29" s="1"/>
  <c r="B467" i="29" s="1"/>
  <c r="B468" i="29" s="1"/>
  <c r="B469" i="29" s="1"/>
  <c r="M449" i="29"/>
  <c r="N449" i="29" s="1"/>
  <c r="M448" i="29"/>
  <c r="N448" i="29" s="1"/>
  <c r="M447" i="29"/>
  <c r="N447" i="29" s="1"/>
  <c r="L447" i="29"/>
  <c r="K447" i="29"/>
  <c r="L446" i="29"/>
  <c r="H446" i="29"/>
  <c r="K446" i="29" s="1"/>
  <c r="K445" i="29"/>
  <c r="G445" i="29" a="1"/>
  <c r="G445" i="29" s="1"/>
  <c r="M445" i="29" s="1"/>
  <c r="L444" i="29"/>
  <c r="J444" i="29"/>
  <c r="I441" i="29"/>
  <c r="I442" i="29" s="1"/>
  <c r="H441" i="29"/>
  <c r="H442" i="29" s="1"/>
  <c r="M440" i="29"/>
  <c r="N440" i="29" s="1"/>
  <c r="L440" i="29"/>
  <c r="K440" i="29"/>
  <c r="J440" i="29"/>
  <c r="G440" i="29"/>
  <c r="B440" i="29"/>
  <c r="B441" i="29" s="1"/>
  <c r="B442" i="29" s="1"/>
  <c r="B443" i="29" s="1"/>
  <c r="B444" i="29" s="1"/>
  <c r="B445" i="29" s="1"/>
  <c r="B446" i="29" s="1"/>
  <c r="B447" i="29" s="1"/>
  <c r="B448" i="29" s="1"/>
  <c r="B449" i="29" s="1"/>
  <c r="L439" i="29"/>
  <c r="H439" i="29"/>
  <c r="K439" i="29" s="1"/>
  <c r="L438" i="29"/>
  <c r="K438" i="29"/>
  <c r="L437" i="29"/>
  <c r="K437" i="29"/>
  <c r="I437" i="29"/>
  <c r="H437" i="29"/>
  <c r="G437" i="29"/>
  <c r="M437" i="29" s="1"/>
  <c r="N437" i="29" s="1"/>
  <c r="P437" i="29" s="1"/>
  <c r="R437" i="29" s="1"/>
  <c r="T437" i="29" s="1"/>
  <c r="L436" i="29"/>
  <c r="K436" i="29"/>
  <c r="I436" i="29"/>
  <c r="G436" i="29" s="1" a="1"/>
  <c r="G436" i="29" s="1"/>
  <c r="M436" i="29" s="1"/>
  <c r="O436" i="29" s="1"/>
  <c r="Q436" i="29" s="1"/>
  <c r="S436" i="29" s="1"/>
  <c r="L435" i="29"/>
  <c r="L448" i="29" s="1"/>
  <c r="K435" i="29"/>
  <c r="I435" i="29"/>
  <c r="G435" i="29"/>
  <c r="M435" i="29" s="1"/>
  <c r="N435" i="29" s="1"/>
  <c r="L434" i="29"/>
  <c r="K434" i="29"/>
  <c r="I434" i="29"/>
  <c r="H434" i="29"/>
  <c r="G434" i="29"/>
  <c r="F434" i="29"/>
  <c r="F435" i="29" s="1"/>
  <c r="F436" i="29" s="1"/>
  <c r="F437" i="29" s="1"/>
  <c r="F438" i="29" s="1"/>
  <c r="F439" i="29" s="1"/>
  <c r="F440" i="29" s="1"/>
  <c r="F441" i="29" s="1"/>
  <c r="L433" i="29"/>
  <c r="K433" i="29"/>
  <c r="I433" i="29"/>
  <c r="I438" i="29" s="1"/>
  <c r="G438" i="29" s="1" a="1"/>
  <c r="G438" i="29" s="1"/>
  <c r="M438" i="29" s="1"/>
  <c r="H433" i="29"/>
  <c r="F433" i="29"/>
  <c r="I432" i="29"/>
  <c r="H432" i="29"/>
  <c r="F432" i="29"/>
  <c r="L431" i="29"/>
  <c r="K431" i="29"/>
  <c r="G431" i="29"/>
  <c r="M431" i="29" s="1"/>
  <c r="N431" i="29" s="1"/>
  <c r="B431" i="29"/>
  <c r="B432" i="29" s="1"/>
  <c r="B433" i="29" s="1"/>
  <c r="B434" i="29" s="1"/>
  <c r="B435" i="29" s="1"/>
  <c r="B436" i="29" s="1"/>
  <c r="B437" i="29" s="1"/>
  <c r="B438" i="29" s="1"/>
  <c r="B439" i="29" s="1"/>
  <c r="M429" i="29"/>
  <c r="N429" i="29" s="1"/>
  <c r="L429" i="29"/>
  <c r="M428" i="29"/>
  <c r="N428" i="29" s="1"/>
  <c r="B428" i="29"/>
  <c r="B429" i="29" s="1"/>
  <c r="M427" i="29"/>
  <c r="N427" i="29" s="1"/>
  <c r="K427" i="29"/>
  <c r="L426" i="29"/>
  <c r="K426" i="29"/>
  <c r="H426" i="29"/>
  <c r="G426" i="29" a="1"/>
  <c r="G426" i="29" s="1"/>
  <c r="M426" i="29" s="1"/>
  <c r="N426" i="29" s="1"/>
  <c r="P426" i="29" s="1"/>
  <c r="R426" i="29" s="1"/>
  <c r="T426" i="29" s="1"/>
  <c r="K425" i="29"/>
  <c r="G425" i="29" a="1"/>
  <c r="G425" i="29" s="1"/>
  <c r="M425" i="29" s="1"/>
  <c r="L424" i="29"/>
  <c r="J424" i="29"/>
  <c r="M421" i="29"/>
  <c r="N421" i="29" s="1"/>
  <c r="I421" i="29"/>
  <c r="I422" i="29" s="1"/>
  <c r="H421" i="29"/>
  <c r="K421" i="29" s="1"/>
  <c r="M420" i="29"/>
  <c r="N420" i="29" s="1"/>
  <c r="L420" i="29"/>
  <c r="K420" i="29"/>
  <c r="J420" i="29"/>
  <c r="G420" i="29"/>
  <c r="F420" i="29"/>
  <c r="F421" i="29" s="1"/>
  <c r="K419" i="29"/>
  <c r="I419" i="29"/>
  <c r="H419" i="29"/>
  <c r="G419" i="29" s="1"/>
  <c r="M419" i="29" s="1"/>
  <c r="N419" i="29" s="1"/>
  <c r="F419" i="29"/>
  <c r="L418" i="29"/>
  <c r="K418" i="29"/>
  <c r="I418" i="29"/>
  <c r="G418" i="29" s="1" a="1"/>
  <c r="G418" i="29" s="1"/>
  <c r="M418" i="29" s="1"/>
  <c r="N418" i="29" s="1"/>
  <c r="I417" i="29"/>
  <c r="H417" i="29"/>
  <c r="K417" i="29" s="1"/>
  <c r="L416" i="29"/>
  <c r="K416" i="29"/>
  <c r="I416" i="29"/>
  <c r="G416" i="29" a="1"/>
  <c r="G416" i="29" s="1"/>
  <c r="M416" i="29" s="1"/>
  <c r="N416" i="29" s="1"/>
  <c r="L415" i="29"/>
  <c r="L428" i="29" s="1"/>
  <c r="K415" i="29"/>
  <c r="I415" i="29"/>
  <c r="G415" i="29" s="1"/>
  <c r="M415" i="29" s="1"/>
  <c r="O415" i="29" s="1"/>
  <c r="Q415" i="29" s="1"/>
  <c r="S415" i="29" s="1"/>
  <c r="L414" i="29"/>
  <c r="I414" i="29"/>
  <c r="H414" i="29"/>
  <c r="K414" i="29" s="1"/>
  <c r="G414" i="29"/>
  <c r="M414" i="29" s="1"/>
  <c r="N414" i="29" s="1"/>
  <c r="L413" i="29"/>
  <c r="K413" i="29"/>
  <c r="I413" i="29"/>
  <c r="H413" i="29"/>
  <c r="G413" i="29"/>
  <c r="M413" i="29" s="1"/>
  <c r="N413" i="29" s="1"/>
  <c r="K412" i="29"/>
  <c r="I412" i="29"/>
  <c r="H412" i="29"/>
  <c r="F412" i="29"/>
  <c r="F413" i="29" s="1"/>
  <c r="F414" i="29" s="1"/>
  <c r="F415" i="29" s="1"/>
  <c r="F416" i="29" s="1"/>
  <c r="F417" i="29" s="1"/>
  <c r="F418" i="29" s="1"/>
  <c r="L411" i="29"/>
  <c r="K411" i="29"/>
  <c r="G411" i="29"/>
  <c r="M411" i="29" s="1"/>
  <c r="N411" i="29" s="1"/>
  <c r="B411" i="29"/>
  <c r="B412" i="29" s="1"/>
  <c r="B413" i="29" s="1"/>
  <c r="B414" i="29" s="1"/>
  <c r="B415" i="29" s="1"/>
  <c r="B416" i="29" s="1"/>
  <c r="B417" i="29" s="1"/>
  <c r="B418" i="29" s="1"/>
  <c r="B419" i="29" s="1"/>
  <c r="B420" i="29" s="1"/>
  <c r="B421" i="29" s="1"/>
  <c r="B422" i="29" s="1"/>
  <c r="B423" i="29" s="1"/>
  <c r="B424" i="29" s="1"/>
  <c r="B425" i="29" s="1"/>
  <c r="B426" i="29" s="1"/>
  <c r="B427" i="29" s="1"/>
  <c r="M409" i="29"/>
  <c r="N409" i="29" s="1"/>
  <c r="M408" i="29"/>
  <c r="N408" i="29" s="1"/>
  <c r="L408" i="29"/>
  <c r="M407" i="29"/>
  <c r="N407" i="29" s="1"/>
  <c r="K407" i="29"/>
  <c r="L406" i="29"/>
  <c r="H406" i="29"/>
  <c r="K405" i="29"/>
  <c r="G405" i="29" a="1"/>
  <c r="G405" i="29" s="1"/>
  <c r="M405" i="29" s="1"/>
  <c r="J404" i="29"/>
  <c r="L404" i="29" s="1"/>
  <c r="M401" i="29"/>
  <c r="N401" i="29" s="1"/>
  <c r="I401" i="29"/>
  <c r="I402" i="29" s="1"/>
  <c r="H401" i="29"/>
  <c r="H402" i="29" s="1"/>
  <c r="B401" i="29"/>
  <c r="B402" i="29" s="1"/>
  <c r="B403" i="29" s="1"/>
  <c r="B404" i="29" s="1"/>
  <c r="B405" i="29" s="1"/>
  <c r="B406" i="29" s="1"/>
  <c r="B407" i="29" s="1"/>
  <c r="B408" i="29" s="1"/>
  <c r="B409" i="29" s="1"/>
  <c r="M400" i="29"/>
  <c r="N400" i="29" s="1"/>
  <c r="K400" i="29"/>
  <c r="J400" i="29"/>
  <c r="L400" i="29" s="1"/>
  <c r="G400" i="29"/>
  <c r="L399" i="29"/>
  <c r="K399" i="29"/>
  <c r="I399" i="29"/>
  <c r="H399" i="29"/>
  <c r="G399" i="29"/>
  <c r="M399" i="29" s="1"/>
  <c r="N399" i="29" s="1"/>
  <c r="L398" i="29"/>
  <c r="K398" i="29"/>
  <c r="I398" i="29"/>
  <c r="G398" i="29" s="1" a="1"/>
  <c r="G398" i="29" s="1"/>
  <c r="M398" i="29" s="1"/>
  <c r="N398" i="29" s="1"/>
  <c r="I397" i="29"/>
  <c r="H397" i="29"/>
  <c r="L396" i="29"/>
  <c r="K396" i="29"/>
  <c r="I396" i="29"/>
  <c r="G396" i="29" a="1"/>
  <c r="G396" i="29" s="1"/>
  <c r="M396" i="29" s="1"/>
  <c r="N396" i="29" s="1"/>
  <c r="P396" i="29" s="1"/>
  <c r="R396" i="29" s="1"/>
  <c r="T396" i="29" s="1"/>
  <c r="L395" i="29"/>
  <c r="K395" i="29"/>
  <c r="I395" i="29"/>
  <c r="G395" i="29" s="1"/>
  <c r="M395" i="29" s="1"/>
  <c r="N395" i="29" s="1"/>
  <c r="I394" i="29"/>
  <c r="H394" i="29"/>
  <c r="L393" i="29"/>
  <c r="I393" i="29"/>
  <c r="H393" i="29"/>
  <c r="K393" i="29" s="1"/>
  <c r="G393" i="29"/>
  <c r="M393" i="29" s="1"/>
  <c r="N393" i="29" s="1"/>
  <c r="L392" i="29"/>
  <c r="K392" i="29"/>
  <c r="I392" i="29"/>
  <c r="H392" i="29"/>
  <c r="G392" i="29"/>
  <c r="F392" i="29"/>
  <c r="F393" i="29" s="1"/>
  <c r="F394" i="29" s="1"/>
  <c r="F395" i="29" s="1"/>
  <c r="F396" i="29" s="1"/>
  <c r="F397" i="29" s="1"/>
  <c r="F398" i="29" s="1"/>
  <c r="F399" i="29" s="1"/>
  <c r="F400" i="29" s="1"/>
  <c r="F401" i="29" s="1"/>
  <c r="L391" i="29"/>
  <c r="K391" i="29"/>
  <c r="G391" i="29"/>
  <c r="M391" i="29" s="1"/>
  <c r="O391" i="29" s="1"/>
  <c r="Q391" i="29" s="1"/>
  <c r="S391" i="29" s="1"/>
  <c r="B391" i="29"/>
  <c r="B392" i="29" s="1"/>
  <c r="B393" i="29" s="1"/>
  <c r="B394" i="29" s="1"/>
  <c r="B395" i="29" s="1"/>
  <c r="B396" i="29" s="1"/>
  <c r="B397" i="29" s="1"/>
  <c r="B398" i="29" s="1"/>
  <c r="B399" i="29" s="1"/>
  <c r="B400" i="29" s="1"/>
  <c r="M389" i="29"/>
  <c r="N389" i="29" s="1"/>
  <c r="M388" i="29"/>
  <c r="N388" i="29" s="1"/>
  <c r="L388" i="29"/>
  <c r="M387" i="29"/>
  <c r="N387" i="29" s="1"/>
  <c r="K387" i="29"/>
  <c r="L386" i="29"/>
  <c r="H386" i="29"/>
  <c r="K385" i="29"/>
  <c r="G385" i="29" a="1"/>
  <c r="G385" i="29" s="1"/>
  <c r="M385" i="29" s="1"/>
  <c r="K384" i="29"/>
  <c r="J384" i="29"/>
  <c r="L384" i="29" s="1"/>
  <c r="K383" i="29"/>
  <c r="K382" i="29"/>
  <c r="K381" i="29"/>
  <c r="I381" i="29"/>
  <c r="I382" i="29" s="1"/>
  <c r="H381" i="29"/>
  <c r="H382" i="29" s="1"/>
  <c r="H383" i="29" s="1"/>
  <c r="H384" i="29" s="1"/>
  <c r="M380" i="29"/>
  <c r="N380" i="29" s="1"/>
  <c r="K380" i="29"/>
  <c r="J380" i="29"/>
  <c r="L380" i="29" s="1"/>
  <c r="G380" i="29"/>
  <c r="B380" i="29"/>
  <c r="B381" i="29" s="1"/>
  <c r="B382" i="29" s="1"/>
  <c r="B383" i="29" s="1"/>
  <c r="B384" i="29" s="1"/>
  <c r="B385" i="29" s="1"/>
  <c r="B386" i="29" s="1"/>
  <c r="B387" i="29" s="1"/>
  <c r="B388" i="29" s="1"/>
  <c r="B389" i="29" s="1"/>
  <c r="H379" i="29"/>
  <c r="K379" i="29" s="1"/>
  <c r="G379" i="29"/>
  <c r="M379" i="29" s="1"/>
  <c r="N379" i="29" s="1"/>
  <c r="L378" i="29"/>
  <c r="K378" i="29"/>
  <c r="K377" i="29"/>
  <c r="I377" i="29"/>
  <c r="H377" i="29"/>
  <c r="G377" i="29" s="1"/>
  <c r="M377" i="29" s="1"/>
  <c r="N377" i="29" s="1"/>
  <c r="B377" i="29"/>
  <c r="B378" i="29" s="1"/>
  <c r="B379" i="29" s="1"/>
  <c r="L376" i="29"/>
  <c r="K376" i="29"/>
  <c r="I376" i="29"/>
  <c r="G376" i="29" s="1" a="1"/>
  <c r="G376" i="29" s="1"/>
  <c r="M376" i="29" s="1"/>
  <c r="N376" i="29" s="1"/>
  <c r="L375" i="29"/>
  <c r="K375" i="29"/>
  <c r="I375" i="29"/>
  <c r="G375" i="29"/>
  <c r="M375" i="29" s="1"/>
  <c r="N375" i="29" s="1"/>
  <c r="P375" i="29" s="1"/>
  <c r="R375" i="29" s="1"/>
  <c r="T375" i="29" s="1"/>
  <c r="K374" i="29"/>
  <c r="I374" i="29"/>
  <c r="H374" i="29"/>
  <c r="I373" i="29"/>
  <c r="H373" i="29"/>
  <c r="I372" i="29"/>
  <c r="H372" i="29"/>
  <c r="K372" i="29" s="1"/>
  <c r="G372" i="29"/>
  <c r="M372" i="29" s="1"/>
  <c r="N372" i="29" s="1"/>
  <c r="F372" i="29"/>
  <c r="F373" i="29" s="1"/>
  <c r="F374" i="29" s="1"/>
  <c r="F375" i="29" s="1"/>
  <c r="F376" i="29" s="1"/>
  <c r="F377" i="29" s="1"/>
  <c r="F378" i="29" s="1"/>
  <c r="F379" i="29" s="1"/>
  <c r="F380" i="29" s="1"/>
  <c r="F381" i="29" s="1"/>
  <c r="L371" i="29"/>
  <c r="K371" i="29"/>
  <c r="G371" i="29"/>
  <c r="M371" i="29" s="1"/>
  <c r="N371" i="29" s="1"/>
  <c r="B371" i="29"/>
  <c r="B372" i="29" s="1"/>
  <c r="B373" i="29" s="1"/>
  <c r="B374" i="29" s="1"/>
  <c r="B375" i="29" s="1"/>
  <c r="B376" i="29" s="1"/>
  <c r="M369" i="29"/>
  <c r="N369" i="29" s="1"/>
  <c r="M368" i="29"/>
  <c r="N368" i="29" s="1"/>
  <c r="M367" i="29"/>
  <c r="N367" i="29" s="1"/>
  <c r="L367" i="29"/>
  <c r="K367" i="29"/>
  <c r="L366" i="29"/>
  <c r="H366" i="29"/>
  <c r="K366" i="29" s="1"/>
  <c r="G366" i="29" a="1"/>
  <c r="G366" i="29" s="1"/>
  <c r="M366" i="29" s="1"/>
  <c r="K365" i="29"/>
  <c r="G365" i="29" a="1"/>
  <c r="G365" i="29" s="1"/>
  <c r="M365" i="29" s="1"/>
  <c r="L364" i="29"/>
  <c r="J364" i="29"/>
  <c r="K361" i="29"/>
  <c r="I361" i="29"/>
  <c r="I362" i="29" s="1"/>
  <c r="H361" i="29"/>
  <c r="H362" i="29" s="1"/>
  <c r="M360" i="29"/>
  <c r="N360" i="29" s="1"/>
  <c r="K360" i="29"/>
  <c r="J360" i="29"/>
  <c r="L360" i="29" s="1"/>
  <c r="G360" i="29"/>
  <c r="I359" i="29"/>
  <c r="H359" i="29"/>
  <c r="K359" i="29" s="1"/>
  <c r="G359" i="29"/>
  <c r="M359" i="29" s="1"/>
  <c r="N359" i="29" s="1"/>
  <c r="L358" i="29"/>
  <c r="K358" i="29"/>
  <c r="G358" i="29" a="1"/>
  <c r="G358" i="29" s="1"/>
  <c r="M358" i="29" s="1"/>
  <c r="N358" i="29" s="1"/>
  <c r="L357" i="29"/>
  <c r="K357" i="29"/>
  <c r="I357" i="29"/>
  <c r="H357" i="29"/>
  <c r="G357" i="29"/>
  <c r="M357" i="29" s="1"/>
  <c r="N357" i="29" s="1"/>
  <c r="P357" i="29" s="1"/>
  <c r="R357" i="29" s="1"/>
  <c r="T357" i="29" s="1"/>
  <c r="L356" i="29"/>
  <c r="K356" i="29"/>
  <c r="I356" i="29"/>
  <c r="G356" i="29" s="1" a="1"/>
  <c r="G356" i="29" s="1"/>
  <c r="M356" i="29" s="1"/>
  <c r="L355" i="29"/>
  <c r="K355" i="29"/>
  <c r="I355" i="29"/>
  <c r="G355" i="29"/>
  <c r="M355" i="29" s="1"/>
  <c r="N355" i="29" s="1"/>
  <c r="F355" i="29"/>
  <c r="F356" i="29" s="1"/>
  <c r="F357" i="29" s="1"/>
  <c r="F358" i="29" s="1"/>
  <c r="F359" i="29" s="1"/>
  <c r="F360" i="29" s="1"/>
  <c r="F361" i="29" s="1"/>
  <c r="L354" i="29"/>
  <c r="K354" i="29"/>
  <c r="I354" i="29"/>
  <c r="H354" i="29"/>
  <c r="G354" i="29"/>
  <c r="F354" i="29"/>
  <c r="K353" i="29"/>
  <c r="I353" i="29"/>
  <c r="I358" i="29" s="1"/>
  <c r="H353" i="29"/>
  <c r="G353" i="29" s="1"/>
  <c r="M353" i="29" s="1"/>
  <c r="N353" i="29" s="1"/>
  <c r="F353" i="29"/>
  <c r="B353" i="29"/>
  <c r="B354" i="29" s="1"/>
  <c r="B355" i="29" s="1"/>
  <c r="B356" i="29" s="1"/>
  <c r="B357" i="29" s="1"/>
  <c r="B358" i="29" s="1"/>
  <c r="B359" i="29" s="1"/>
  <c r="B360" i="29" s="1"/>
  <c r="B361" i="29" s="1"/>
  <c r="B362" i="29" s="1"/>
  <c r="B363" i="29" s="1"/>
  <c r="B364" i="29" s="1"/>
  <c r="B365" i="29" s="1"/>
  <c r="B366" i="29" s="1"/>
  <c r="B367" i="29" s="1"/>
  <c r="B368" i="29" s="1"/>
  <c r="B369" i="29" s="1"/>
  <c r="I352" i="29"/>
  <c r="G352" i="29" s="1"/>
  <c r="M352" i="29" s="1"/>
  <c r="N352" i="29" s="1"/>
  <c r="H352" i="29"/>
  <c r="K352" i="29" s="1"/>
  <c r="F352" i="29"/>
  <c r="B352" i="29"/>
  <c r="L351" i="29"/>
  <c r="K351" i="29"/>
  <c r="G351" i="29"/>
  <c r="M351" i="29" s="1"/>
  <c r="N351" i="29" s="1"/>
  <c r="P351" i="29" s="1"/>
  <c r="R351" i="29" s="1"/>
  <c r="B351" i="29"/>
  <c r="M349" i="29"/>
  <c r="N349" i="29" s="1"/>
  <c r="M348" i="29"/>
  <c r="N348" i="29" s="1"/>
  <c r="M347" i="29"/>
  <c r="N347" i="29" s="1"/>
  <c r="L347" i="29"/>
  <c r="K347" i="29"/>
  <c r="L346" i="29"/>
  <c r="K346" i="29"/>
  <c r="H346" i="29"/>
  <c r="G346" i="29" a="1"/>
  <c r="G346" i="29" s="1"/>
  <c r="M346" i="29" s="1"/>
  <c r="N346" i="29" s="1"/>
  <c r="K345" i="29"/>
  <c r="G345" i="29" a="1"/>
  <c r="G345" i="29" s="1"/>
  <c r="M345" i="29" s="1"/>
  <c r="L344" i="29"/>
  <c r="K344" i="29"/>
  <c r="J344" i="29"/>
  <c r="K343" i="29"/>
  <c r="K342" i="29"/>
  <c r="K341" i="29"/>
  <c r="I341" i="29"/>
  <c r="I342" i="29" s="1"/>
  <c r="H341" i="29"/>
  <c r="H342" i="29" s="1"/>
  <c r="H343" i="29" s="1"/>
  <c r="H344" i="29" s="1"/>
  <c r="G341" i="29"/>
  <c r="J341" i="29" s="1"/>
  <c r="L341" i="29" s="1"/>
  <c r="M340" i="29"/>
  <c r="N340" i="29" s="1"/>
  <c r="L340" i="29"/>
  <c r="K340" i="29"/>
  <c r="J340" i="29"/>
  <c r="G340" i="29"/>
  <c r="H339" i="29"/>
  <c r="L338" i="29"/>
  <c r="K338" i="29"/>
  <c r="L337" i="29"/>
  <c r="K337" i="29"/>
  <c r="I337" i="29"/>
  <c r="H337" i="29"/>
  <c r="G337" i="29"/>
  <c r="M337" i="29" s="1"/>
  <c r="N337" i="29" s="1"/>
  <c r="F337" i="29"/>
  <c r="F338" i="29" s="1"/>
  <c r="F339" i="29" s="1"/>
  <c r="F340" i="29" s="1"/>
  <c r="F341" i="29" s="1"/>
  <c r="F342" i="29" s="1"/>
  <c r="L336" i="29"/>
  <c r="K336" i="29"/>
  <c r="I336" i="29"/>
  <c r="G336" i="29" s="1" a="1"/>
  <c r="G336" i="29" s="1"/>
  <c r="M336" i="29" s="1"/>
  <c r="O336" i="29" s="1"/>
  <c r="Q336" i="29" s="1"/>
  <c r="S336" i="29" s="1"/>
  <c r="L335" i="29"/>
  <c r="K335" i="29"/>
  <c r="I335" i="29"/>
  <c r="G335" i="29"/>
  <c r="M335" i="29" s="1"/>
  <c r="L334" i="29"/>
  <c r="K334" i="29"/>
  <c r="I334" i="29"/>
  <c r="H334" i="29"/>
  <c r="G334" i="29"/>
  <c r="F334" i="29"/>
  <c r="F335" i="29" s="1"/>
  <c r="F336" i="29" s="1"/>
  <c r="K333" i="29"/>
  <c r="I333" i="29"/>
  <c r="H333" i="29"/>
  <c r="F333" i="29"/>
  <c r="I332" i="29"/>
  <c r="H332" i="29"/>
  <c r="F332" i="29"/>
  <c r="L331" i="29"/>
  <c r="K331" i="29"/>
  <c r="G331" i="29"/>
  <c r="M331" i="29" s="1"/>
  <c r="N331" i="29" s="1"/>
  <c r="B331" i="29"/>
  <c r="B332" i="29" s="1"/>
  <c r="B333" i="29" s="1"/>
  <c r="B334" i="29" s="1"/>
  <c r="B335" i="29" s="1"/>
  <c r="B336" i="29" s="1"/>
  <c r="B337" i="29" s="1"/>
  <c r="B338" i="29" s="1"/>
  <c r="B339" i="29" s="1"/>
  <c r="B340" i="29" s="1"/>
  <c r="B341" i="29" s="1"/>
  <c r="B342" i="29" s="1"/>
  <c r="B343" i="29" s="1"/>
  <c r="B344" i="29" s="1"/>
  <c r="B345" i="29" s="1"/>
  <c r="B346" i="29" s="1"/>
  <c r="B347" i="29" s="1"/>
  <c r="B348" i="29" s="1"/>
  <c r="B349" i="29" s="1"/>
  <c r="M329" i="29"/>
  <c r="N329" i="29" s="1"/>
  <c r="M328" i="29"/>
  <c r="N328" i="29" s="1"/>
  <c r="M327" i="29"/>
  <c r="N327" i="29" s="1"/>
  <c r="P327" i="29" s="1"/>
  <c r="R327" i="29" s="1"/>
  <c r="L327" i="29"/>
  <c r="K327" i="29"/>
  <c r="K326" i="29"/>
  <c r="K325" i="29"/>
  <c r="G325" i="29" a="1"/>
  <c r="G325" i="29" s="1"/>
  <c r="K324" i="29"/>
  <c r="G324" i="29" a="1"/>
  <c r="G324" i="29" s="1"/>
  <c r="J323" i="29"/>
  <c r="L323" i="29" s="1"/>
  <c r="M319" i="29"/>
  <c r="N319" i="29" s="1"/>
  <c r="I319" i="29"/>
  <c r="I320" i="29" s="1"/>
  <c r="H319" i="29"/>
  <c r="H320" i="29" s="1"/>
  <c r="M318" i="29"/>
  <c r="N318" i="29" s="1"/>
  <c r="K318" i="29"/>
  <c r="J318" i="29"/>
  <c r="L318" i="29" s="1"/>
  <c r="G318" i="29"/>
  <c r="L317" i="29"/>
  <c r="K317" i="29"/>
  <c r="I317" i="29"/>
  <c r="H317" i="29"/>
  <c r="G317" i="29"/>
  <c r="M317" i="29" s="1"/>
  <c r="N317" i="29" s="1"/>
  <c r="L316" i="29"/>
  <c r="K316" i="29"/>
  <c r="I316" i="29"/>
  <c r="G316" i="29" s="1" a="1"/>
  <c r="G316" i="29" s="1"/>
  <c r="M316" i="29" s="1"/>
  <c r="O316" i="29" s="1"/>
  <c r="Q316" i="29" s="1"/>
  <c r="S316" i="29" s="1"/>
  <c r="B316" i="29"/>
  <c r="B317" i="29" s="1"/>
  <c r="B318" i="29" s="1"/>
  <c r="B319" i="29" s="1"/>
  <c r="B320" i="29" s="1"/>
  <c r="B321" i="29" s="1"/>
  <c r="B322" i="29" s="1"/>
  <c r="B323" i="29" s="1"/>
  <c r="B324" i="29" s="1"/>
  <c r="B325" i="29" s="1"/>
  <c r="B326" i="29" s="1"/>
  <c r="B327" i="29" s="1"/>
  <c r="B328" i="29" s="1"/>
  <c r="B329" i="29" s="1"/>
  <c r="I315" i="29"/>
  <c r="H315" i="29"/>
  <c r="L314" i="29"/>
  <c r="K314" i="29"/>
  <c r="I314" i="29"/>
  <c r="G314" i="29" a="1"/>
  <c r="G314" i="29" s="1"/>
  <c r="M314" i="29" s="1"/>
  <c r="N314" i="29" s="1"/>
  <c r="P314" i="29" s="1"/>
  <c r="R314" i="29" s="1"/>
  <c r="T314" i="29" s="1"/>
  <c r="L313" i="29"/>
  <c r="L328" i="29" s="1"/>
  <c r="K313" i="29"/>
  <c r="I313" i="29"/>
  <c r="G313" i="29" s="1"/>
  <c r="M313" i="29" s="1"/>
  <c r="N313" i="29" s="1"/>
  <c r="B313" i="29"/>
  <c r="B314" i="29" s="1"/>
  <c r="B315" i="29" s="1"/>
  <c r="I312" i="29"/>
  <c r="H312" i="29"/>
  <c r="L311" i="29"/>
  <c r="I311" i="29"/>
  <c r="H311" i="29"/>
  <c r="K311" i="29" s="1"/>
  <c r="G311" i="29"/>
  <c r="M311" i="29" s="1"/>
  <c r="N311" i="29" s="1"/>
  <c r="P311" i="29" s="1"/>
  <c r="R311" i="29" s="1"/>
  <c r="T311" i="29" s="1"/>
  <c r="L310" i="29"/>
  <c r="K310" i="29"/>
  <c r="I310" i="29"/>
  <c r="H310" i="29"/>
  <c r="G310" i="29"/>
  <c r="F310" i="29"/>
  <c r="F311" i="29" s="1"/>
  <c r="F312" i="29" s="1"/>
  <c r="F313" i="29" s="1"/>
  <c r="F314" i="29" s="1"/>
  <c r="F315" i="29" s="1"/>
  <c r="F316" i="29" s="1"/>
  <c r="F317" i="29" s="1"/>
  <c r="F318" i="29" s="1"/>
  <c r="F319" i="29" s="1"/>
  <c r="L309" i="29"/>
  <c r="K309" i="29"/>
  <c r="G309" i="29"/>
  <c r="M309" i="29" s="1"/>
  <c r="O309" i="29" s="1"/>
  <c r="Q309" i="29" s="1"/>
  <c r="S309" i="29" s="1"/>
  <c r="B309" i="29"/>
  <c r="B310" i="29" s="1"/>
  <c r="B311" i="29" s="1"/>
  <c r="B312" i="29" s="1"/>
  <c r="M307" i="29"/>
  <c r="N307" i="29" s="1"/>
  <c r="M306" i="29"/>
  <c r="N306" i="29" s="1"/>
  <c r="M305" i="29"/>
  <c r="N305" i="29" s="1"/>
  <c r="K305" i="29"/>
  <c r="K304" i="29"/>
  <c r="K303" i="29"/>
  <c r="K302" i="29"/>
  <c r="L301" i="29"/>
  <c r="J301" i="29"/>
  <c r="L299" i="29"/>
  <c r="I297" i="29"/>
  <c r="I298" i="29" s="1"/>
  <c r="H297" i="29"/>
  <c r="M296" i="29"/>
  <c r="N296" i="29" s="1"/>
  <c r="L296" i="29"/>
  <c r="K296" i="29"/>
  <c r="J296" i="29"/>
  <c r="J299" i="29" s="1"/>
  <c r="G296" i="29"/>
  <c r="F296" i="29"/>
  <c r="F297" i="29" s="1"/>
  <c r="F298" i="29" s="1"/>
  <c r="F299" i="29" s="1"/>
  <c r="F300" i="29" s="1"/>
  <c r="F301" i="29" s="1"/>
  <c r="F302" i="29" s="1"/>
  <c r="F303" i="29" s="1"/>
  <c r="F304" i="29" s="1"/>
  <c r="F305" i="29" s="1"/>
  <c r="F306" i="29" s="1"/>
  <c r="F307" i="29" s="1"/>
  <c r="H295" i="29"/>
  <c r="L294" i="29"/>
  <c r="K294" i="29"/>
  <c r="G294" i="29" a="1"/>
  <c r="G294" i="29" s="1"/>
  <c r="M294" i="29" s="1"/>
  <c r="N294" i="29" s="1"/>
  <c r="L293" i="29"/>
  <c r="K293" i="29"/>
  <c r="I293" i="29"/>
  <c r="H293" i="29"/>
  <c r="G293" i="29"/>
  <c r="M293" i="29" s="1"/>
  <c r="N293" i="29" s="1"/>
  <c r="L292" i="29"/>
  <c r="L305" i="29" s="1"/>
  <c r="K292" i="29"/>
  <c r="I292" i="29"/>
  <c r="G292" i="29" s="1" a="1"/>
  <c r="G292" i="29" s="1"/>
  <c r="M292" i="29" s="1"/>
  <c r="N292" i="29" s="1"/>
  <c r="L291" i="29"/>
  <c r="K291" i="29"/>
  <c r="I291" i="29"/>
  <c r="G291" i="29"/>
  <c r="M291" i="29" s="1"/>
  <c r="N291" i="29" s="1"/>
  <c r="P291" i="29" s="1"/>
  <c r="R291" i="29" s="1"/>
  <c r="T291" i="29" s="1"/>
  <c r="L290" i="29"/>
  <c r="K290" i="29"/>
  <c r="I290" i="29"/>
  <c r="H290" i="29"/>
  <c r="G290" i="29"/>
  <c r="I289" i="29"/>
  <c r="I294" i="29" s="1"/>
  <c r="H289" i="29"/>
  <c r="F289" i="29"/>
  <c r="F290" i="29" s="1"/>
  <c r="F291" i="29" s="1"/>
  <c r="F292" i="29" s="1"/>
  <c r="F293" i="29" s="1"/>
  <c r="F294" i="29" s="1"/>
  <c r="F295" i="29" s="1"/>
  <c r="I288" i="29"/>
  <c r="H288" i="29"/>
  <c r="K288" i="29" s="1"/>
  <c r="G288" i="29"/>
  <c r="M288" i="29" s="1"/>
  <c r="N288" i="29" s="1"/>
  <c r="F288" i="29"/>
  <c r="L287" i="29"/>
  <c r="K287" i="29"/>
  <c r="G287" i="29"/>
  <c r="M287" i="29" s="1"/>
  <c r="N287" i="29" s="1"/>
  <c r="B287" i="29"/>
  <c r="B288" i="29" s="1"/>
  <c r="B289" i="29" s="1"/>
  <c r="B290" i="29" s="1"/>
  <c r="B291" i="29" s="1"/>
  <c r="B292" i="29" s="1"/>
  <c r="B293" i="29" s="1"/>
  <c r="B294" i="29" s="1"/>
  <c r="B295" i="29" s="1"/>
  <c r="B296" i="29" s="1"/>
  <c r="B297" i="29" s="1"/>
  <c r="B298" i="29" s="1"/>
  <c r="B299" i="29" s="1"/>
  <c r="B300" i="29" s="1"/>
  <c r="B301" i="29" s="1"/>
  <c r="B302" i="29" s="1"/>
  <c r="B303" i="29" s="1"/>
  <c r="B304" i="29" s="1"/>
  <c r="B305" i="29" s="1"/>
  <c r="B306" i="29" s="1"/>
  <c r="B307" i="29" s="1"/>
  <c r="M285" i="29"/>
  <c r="N285" i="29" s="1"/>
  <c r="M284" i="29"/>
  <c r="N284" i="29" s="1"/>
  <c r="M283" i="29"/>
  <c r="N283" i="29" s="1"/>
  <c r="K283" i="29"/>
  <c r="M282" i="29"/>
  <c r="N282" i="29" s="1"/>
  <c r="P282" i="29" s="1"/>
  <c r="R282" i="29" s="1"/>
  <c r="T282" i="29" s="1"/>
  <c r="K282" i="29"/>
  <c r="K281" i="29"/>
  <c r="K280" i="29"/>
  <c r="G280" i="29" a="1"/>
  <c r="G280" i="29" s="1"/>
  <c r="K279" i="29"/>
  <c r="G279" i="29" a="1"/>
  <c r="G279" i="29" s="1"/>
  <c r="M275" i="29"/>
  <c r="N275" i="29" s="1"/>
  <c r="I275" i="29"/>
  <c r="I276" i="29" s="1"/>
  <c r="I274" i="29"/>
  <c r="M274" i="29" s="1"/>
  <c r="N274" i="29" s="1"/>
  <c r="H274" i="29"/>
  <c r="K274" i="29" s="1"/>
  <c r="M273" i="29"/>
  <c r="N273" i="29" s="1"/>
  <c r="K273" i="29"/>
  <c r="G273" i="29"/>
  <c r="K272" i="29"/>
  <c r="H272" i="29"/>
  <c r="G272" i="29" s="1"/>
  <c r="M272" i="29" s="1"/>
  <c r="N272" i="29" s="1"/>
  <c r="L271" i="29"/>
  <c r="K271" i="29"/>
  <c r="K270" i="29"/>
  <c r="I270" i="29"/>
  <c r="H270" i="29"/>
  <c r="G270" i="29"/>
  <c r="M270" i="29" s="1"/>
  <c r="N270" i="29" s="1"/>
  <c r="L269" i="29"/>
  <c r="L283" i="29" s="1"/>
  <c r="K269" i="29"/>
  <c r="I269" i="29"/>
  <c r="G269" i="29" s="1" a="1"/>
  <c r="G269" i="29" s="1"/>
  <c r="M269" i="29" s="1"/>
  <c r="N269" i="29" s="1"/>
  <c r="B269" i="29"/>
  <c r="B270" i="29" s="1"/>
  <c r="B271" i="29" s="1"/>
  <c r="B272" i="29" s="1"/>
  <c r="B273" i="29" s="1"/>
  <c r="B274" i="29" s="1"/>
  <c r="B275" i="29" s="1"/>
  <c r="B276" i="29" s="1"/>
  <c r="B277" i="29" s="1"/>
  <c r="B278" i="29" s="1"/>
  <c r="B279" i="29" s="1"/>
  <c r="B280" i="29" s="1"/>
  <c r="B281" i="29" s="1"/>
  <c r="K268" i="29"/>
  <c r="I268" i="29"/>
  <c r="G268" i="29" s="1"/>
  <c r="M268" i="29" s="1"/>
  <c r="N268" i="29" s="1"/>
  <c r="I267" i="29"/>
  <c r="H267" i="29"/>
  <c r="K267" i="29" s="1"/>
  <c r="G267" i="29"/>
  <c r="M267" i="29" s="1"/>
  <c r="N267" i="29" s="1"/>
  <c r="K266" i="29"/>
  <c r="I266" i="29"/>
  <c r="I272" i="29" s="1"/>
  <c r="H266" i="29"/>
  <c r="B266" i="29"/>
  <c r="B267" i="29" s="1"/>
  <c r="B268" i="29" s="1"/>
  <c r="I265" i="29"/>
  <c r="H265" i="29"/>
  <c r="F265" i="29"/>
  <c r="F266" i="29" s="1"/>
  <c r="F267" i="29" s="1"/>
  <c r="F268" i="29" s="1"/>
  <c r="F269" i="29" s="1"/>
  <c r="F270" i="29" s="1"/>
  <c r="F271" i="29" s="1"/>
  <c r="F272" i="29" s="1"/>
  <c r="F273" i="29" s="1"/>
  <c r="F274" i="29" s="1"/>
  <c r="K264" i="29"/>
  <c r="J264" i="29"/>
  <c r="G264" i="29"/>
  <c r="M264" i="29" s="1"/>
  <c r="N264" i="29" s="1"/>
  <c r="B264" i="29"/>
  <c r="B265" i="29" s="1"/>
  <c r="M262" i="29"/>
  <c r="N262" i="29" s="1"/>
  <c r="M261" i="29"/>
  <c r="N261" i="29" s="1"/>
  <c r="M260" i="29"/>
  <c r="N260" i="29" s="1"/>
  <c r="K260" i="29"/>
  <c r="K259" i="29"/>
  <c r="K258" i="29"/>
  <c r="G258" i="29" a="1"/>
  <c r="G258" i="29" s="1"/>
  <c r="K257" i="29"/>
  <c r="G257" i="29" a="1"/>
  <c r="G257" i="29" s="1"/>
  <c r="L256" i="29"/>
  <c r="J256" i="29"/>
  <c r="J254" i="29"/>
  <c r="L254" i="29" s="1"/>
  <c r="I252" i="29"/>
  <c r="I253" i="29" s="1"/>
  <c r="H252" i="29"/>
  <c r="H253" i="29" s="1"/>
  <c r="M251" i="29"/>
  <c r="N251" i="29" s="1"/>
  <c r="L251" i="29"/>
  <c r="K251" i="29"/>
  <c r="J251" i="29"/>
  <c r="G251" i="29"/>
  <c r="H250" i="29"/>
  <c r="K250" i="29" s="1"/>
  <c r="G250" i="29"/>
  <c r="M250" i="29" s="1"/>
  <c r="N250" i="29" s="1"/>
  <c r="L249" i="29"/>
  <c r="K249" i="29"/>
  <c r="L248" i="29"/>
  <c r="K248" i="29"/>
  <c r="I248" i="29"/>
  <c r="H248" i="29"/>
  <c r="G248" i="29"/>
  <c r="M248" i="29" s="1"/>
  <c r="N248" i="29" s="1"/>
  <c r="P248" i="29" s="1"/>
  <c r="R248" i="29" s="1"/>
  <c r="T248" i="29" s="1"/>
  <c r="L247" i="29"/>
  <c r="L260" i="29" s="1"/>
  <c r="K247" i="29"/>
  <c r="I247" i="29"/>
  <c r="G247" i="29" s="1" a="1"/>
  <c r="G247" i="29" s="1"/>
  <c r="M247" i="29" s="1"/>
  <c r="L246" i="29"/>
  <c r="K246" i="29"/>
  <c r="I246" i="29"/>
  <c r="G246" i="29"/>
  <c r="M246" i="29" s="1"/>
  <c r="N246" i="29" s="1"/>
  <c r="L245" i="29"/>
  <c r="K245" i="29"/>
  <c r="I245" i="29"/>
  <c r="H245" i="29"/>
  <c r="G245" i="29"/>
  <c r="K244" i="29"/>
  <c r="I244" i="29"/>
  <c r="H244" i="29"/>
  <c r="F244" i="29"/>
  <c r="F245" i="29" s="1"/>
  <c r="F246" i="29" s="1"/>
  <c r="F247" i="29" s="1"/>
  <c r="F248" i="29" s="1"/>
  <c r="F249" i="29" s="1"/>
  <c r="F250" i="29" s="1"/>
  <c r="F251" i="29" s="1"/>
  <c r="F252" i="29" s="1"/>
  <c r="L243" i="29"/>
  <c r="I243" i="29"/>
  <c r="H243" i="29"/>
  <c r="F243" i="29"/>
  <c r="B243" i="29"/>
  <c r="B244" i="29" s="1"/>
  <c r="B245" i="29" s="1"/>
  <c r="B246" i="29" s="1"/>
  <c r="B247" i="29" s="1"/>
  <c r="B248" i="29" s="1"/>
  <c r="B249" i="29" s="1"/>
  <c r="B250" i="29" s="1"/>
  <c r="B251" i="29" s="1"/>
  <c r="B252" i="29" s="1"/>
  <c r="B253" i="29" s="1"/>
  <c r="B254" i="29" s="1"/>
  <c r="B255" i="29" s="1"/>
  <c r="B256" i="29" s="1"/>
  <c r="B257" i="29" s="1"/>
  <c r="B258" i="29" s="1"/>
  <c r="B259" i="29" s="1"/>
  <c r="B260" i="29" s="1"/>
  <c r="B261" i="29" s="1"/>
  <c r="B262" i="29" s="1"/>
  <c r="L242" i="29"/>
  <c r="K242" i="29"/>
  <c r="G242" i="29"/>
  <c r="M242" i="29" s="1"/>
  <c r="B242" i="29"/>
  <c r="M240" i="29"/>
  <c r="N240" i="29" s="1"/>
  <c r="M239" i="29"/>
  <c r="N239" i="29" s="1"/>
  <c r="M238" i="29"/>
  <c r="N238" i="29" s="1"/>
  <c r="K238" i="29"/>
  <c r="L237" i="29"/>
  <c r="K237" i="29"/>
  <c r="G237" i="29"/>
  <c r="M237" i="29" s="1"/>
  <c r="N237" i="29" s="1"/>
  <c r="K236" i="29"/>
  <c r="G236" i="29"/>
  <c r="M236" i="29" s="1"/>
  <c r="K235" i="29"/>
  <c r="K234" i="29"/>
  <c r="G234" i="29" a="1"/>
  <c r="G234" i="29" s="1"/>
  <c r="M234" i="29" s="1"/>
  <c r="N234" i="29" s="1"/>
  <c r="P234" i="29" s="1"/>
  <c r="R234" i="29" s="1"/>
  <c r="T234" i="29" s="1"/>
  <c r="K233" i="29"/>
  <c r="G233" i="29" a="1"/>
  <c r="G233" i="29" s="1"/>
  <c r="M233" i="29" s="1"/>
  <c r="K232" i="29"/>
  <c r="G232" i="29" a="1"/>
  <c r="G232" i="29" s="1"/>
  <c r="M232" i="29" s="1"/>
  <c r="N232" i="29" s="1"/>
  <c r="P232" i="29" s="1"/>
  <c r="R232" i="29" s="1"/>
  <c r="T232" i="29" s="1"/>
  <c r="J231" i="29"/>
  <c r="L231" i="29" s="1"/>
  <c r="J229" i="29"/>
  <c r="L229" i="29" s="1"/>
  <c r="M227" i="29"/>
  <c r="N227" i="29" s="1"/>
  <c r="I227" i="29"/>
  <c r="I228" i="29" s="1"/>
  <c r="H227" i="29"/>
  <c r="K227" i="29" s="1"/>
  <c r="M226" i="29"/>
  <c r="N226" i="29" s="1"/>
  <c r="P226" i="29" s="1"/>
  <c r="R226" i="29" s="1"/>
  <c r="T226" i="29" s="1"/>
  <c r="L226" i="29"/>
  <c r="K226" i="29"/>
  <c r="J226" i="29"/>
  <c r="G226" i="29"/>
  <c r="L225" i="29"/>
  <c r="K225" i="29"/>
  <c r="I225" i="29"/>
  <c r="H225" i="29"/>
  <c r="G225" i="29"/>
  <c r="M225" i="29" s="1"/>
  <c r="N225" i="29" s="1"/>
  <c r="L224" i="29"/>
  <c r="K224" i="29"/>
  <c r="I224" i="29"/>
  <c r="G224" i="29" s="1" a="1"/>
  <c r="G224" i="29" s="1"/>
  <c r="M224" i="29" s="1"/>
  <c r="I223" i="29"/>
  <c r="H223" i="29"/>
  <c r="K223" i="29" s="1"/>
  <c r="G223" i="29"/>
  <c r="M223" i="29" s="1"/>
  <c r="N223" i="29" s="1"/>
  <c r="L222" i="29"/>
  <c r="L238" i="29" s="1"/>
  <c r="K222" i="29"/>
  <c r="I222" i="29"/>
  <c r="G222" i="29" a="1"/>
  <c r="G222" i="29" s="1"/>
  <c r="M222" i="29" s="1"/>
  <c r="L221" i="29"/>
  <c r="L239" i="29" s="1"/>
  <c r="K221" i="29"/>
  <c r="I221" i="29"/>
  <c r="G221" i="29" s="1"/>
  <c r="M221" i="29" s="1"/>
  <c r="N221" i="29" s="1"/>
  <c r="I220" i="29"/>
  <c r="H220" i="29"/>
  <c r="K220" i="29" s="1"/>
  <c r="G220" i="29"/>
  <c r="M220" i="29" s="1"/>
  <c r="N220" i="29" s="1"/>
  <c r="L219" i="29"/>
  <c r="I219" i="29"/>
  <c r="H219" i="29"/>
  <c r="K219" i="29" s="1"/>
  <c r="G219" i="29"/>
  <c r="M219" i="29" s="1"/>
  <c r="N219" i="29" s="1"/>
  <c r="L218" i="29"/>
  <c r="K218" i="29"/>
  <c r="I218" i="29"/>
  <c r="H218" i="29"/>
  <c r="G218" i="29"/>
  <c r="F218" i="29"/>
  <c r="F219" i="29" s="1"/>
  <c r="F220" i="29" s="1"/>
  <c r="F221" i="29" s="1"/>
  <c r="F222" i="29" s="1"/>
  <c r="F223" i="29" s="1"/>
  <c r="F224" i="29" s="1"/>
  <c r="F225" i="29" s="1"/>
  <c r="F226" i="29" s="1"/>
  <c r="F227" i="29" s="1"/>
  <c r="L217" i="29"/>
  <c r="K217" i="29"/>
  <c r="G217" i="29"/>
  <c r="M217" i="29" s="1"/>
  <c r="O217" i="29" s="1"/>
  <c r="Q217" i="29" s="1"/>
  <c r="S217" i="29" s="1"/>
  <c r="B217" i="29"/>
  <c r="B218" i="29" s="1"/>
  <c r="B219" i="29" s="1"/>
  <c r="B220" i="29" s="1"/>
  <c r="B221" i="29" s="1"/>
  <c r="B222" i="29" s="1"/>
  <c r="B223" i="29" s="1"/>
  <c r="B224" i="29" s="1"/>
  <c r="B225" i="29" s="1"/>
  <c r="B226" i="29" s="1"/>
  <c r="B227" i="29" s="1"/>
  <c r="B228" i="29" s="1"/>
  <c r="B229" i="29" s="1"/>
  <c r="B230" i="29" s="1"/>
  <c r="B231" i="29" s="1"/>
  <c r="B232" i="29" s="1"/>
  <c r="B233" i="29" s="1"/>
  <c r="B234" i="29" s="1"/>
  <c r="B235" i="29" s="1"/>
  <c r="B236" i="29" s="1"/>
  <c r="B237" i="29" s="1"/>
  <c r="B238" i="29" s="1"/>
  <c r="B239" i="29" s="1"/>
  <c r="B240" i="29" s="1"/>
  <c r="M215" i="29"/>
  <c r="N215" i="29" s="1"/>
  <c r="M214" i="29"/>
  <c r="N214" i="29" s="1"/>
  <c r="M213" i="29"/>
  <c r="N213" i="29" s="1"/>
  <c r="K213" i="29"/>
  <c r="K212" i="29"/>
  <c r="K211" i="29"/>
  <c r="G211" i="29" a="1"/>
  <c r="G211" i="29" s="1"/>
  <c r="M211" i="29" s="1"/>
  <c r="K210" i="29"/>
  <c r="G210" i="29" a="1"/>
  <c r="G210" i="29" s="1"/>
  <c r="M210" i="29" s="1"/>
  <c r="J209" i="29"/>
  <c r="L209" i="29" s="1"/>
  <c r="J207" i="29"/>
  <c r="L207" i="29" s="1"/>
  <c r="I205" i="29"/>
  <c r="I206" i="29" s="1"/>
  <c r="H205" i="29"/>
  <c r="H206" i="29" s="1"/>
  <c r="M204" i="29"/>
  <c r="N204" i="29" s="1"/>
  <c r="L204" i="29"/>
  <c r="K204" i="29"/>
  <c r="J204" i="29"/>
  <c r="G204" i="29"/>
  <c r="L203" i="29"/>
  <c r="H203" i="29"/>
  <c r="K203" i="29" s="1"/>
  <c r="L202" i="29"/>
  <c r="L197" i="29" s="1"/>
  <c r="K202" i="29"/>
  <c r="L201" i="29"/>
  <c r="K201" i="29"/>
  <c r="I201" i="29"/>
  <c r="H201" i="29"/>
  <c r="G201" i="29"/>
  <c r="M201" i="29" s="1"/>
  <c r="N201" i="29" s="1"/>
  <c r="L200" i="29"/>
  <c r="L213" i="29" s="1"/>
  <c r="K200" i="29"/>
  <c r="I200" i="29"/>
  <c r="G200" i="29" s="1" a="1"/>
  <c r="G200" i="29" s="1"/>
  <c r="M200" i="29" s="1"/>
  <c r="L199" i="29"/>
  <c r="K199" i="29"/>
  <c r="I199" i="29"/>
  <c r="G199" i="29"/>
  <c r="M199" i="29" s="1"/>
  <c r="N199" i="29" s="1"/>
  <c r="P199" i="29" s="1"/>
  <c r="R199" i="29" s="1"/>
  <c r="T199" i="29" s="1"/>
  <c r="L198" i="29"/>
  <c r="K198" i="29"/>
  <c r="I198" i="29"/>
  <c r="G198" i="29" s="1"/>
  <c r="H198" i="29"/>
  <c r="K197" i="29"/>
  <c r="I197" i="29"/>
  <c r="I202" i="29" s="1"/>
  <c r="G202" i="29" s="1" a="1"/>
  <c r="G202" i="29" s="1"/>
  <c r="M202" i="29" s="1"/>
  <c r="N202" i="29" s="1"/>
  <c r="P202" i="29" s="1"/>
  <c r="R202" i="29" s="1"/>
  <c r="T202" i="29" s="1"/>
  <c r="H197" i="29"/>
  <c r="F197" i="29"/>
  <c r="F198" i="29" s="1"/>
  <c r="F199" i="29" s="1"/>
  <c r="F200" i="29" s="1"/>
  <c r="F201" i="29" s="1"/>
  <c r="F202" i="29" s="1"/>
  <c r="F203" i="29" s="1"/>
  <c r="F204" i="29" s="1"/>
  <c r="F205" i="29" s="1"/>
  <c r="I196" i="29"/>
  <c r="H196" i="29"/>
  <c r="K196" i="29" s="1"/>
  <c r="F196" i="29"/>
  <c r="B196" i="29"/>
  <c r="B197" i="29" s="1"/>
  <c r="B198" i="29" s="1"/>
  <c r="B199" i="29" s="1"/>
  <c r="B200" i="29" s="1"/>
  <c r="B201" i="29" s="1"/>
  <c r="B202" i="29" s="1"/>
  <c r="B203" i="29" s="1"/>
  <c r="B204" i="29" s="1"/>
  <c r="B205" i="29" s="1"/>
  <c r="B206" i="29" s="1"/>
  <c r="B207" i="29" s="1"/>
  <c r="B208" i="29" s="1"/>
  <c r="B209" i="29" s="1"/>
  <c r="B210" i="29" s="1"/>
  <c r="B211" i="29" s="1"/>
  <c r="B212" i="29" s="1"/>
  <c r="B213" i="29" s="1"/>
  <c r="B214" i="29" s="1"/>
  <c r="B215" i="29" s="1"/>
  <c r="L195" i="29"/>
  <c r="K195" i="29"/>
  <c r="G195" i="29"/>
  <c r="M195" i="29" s="1"/>
  <c r="N195" i="29" s="1"/>
  <c r="B195" i="29"/>
  <c r="M193" i="29"/>
  <c r="N193" i="29" s="1"/>
  <c r="M192" i="29"/>
  <c r="N192" i="29" s="1"/>
  <c r="M191" i="29"/>
  <c r="N191" i="29" s="1"/>
  <c r="K191" i="29"/>
  <c r="K190" i="29"/>
  <c r="K189" i="29"/>
  <c r="G189" i="29" a="1"/>
  <c r="G189" i="29" s="1"/>
  <c r="M189" i="29" s="1"/>
  <c r="K188" i="29"/>
  <c r="G188" i="29" a="1"/>
  <c r="G188" i="29" s="1"/>
  <c r="M188" i="29" s="1"/>
  <c r="J187" i="29"/>
  <c r="L187" i="29" s="1"/>
  <c r="I183" i="29"/>
  <c r="M183" i="29" s="1"/>
  <c r="N183" i="29" s="1"/>
  <c r="H183" i="29"/>
  <c r="K183" i="29" s="1"/>
  <c r="M182" i="29"/>
  <c r="N182" i="29" s="1"/>
  <c r="K182" i="29"/>
  <c r="J182" i="29"/>
  <c r="L182" i="29" s="1"/>
  <c r="G182" i="29"/>
  <c r="K181" i="29"/>
  <c r="H181" i="29"/>
  <c r="G181" i="29"/>
  <c r="M181" i="29" s="1"/>
  <c r="N181" i="29" s="1"/>
  <c r="L180" i="29"/>
  <c r="L181" i="29" s="1"/>
  <c r="K180" i="29"/>
  <c r="I179" i="29"/>
  <c r="H179" i="29"/>
  <c r="K179" i="29" s="1"/>
  <c r="L178" i="29"/>
  <c r="L191" i="29" s="1"/>
  <c r="K178" i="29"/>
  <c r="I178" i="29"/>
  <c r="G178" i="29" s="1" a="1"/>
  <c r="G178" i="29" s="1"/>
  <c r="M178" i="29" s="1"/>
  <c r="L177" i="29"/>
  <c r="L192" i="29" s="1"/>
  <c r="L193" i="29" s="1"/>
  <c r="K177" i="29"/>
  <c r="I177" i="29"/>
  <c r="G177" i="29" s="1"/>
  <c r="M177" i="29" s="1"/>
  <c r="N177" i="29" s="1"/>
  <c r="L176" i="29"/>
  <c r="I176" i="29"/>
  <c r="H176" i="29"/>
  <c r="K176" i="29" s="1"/>
  <c r="I175" i="29"/>
  <c r="I181" i="29" s="1"/>
  <c r="H175" i="29"/>
  <c r="G175" i="29" s="1"/>
  <c r="M175" i="29" s="1"/>
  <c r="N175" i="29" s="1"/>
  <c r="I174" i="29"/>
  <c r="H174" i="29"/>
  <c r="K174" i="29" s="1"/>
  <c r="G174" i="29"/>
  <c r="F174" i="29"/>
  <c r="F175" i="29" s="1"/>
  <c r="F176" i="29" s="1"/>
  <c r="F177" i="29" s="1"/>
  <c r="F178" i="29" s="1"/>
  <c r="F179" i="29" s="1"/>
  <c r="F180" i="29" s="1"/>
  <c r="F181" i="29" s="1"/>
  <c r="F182" i="29" s="1"/>
  <c r="F183" i="29" s="1"/>
  <c r="L173" i="29"/>
  <c r="L174" i="29" s="1"/>
  <c r="K173" i="29"/>
  <c r="G173" i="29"/>
  <c r="M173" i="29" s="1"/>
  <c r="B173" i="29"/>
  <c r="B174" i="29" s="1"/>
  <c r="B175" i="29" s="1"/>
  <c r="B176" i="29" s="1"/>
  <c r="B177" i="29" s="1"/>
  <c r="B178" i="29" s="1"/>
  <c r="B179" i="29" s="1"/>
  <c r="B180" i="29" s="1"/>
  <c r="B181" i="29" s="1"/>
  <c r="B182" i="29" s="1"/>
  <c r="B183" i="29" s="1"/>
  <c r="B184" i="29" s="1"/>
  <c r="B185" i="29" s="1"/>
  <c r="B186" i="29" s="1"/>
  <c r="B187" i="29" s="1"/>
  <c r="B188" i="29" s="1"/>
  <c r="B189" i="29" s="1"/>
  <c r="B190" i="29" s="1"/>
  <c r="B191" i="29" s="1"/>
  <c r="B192" i="29" s="1"/>
  <c r="B193" i="29" s="1"/>
  <c r="M171" i="29"/>
  <c r="N171" i="29" s="1"/>
  <c r="M170" i="29"/>
  <c r="N170" i="29" s="1"/>
  <c r="M169" i="29"/>
  <c r="N169" i="29" s="1"/>
  <c r="K169" i="29"/>
  <c r="L168" i="29"/>
  <c r="H168" i="29"/>
  <c r="G168" i="29" s="1" a="1"/>
  <c r="G168" i="29" s="1"/>
  <c r="K167" i="29"/>
  <c r="G167" i="29" a="1"/>
  <c r="G167" i="29" s="1"/>
  <c r="M167" i="29" s="1"/>
  <c r="O167" i="29" s="1"/>
  <c r="Q167" i="29" s="1"/>
  <c r="S167" i="29" s="1"/>
  <c r="L166" i="29"/>
  <c r="H166" i="29"/>
  <c r="K165" i="29"/>
  <c r="G165" i="29" a="1"/>
  <c r="G165" i="29" s="1"/>
  <c r="M165" i="29" s="1"/>
  <c r="O165" i="29" s="1"/>
  <c r="Q165" i="29" s="1"/>
  <c r="S165" i="29" s="1"/>
  <c r="J164" i="29"/>
  <c r="L164" i="29" s="1"/>
  <c r="I161" i="29"/>
  <c r="I162" i="29" s="1"/>
  <c r="H161" i="29"/>
  <c r="H162" i="29" s="1"/>
  <c r="H163" i="29" s="1"/>
  <c r="H164" i="29" s="1"/>
  <c r="K164" i="29" s="1"/>
  <c r="M160" i="29"/>
  <c r="N160" i="29" s="1"/>
  <c r="K160" i="29"/>
  <c r="J160" i="29"/>
  <c r="L160" i="29" s="1"/>
  <c r="G160" i="29"/>
  <c r="H159" i="29"/>
  <c r="K159" i="29" s="1"/>
  <c r="L158" i="29"/>
  <c r="L159" i="29" s="1"/>
  <c r="K158" i="29"/>
  <c r="I157" i="29"/>
  <c r="H157" i="29"/>
  <c r="L156" i="29"/>
  <c r="L153" i="29" s="1"/>
  <c r="K156" i="29"/>
  <c r="I156" i="29"/>
  <c r="G156" i="29" s="1" a="1"/>
  <c r="G156" i="29" s="1"/>
  <c r="M156" i="29" s="1"/>
  <c r="N156" i="29" s="1"/>
  <c r="L155" i="29"/>
  <c r="L170" i="29" s="1"/>
  <c r="L171" i="29" s="1"/>
  <c r="K155" i="29"/>
  <c r="I155" i="29"/>
  <c r="G155" i="29" s="1"/>
  <c r="M155" i="29" s="1"/>
  <c r="I154" i="29"/>
  <c r="H154" i="29"/>
  <c r="I153" i="29"/>
  <c r="I159" i="29" s="1"/>
  <c r="H153" i="29"/>
  <c r="K153" i="29" s="1"/>
  <c r="I152" i="29"/>
  <c r="H152" i="29"/>
  <c r="K152" i="29" s="1"/>
  <c r="F152" i="29"/>
  <c r="F153" i="29" s="1"/>
  <c r="F154" i="29" s="1"/>
  <c r="F155" i="29" s="1"/>
  <c r="F156" i="29" s="1"/>
  <c r="F157" i="29" s="1"/>
  <c r="F158" i="29" s="1"/>
  <c r="F159" i="29" s="1"/>
  <c r="F160" i="29" s="1"/>
  <c r="F161" i="29" s="1"/>
  <c r="L151" i="29"/>
  <c r="K151" i="29"/>
  <c r="G151" i="29"/>
  <c r="M151" i="29" s="1"/>
  <c r="N151" i="29" s="1"/>
  <c r="P151" i="29" s="1"/>
  <c r="R151" i="29" s="1"/>
  <c r="B151" i="29"/>
  <c r="B152" i="29" s="1"/>
  <c r="B153" i="29" s="1"/>
  <c r="B154" i="29" s="1"/>
  <c r="B155" i="29" s="1"/>
  <c r="B156" i="29" s="1"/>
  <c r="B157" i="29" s="1"/>
  <c r="B158" i="29" s="1"/>
  <c r="B159" i="29" s="1"/>
  <c r="B160" i="29" s="1"/>
  <c r="B161" i="29" s="1"/>
  <c r="B162" i="29" s="1"/>
  <c r="B163" i="29" s="1"/>
  <c r="B164" i="29" s="1"/>
  <c r="B165" i="29" s="1"/>
  <c r="B166" i="29" s="1"/>
  <c r="B167" i="29" s="1"/>
  <c r="B168" i="29" s="1"/>
  <c r="B169" i="29" s="1"/>
  <c r="B170" i="29" s="1"/>
  <c r="B171" i="29" s="1"/>
  <c r="M149" i="29"/>
  <c r="N149" i="29" s="1"/>
  <c r="M148" i="29"/>
  <c r="N148" i="29" s="1"/>
  <c r="L148" i="29"/>
  <c r="M147" i="29"/>
  <c r="O147" i="29" s="1"/>
  <c r="Q147" i="29" s="1"/>
  <c r="S147" i="29" s="1"/>
  <c r="L147" i="29"/>
  <c r="K147" i="29"/>
  <c r="L146" i="29"/>
  <c r="H146" i="29"/>
  <c r="K146" i="29" s="1"/>
  <c r="G146" i="29" a="1"/>
  <c r="G146" i="29" s="1"/>
  <c r="M146" i="29" s="1"/>
  <c r="N146" i="29" s="1"/>
  <c r="K145" i="29"/>
  <c r="G145" i="29" a="1"/>
  <c r="G145" i="29" s="1"/>
  <c r="M145" i="29" s="1"/>
  <c r="J144" i="29"/>
  <c r="L144" i="29" s="1"/>
  <c r="K141" i="29"/>
  <c r="I141" i="29"/>
  <c r="I142" i="29" s="1"/>
  <c r="H141" i="29"/>
  <c r="H142" i="29" s="1"/>
  <c r="M140" i="29"/>
  <c r="N140" i="29" s="1"/>
  <c r="P140" i="29" s="1"/>
  <c r="R140" i="29" s="1"/>
  <c r="T140" i="29" s="1"/>
  <c r="L140" i="29"/>
  <c r="K140" i="29"/>
  <c r="J140" i="29"/>
  <c r="G140" i="29"/>
  <c r="L139" i="29"/>
  <c r="H139" i="29"/>
  <c r="K139" i="29" s="1"/>
  <c r="G139" i="29"/>
  <c r="M139" i="29" s="1"/>
  <c r="N139" i="29" s="1"/>
  <c r="L138" i="29"/>
  <c r="L133" i="29" s="1"/>
  <c r="K138" i="29"/>
  <c r="L137" i="29"/>
  <c r="K137" i="29"/>
  <c r="I137" i="29"/>
  <c r="H137" i="29"/>
  <c r="G137" i="29"/>
  <c r="M137" i="29" s="1"/>
  <c r="N137" i="29" s="1"/>
  <c r="P137" i="29" s="1"/>
  <c r="R137" i="29" s="1"/>
  <c r="T137" i="29" s="1"/>
  <c r="L136" i="29"/>
  <c r="K136" i="29"/>
  <c r="I136" i="29"/>
  <c r="G136" i="29" s="1" a="1"/>
  <c r="G136" i="29" s="1"/>
  <c r="M136" i="29" s="1"/>
  <c r="N136" i="29" s="1"/>
  <c r="L135" i="29"/>
  <c r="K135" i="29"/>
  <c r="I135" i="29"/>
  <c r="G135" i="29"/>
  <c r="M135" i="29" s="1"/>
  <c r="N135" i="29" s="1"/>
  <c r="P135" i="29" s="1"/>
  <c r="R135" i="29" s="1"/>
  <c r="T135" i="29" s="1"/>
  <c r="L134" i="29"/>
  <c r="K134" i="29"/>
  <c r="I134" i="29"/>
  <c r="G134" i="29" s="1"/>
  <c r="H134" i="29"/>
  <c r="F134" i="29"/>
  <c r="F135" i="29" s="1"/>
  <c r="F136" i="29" s="1"/>
  <c r="F137" i="29" s="1"/>
  <c r="F138" i="29" s="1"/>
  <c r="F139" i="29" s="1"/>
  <c r="F140" i="29" s="1"/>
  <c r="F141" i="29" s="1"/>
  <c r="K133" i="29"/>
  <c r="I133" i="29"/>
  <c r="H133" i="29"/>
  <c r="F133" i="29"/>
  <c r="I132" i="29"/>
  <c r="H132" i="29"/>
  <c r="F132" i="29"/>
  <c r="B132" i="29"/>
  <c r="B133" i="29" s="1"/>
  <c r="B134" i="29" s="1"/>
  <c r="B135" i="29" s="1"/>
  <c r="B136" i="29" s="1"/>
  <c r="B137" i="29" s="1"/>
  <c r="B138" i="29" s="1"/>
  <c r="B139" i="29" s="1"/>
  <c r="B140" i="29" s="1"/>
  <c r="B141" i="29" s="1"/>
  <c r="B142" i="29" s="1"/>
  <c r="B143" i="29" s="1"/>
  <c r="B144" i="29" s="1"/>
  <c r="B145" i="29" s="1"/>
  <c r="B146" i="29" s="1"/>
  <c r="B147" i="29" s="1"/>
  <c r="B148" i="29" s="1"/>
  <c r="B149" i="29" s="1"/>
  <c r="L131" i="29"/>
  <c r="K131" i="29"/>
  <c r="G131" i="29"/>
  <c r="M131" i="29" s="1"/>
  <c r="B131" i="29"/>
  <c r="M129" i="29"/>
  <c r="N129" i="29" s="1"/>
  <c r="M128" i="29"/>
  <c r="N128" i="29" s="1"/>
  <c r="M127" i="29"/>
  <c r="N127" i="29" s="1"/>
  <c r="K127" i="29"/>
  <c r="L126" i="29"/>
  <c r="K126" i="29"/>
  <c r="H126" i="29"/>
  <c r="G126" i="29" a="1"/>
  <c r="G126" i="29" s="1"/>
  <c r="K125" i="29"/>
  <c r="G125" i="29" a="1"/>
  <c r="G125" i="29" s="1"/>
  <c r="M125" i="29" s="1"/>
  <c r="L124" i="29"/>
  <c r="K124" i="29"/>
  <c r="H124" i="29"/>
  <c r="G124" i="29" a="1"/>
  <c r="G124" i="29" s="1"/>
  <c r="M124" i="29" s="1"/>
  <c r="N124" i="29" s="1"/>
  <c r="P124" i="29" s="1"/>
  <c r="R124" i="29" s="1"/>
  <c r="T124" i="29" s="1"/>
  <c r="K123" i="29"/>
  <c r="G123" i="29" a="1"/>
  <c r="G123" i="29" s="1"/>
  <c r="M123" i="29" s="1"/>
  <c r="N123" i="29" s="1"/>
  <c r="P123" i="29" s="1"/>
  <c r="R123" i="29" s="1"/>
  <c r="T123" i="29" s="1"/>
  <c r="L122" i="29"/>
  <c r="J122" i="29"/>
  <c r="M119" i="29"/>
  <c r="N119" i="29" s="1"/>
  <c r="I119" i="29"/>
  <c r="I120" i="29" s="1"/>
  <c r="I121" i="29" s="1"/>
  <c r="I122" i="29" s="1"/>
  <c r="H119" i="29"/>
  <c r="K119" i="29" s="1"/>
  <c r="M118" i="29"/>
  <c r="L118" i="29"/>
  <c r="K118" i="29"/>
  <c r="J118" i="29"/>
  <c r="G118" i="29"/>
  <c r="I117" i="29"/>
  <c r="H117" i="29"/>
  <c r="G117" i="29" s="1"/>
  <c r="M117" i="29" s="1"/>
  <c r="N117" i="29" s="1"/>
  <c r="L116" i="29"/>
  <c r="K116" i="29"/>
  <c r="I116" i="29"/>
  <c r="G116" i="29" a="1"/>
  <c r="G116" i="29" s="1"/>
  <c r="M116" i="29" s="1"/>
  <c r="N116" i="29" s="1"/>
  <c r="L115" i="29"/>
  <c r="I115" i="29"/>
  <c r="H115" i="29"/>
  <c r="K115" i="29" s="1"/>
  <c r="G115" i="29"/>
  <c r="M115" i="29" s="1"/>
  <c r="N115" i="29" s="1"/>
  <c r="L114" i="29"/>
  <c r="K114" i="29"/>
  <c r="I114" i="29"/>
  <c r="G114" i="29" a="1"/>
  <c r="G114" i="29" s="1"/>
  <c r="M114" i="29" s="1"/>
  <c r="N114" i="29" s="1"/>
  <c r="L113" i="29"/>
  <c r="L128" i="29" s="1"/>
  <c r="K113" i="29"/>
  <c r="I113" i="29"/>
  <c r="G113" i="29"/>
  <c r="M113" i="29" s="1"/>
  <c r="L112" i="29"/>
  <c r="K112" i="29"/>
  <c r="I112" i="29"/>
  <c r="H112" i="29"/>
  <c r="G112" i="29"/>
  <c r="K111" i="29"/>
  <c r="I111" i="29"/>
  <c r="H111" i="29"/>
  <c r="G111" i="29"/>
  <c r="M111" i="29" s="1"/>
  <c r="N111" i="29" s="1"/>
  <c r="F111" i="29"/>
  <c r="F112" i="29" s="1"/>
  <c r="F113" i="29" s="1"/>
  <c r="F114" i="29" s="1"/>
  <c r="F115" i="29" s="1"/>
  <c r="F116" i="29" s="1"/>
  <c r="F117" i="29" s="1"/>
  <c r="F118" i="29" s="1"/>
  <c r="F119" i="29" s="1"/>
  <c r="K110" i="29"/>
  <c r="I110" i="29"/>
  <c r="H110" i="29"/>
  <c r="F110" i="29"/>
  <c r="B110" i="29"/>
  <c r="B111" i="29" s="1"/>
  <c r="B112" i="29" s="1"/>
  <c r="B113" i="29" s="1"/>
  <c r="B114" i="29" s="1"/>
  <c r="B115" i="29" s="1"/>
  <c r="B116" i="29" s="1"/>
  <c r="B117" i="29" s="1"/>
  <c r="B118" i="29" s="1"/>
  <c r="B119" i="29" s="1"/>
  <c r="B120" i="29" s="1"/>
  <c r="B121" i="29" s="1"/>
  <c r="B122" i="29" s="1"/>
  <c r="B123" i="29" s="1"/>
  <c r="B124" i="29" s="1"/>
  <c r="B125" i="29" s="1"/>
  <c r="B126" i="29" s="1"/>
  <c r="B127" i="29" s="1"/>
  <c r="B128" i="29" s="1"/>
  <c r="B129" i="29" s="1"/>
  <c r="L109" i="29"/>
  <c r="K109" i="29"/>
  <c r="G109" i="29"/>
  <c r="M109" i="29" s="1"/>
  <c r="N109" i="29" s="1"/>
  <c r="P109" i="29" s="1"/>
  <c r="R109" i="29" s="1"/>
  <c r="B109" i="29"/>
  <c r="M107" i="29"/>
  <c r="N107" i="29" s="1"/>
  <c r="L107" i="29"/>
  <c r="M106" i="29"/>
  <c r="N106" i="29" s="1"/>
  <c r="M105" i="29"/>
  <c r="N105" i="29" s="1"/>
  <c r="L105" i="29"/>
  <c r="K105" i="29"/>
  <c r="L104" i="29"/>
  <c r="H104" i="29"/>
  <c r="K104" i="29" s="1"/>
  <c r="K103" i="29"/>
  <c r="G103" i="29" a="1"/>
  <c r="G103" i="29" s="1"/>
  <c r="M103" i="29" s="1"/>
  <c r="M102" i="29"/>
  <c r="N102" i="29" s="1"/>
  <c r="L102" i="29"/>
  <c r="J102" i="29"/>
  <c r="G102" i="29"/>
  <c r="M99" i="29"/>
  <c r="N99" i="29" s="1"/>
  <c r="K99" i="29"/>
  <c r="I99" i="29"/>
  <c r="I100" i="29" s="1"/>
  <c r="H99" i="29"/>
  <c r="H100" i="29" s="1"/>
  <c r="H101" i="29" s="1"/>
  <c r="H102" i="29" s="1"/>
  <c r="K102" i="29" s="1"/>
  <c r="M98" i="29"/>
  <c r="N98" i="29" s="1"/>
  <c r="P98" i="29" s="1"/>
  <c r="R98" i="29" s="1"/>
  <c r="T98" i="29" s="1"/>
  <c r="L98" i="29"/>
  <c r="K98" i="29"/>
  <c r="J98" i="29"/>
  <c r="G98" i="29"/>
  <c r="B98" i="29"/>
  <c r="B99" i="29" s="1"/>
  <c r="B100" i="29" s="1"/>
  <c r="B101" i="29" s="1"/>
  <c r="B102" i="29" s="1"/>
  <c r="B103" i="29" s="1"/>
  <c r="B104" i="29" s="1"/>
  <c r="B105" i="29" s="1"/>
  <c r="B106" i="29" s="1"/>
  <c r="B107" i="29" s="1"/>
  <c r="K97" i="29"/>
  <c r="I97" i="29"/>
  <c r="H97" i="29"/>
  <c r="G97" i="29" s="1"/>
  <c r="M97" i="29" s="1"/>
  <c r="N97" i="29" s="1"/>
  <c r="L96" i="29"/>
  <c r="K96" i="29"/>
  <c r="I96" i="29"/>
  <c r="G96" i="29" s="1" a="1"/>
  <c r="G96" i="29" s="1"/>
  <c r="M96" i="29" s="1"/>
  <c r="N96" i="29" s="1"/>
  <c r="P96" i="29" s="1"/>
  <c r="R96" i="29" s="1"/>
  <c r="T96" i="29" s="1"/>
  <c r="K95" i="29"/>
  <c r="I95" i="29"/>
  <c r="H95" i="29"/>
  <c r="G95" i="29"/>
  <c r="M95" i="29" s="1"/>
  <c r="N95" i="29" s="1"/>
  <c r="L94" i="29"/>
  <c r="L106" i="29" s="1"/>
  <c r="K94" i="29"/>
  <c r="I94" i="29"/>
  <c r="G94" i="29" s="1" a="1"/>
  <c r="G94" i="29" s="1"/>
  <c r="M94" i="29" s="1"/>
  <c r="N94" i="29" s="1"/>
  <c r="P94" i="29" s="1"/>
  <c r="R94" i="29" s="1"/>
  <c r="T94" i="29" s="1"/>
  <c r="L93" i="29"/>
  <c r="K93" i="29"/>
  <c r="I93" i="29"/>
  <c r="G93" i="29" s="1"/>
  <c r="M93" i="29" s="1"/>
  <c r="O93" i="29" s="1"/>
  <c r="Q93" i="29" s="1"/>
  <c r="S93" i="29" s="1"/>
  <c r="I92" i="29"/>
  <c r="H92" i="29"/>
  <c r="K91" i="29"/>
  <c r="I91" i="29"/>
  <c r="G91" i="29" s="1"/>
  <c r="M91" i="29" s="1"/>
  <c r="N91" i="29" s="1"/>
  <c r="H91" i="29"/>
  <c r="F91" i="29"/>
  <c r="F92" i="29" s="1"/>
  <c r="F93" i="29" s="1"/>
  <c r="F94" i="29" s="1"/>
  <c r="F95" i="29" s="1"/>
  <c r="F96" i="29" s="1"/>
  <c r="F97" i="29" s="1"/>
  <c r="F98" i="29" s="1"/>
  <c r="F99" i="29" s="1"/>
  <c r="I90" i="29"/>
  <c r="H90" i="29"/>
  <c r="F90" i="29"/>
  <c r="L89" i="29"/>
  <c r="K89" i="29"/>
  <c r="G89" i="29"/>
  <c r="M89" i="29" s="1"/>
  <c r="N89" i="29" s="1"/>
  <c r="P89" i="29" s="1"/>
  <c r="R89" i="29" s="1"/>
  <c r="B89" i="29"/>
  <c r="B90" i="29" s="1"/>
  <c r="B91" i="29" s="1"/>
  <c r="B92" i="29" s="1"/>
  <c r="B93" i="29" s="1"/>
  <c r="B94" i="29" s="1"/>
  <c r="B95" i="29" s="1"/>
  <c r="B96" i="29" s="1"/>
  <c r="B97" i="29" s="1"/>
  <c r="M87" i="29"/>
  <c r="N87" i="29" s="1"/>
  <c r="M86" i="29"/>
  <c r="N86" i="29" s="1"/>
  <c r="M85" i="29"/>
  <c r="N85" i="29" s="1"/>
  <c r="P85" i="29" s="1"/>
  <c r="R85" i="29" s="1"/>
  <c r="T85" i="29" s="1"/>
  <c r="L85" i="29"/>
  <c r="K85" i="29"/>
  <c r="L84" i="29"/>
  <c r="H84" i="29"/>
  <c r="K84" i="29" s="1"/>
  <c r="G84" i="29" a="1"/>
  <c r="G84" i="29" s="1"/>
  <c r="M84" i="29" s="1"/>
  <c r="N84" i="29" s="1"/>
  <c r="K83" i="29"/>
  <c r="G83" i="29"/>
  <c r="M83" i="29" s="1"/>
  <c r="G83" i="29" a="1"/>
  <c r="M82" i="29"/>
  <c r="N82" i="29" s="1"/>
  <c r="J82" i="29"/>
  <c r="L82" i="29" s="1"/>
  <c r="G82" i="29"/>
  <c r="M81" i="29"/>
  <c r="N81" i="29" s="1"/>
  <c r="M79" i="29"/>
  <c r="N79" i="29" s="1"/>
  <c r="I79" i="29"/>
  <c r="I80" i="29" s="1"/>
  <c r="I81" i="29" s="1"/>
  <c r="H79" i="29"/>
  <c r="K79" i="29" s="1"/>
  <c r="M78" i="29"/>
  <c r="N78" i="29" s="1"/>
  <c r="K78" i="29"/>
  <c r="J78" i="29"/>
  <c r="L78" i="29" s="1"/>
  <c r="G78" i="29"/>
  <c r="L77" i="29"/>
  <c r="H77" i="29"/>
  <c r="K77" i="29" s="1"/>
  <c r="G77" i="29"/>
  <c r="M77" i="29" s="1"/>
  <c r="N77" i="29" s="1"/>
  <c r="P77" i="29" s="1"/>
  <c r="R77" i="29" s="1"/>
  <c r="T77" i="29" s="1"/>
  <c r="L76" i="29"/>
  <c r="L71" i="29" s="1"/>
  <c r="K76" i="29"/>
  <c r="F76" i="29"/>
  <c r="F77" i="29" s="1"/>
  <c r="F78" i="29" s="1"/>
  <c r="F79" i="29" s="1"/>
  <c r="L75" i="29"/>
  <c r="K75" i="29"/>
  <c r="I75" i="29"/>
  <c r="H75" i="29"/>
  <c r="G75" i="29"/>
  <c r="M75" i="29" s="1"/>
  <c r="O75" i="29" s="1"/>
  <c r="Q75" i="29" s="1"/>
  <c r="S75" i="29" s="1"/>
  <c r="L74" i="29"/>
  <c r="K74" i="29"/>
  <c r="I74" i="29"/>
  <c r="G74" i="29" s="1" a="1"/>
  <c r="G74" i="29" s="1"/>
  <c r="M74" i="29" s="1"/>
  <c r="L73" i="29"/>
  <c r="K73" i="29"/>
  <c r="I73" i="29"/>
  <c r="G73" i="29"/>
  <c r="M73" i="29" s="1"/>
  <c r="N73" i="29" s="1"/>
  <c r="P73" i="29" s="1"/>
  <c r="R73" i="29" s="1"/>
  <c r="T73" i="29" s="1"/>
  <c r="F73" i="29"/>
  <c r="F74" i="29" s="1"/>
  <c r="F75" i="29" s="1"/>
  <c r="L72" i="29"/>
  <c r="K72" i="29"/>
  <c r="I72" i="29"/>
  <c r="G72" i="29" s="1"/>
  <c r="H72" i="29"/>
  <c r="F72" i="29"/>
  <c r="I71" i="29"/>
  <c r="I76" i="29" s="1"/>
  <c r="G76" i="29" s="1" a="1"/>
  <c r="G76" i="29" s="1"/>
  <c r="M76" i="29" s="1"/>
  <c r="N76" i="29" s="1"/>
  <c r="H71" i="29"/>
  <c r="F71" i="29"/>
  <c r="L70" i="29"/>
  <c r="I70" i="29"/>
  <c r="H70" i="29"/>
  <c r="K70" i="29" s="1"/>
  <c r="G70" i="29"/>
  <c r="F70" i="29"/>
  <c r="L69" i="29"/>
  <c r="K69" i="29"/>
  <c r="G69" i="29"/>
  <c r="M69" i="29" s="1"/>
  <c r="B69" i="29"/>
  <c r="B70" i="29" s="1"/>
  <c r="B71" i="29" s="1"/>
  <c r="B72" i="29" s="1"/>
  <c r="B73" i="29" s="1"/>
  <c r="B74" i="29" s="1"/>
  <c r="B75" i="29" s="1"/>
  <c r="B76" i="29" s="1"/>
  <c r="B77" i="29" s="1"/>
  <c r="B78" i="29" s="1"/>
  <c r="B79" i="29" s="1"/>
  <c r="B80" i="29" s="1"/>
  <c r="B81" i="29" s="1"/>
  <c r="B82" i="29" s="1"/>
  <c r="B83" i="29" s="1"/>
  <c r="B84" i="29" s="1"/>
  <c r="B85" i="29" s="1"/>
  <c r="B86" i="29" s="1"/>
  <c r="B87" i="29" s="1"/>
  <c r="M67" i="29"/>
  <c r="N67" i="29" s="1"/>
  <c r="M66" i="29"/>
  <c r="N66" i="29" s="1"/>
  <c r="M65" i="29"/>
  <c r="N65" i="29" s="1"/>
  <c r="K65" i="29"/>
  <c r="L64" i="29"/>
  <c r="K64" i="29"/>
  <c r="H64" i="29"/>
  <c r="G64" i="29" a="1"/>
  <c r="G64" i="29" s="1"/>
  <c r="M64" i="29" s="1"/>
  <c r="N64" i="29" s="1"/>
  <c r="K63" i="29"/>
  <c r="G63" i="29" a="1"/>
  <c r="G63" i="29" s="1"/>
  <c r="M63" i="29" s="1"/>
  <c r="O63" i="29" s="1"/>
  <c r="Q63" i="29" s="1"/>
  <c r="S63" i="29" s="1"/>
  <c r="M62" i="29"/>
  <c r="N62" i="29" s="1"/>
  <c r="L62" i="29"/>
  <c r="J62" i="29"/>
  <c r="G62" i="29"/>
  <c r="M61" i="29"/>
  <c r="N61" i="29" s="1"/>
  <c r="I60" i="29"/>
  <c r="M60" i="29" s="1"/>
  <c r="N60" i="29" s="1"/>
  <c r="M59" i="29"/>
  <c r="N59" i="29" s="1"/>
  <c r="K59" i="29"/>
  <c r="I59" i="29"/>
  <c r="H59" i="29"/>
  <c r="H60" i="29" s="1"/>
  <c r="M58" i="29"/>
  <c r="N58" i="29" s="1"/>
  <c r="K58" i="29"/>
  <c r="J58" i="29"/>
  <c r="L58" i="29" s="1"/>
  <c r="G58" i="29"/>
  <c r="L57" i="29"/>
  <c r="K57" i="29"/>
  <c r="H57" i="29"/>
  <c r="G57" i="29"/>
  <c r="M57" i="29" s="1"/>
  <c r="N57" i="29" s="1"/>
  <c r="L56" i="29"/>
  <c r="K56" i="29"/>
  <c r="I56" i="29"/>
  <c r="G56" i="29" s="1" a="1"/>
  <c r="G56" i="29" s="1"/>
  <c r="M56" i="29" s="1"/>
  <c r="O56" i="29" s="1"/>
  <c r="Q56" i="29" s="1"/>
  <c r="S56" i="29" s="1"/>
  <c r="I55" i="29"/>
  <c r="H55" i="29"/>
  <c r="L54" i="29"/>
  <c r="K54" i="29"/>
  <c r="I54" i="29"/>
  <c r="G54" i="29" a="1"/>
  <c r="G54" i="29" s="1"/>
  <c r="M54" i="29" s="1"/>
  <c r="N54" i="29" s="1"/>
  <c r="L53" i="29"/>
  <c r="K53" i="29"/>
  <c r="I53" i="29"/>
  <c r="G53" i="29"/>
  <c r="M53" i="29" s="1"/>
  <c r="N53" i="29" s="1"/>
  <c r="I52" i="29"/>
  <c r="H52" i="29"/>
  <c r="I51" i="29"/>
  <c r="I57" i="29" s="1"/>
  <c r="H51" i="29"/>
  <c r="K51" i="29" s="1"/>
  <c r="G51" i="29"/>
  <c r="M51" i="29" s="1"/>
  <c r="N51" i="29" s="1"/>
  <c r="L50" i="29"/>
  <c r="K50" i="29"/>
  <c r="I50" i="29"/>
  <c r="H50" i="29"/>
  <c r="G50" i="29"/>
  <c r="F50" i="29"/>
  <c r="F51" i="29" s="1"/>
  <c r="F52" i="29" s="1"/>
  <c r="F53" i="29" s="1"/>
  <c r="F54" i="29" s="1"/>
  <c r="F55" i="29" s="1"/>
  <c r="F56" i="29" s="1"/>
  <c r="F57" i="29" s="1"/>
  <c r="F58" i="29" s="1"/>
  <c r="F59" i="29" s="1"/>
  <c r="L49" i="29"/>
  <c r="K49" i="29"/>
  <c r="G49" i="29"/>
  <c r="M49" i="29" s="1"/>
  <c r="O49" i="29" s="1"/>
  <c r="Q49" i="29" s="1"/>
  <c r="S49" i="29" s="1"/>
  <c r="B49" i="29"/>
  <c r="B50" i="29" s="1"/>
  <c r="B51" i="29" s="1"/>
  <c r="B52" i="29" s="1"/>
  <c r="B53" i="29" s="1"/>
  <c r="B54" i="29" s="1"/>
  <c r="B55" i="29" s="1"/>
  <c r="B56" i="29" s="1"/>
  <c r="B57" i="29" s="1"/>
  <c r="B58" i="29" s="1"/>
  <c r="B59" i="29" s="1"/>
  <c r="B60" i="29" s="1"/>
  <c r="B61" i="29" s="1"/>
  <c r="B62" i="29" s="1"/>
  <c r="B63" i="29" s="1"/>
  <c r="B64" i="29" s="1"/>
  <c r="B65" i="29" s="1"/>
  <c r="B66" i="29" s="1"/>
  <c r="B67" i="29" s="1"/>
  <c r="M47" i="29"/>
  <c r="N47" i="29" s="1"/>
  <c r="M46" i="29"/>
  <c r="N46" i="29" s="1"/>
  <c r="P46" i="29" s="1"/>
  <c r="R46" i="29" s="1"/>
  <c r="T46" i="29" s="1"/>
  <c r="L46" i="29"/>
  <c r="M45" i="29"/>
  <c r="N45" i="29" s="1"/>
  <c r="K45" i="29"/>
  <c r="L44" i="29"/>
  <c r="H44" i="29"/>
  <c r="K43" i="29"/>
  <c r="G43" i="29" a="1"/>
  <c r="G43" i="29" s="1"/>
  <c r="M43" i="29" s="1"/>
  <c r="M42" i="29"/>
  <c r="N42" i="29" s="1"/>
  <c r="J42" i="29"/>
  <c r="L42" i="29" s="1"/>
  <c r="G42" i="29"/>
  <c r="M41" i="29"/>
  <c r="N41" i="29" s="1"/>
  <c r="I39" i="29"/>
  <c r="I40" i="29" s="1"/>
  <c r="M40" i="29" s="1"/>
  <c r="N40" i="29" s="1"/>
  <c r="H39" i="29"/>
  <c r="K39" i="29" s="1"/>
  <c r="M38" i="29"/>
  <c r="N38" i="29" s="1"/>
  <c r="L38" i="29"/>
  <c r="K38" i="29"/>
  <c r="J38" i="29"/>
  <c r="G38" i="29"/>
  <c r="F38" i="29"/>
  <c r="F39" i="29" s="1"/>
  <c r="L37" i="29"/>
  <c r="K37" i="29"/>
  <c r="I37" i="29"/>
  <c r="H37" i="29"/>
  <c r="G37" i="29"/>
  <c r="M37" i="29" s="1"/>
  <c r="O37" i="29" s="1"/>
  <c r="Q37" i="29" s="1"/>
  <c r="S37" i="29" s="1"/>
  <c r="L36" i="29"/>
  <c r="K36" i="29"/>
  <c r="I36" i="29"/>
  <c r="G36" i="29" s="1" a="1"/>
  <c r="G36" i="29" s="1"/>
  <c r="M36" i="29" s="1"/>
  <c r="L35" i="29"/>
  <c r="I35" i="29"/>
  <c r="H35" i="29"/>
  <c r="K35" i="29" s="1"/>
  <c r="G35" i="29"/>
  <c r="M35" i="29" s="1"/>
  <c r="N35" i="29" s="1"/>
  <c r="P35" i="29" s="1"/>
  <c r="R35" i="29" s="1"/>
  <c r="T35" i="29" s="1"/>
  <c r="L34" i="29"/>
  <c r="L45" i="29" s="1"/>
  <c r="K34" i="29"/>
  <c r="I34" i="29"/>
  <c r="G34" i="29" a="1"/>
  <c r="G34" i="29" s="1"/>
  <c r="M34" i="29" s="1"/>
  <c r="N34" i="29" s="1"/>
  <c r="F34" i="29"/>
  <c r="F35" i="29" s="1"/>
  <c r="F36" i="29" s="1"/>
  <c r="F37" i="29" s="1"/>
  <c r="L33" i="29"/>
  <c r="K33" i="29"/>
  <c r="I33" i="29"/>
  <c r="G33" i="29" s="1"/>
  <c r="M33" i="29" s="1"/>
  <c r="O33" i="29" s="1"/>
  <c r="Q33" i="29" s="1"/>
  <c r="S33" i="29" s="1"/>
  <c r="L32" i="29"/>
  <c r="I32" i="29"/>
  <c r="H32" i="29"/>
  <c r="K32" i="29" s="1"/>
  <c r="G32" i="29"/>
  <c r="L31" i="29"/>
  <c r="K31" i="29"/>
  <c r="I31" i="29"/>
  <c r="H31" i="29"/>
  <c r="G31" i="29"/>
  <c r="M31" i="29" s="1"/>
  <c r="N31" i="29" s="1"/>
  <c r="F31" i="29"/>
  <c r="F32" i="29" s="1"/>
  <c r="F33" i="29" s="1"/>
  <c r="L30" i="29"/>
  <c r="K30" i="29"/>
  <c r="I30" i="29"/>
  <c r="G30" i="29" s="1"/>
  <c r="H30" i="29"/>
  <c r="F30" i="29"/>
  <c r="L29" i="29"/>
  <c r="K29" i="29"/>
  <c r="G29" i="29"/>
  <c r="M29" i="29" s="1"/>
  <c r="B29" i="29"/>
  <c r="B30" i="29" s="1"/>
  <c r="B31" i="29" s="1"/>
  <c r="B32" i="29" s="1"/>
  <c r="B33" i="29" s="1"/>
  <c r="B34" i="29" s="1"/>
  <c r="B35" i="29" s="1"/>
  <c r="B36" i="29" s="1"/>
  <c r="B37" i="29" s="1"/>
  <c r="B38" i="29" s="1"/>
  <c r="B39" i="29" s="1"/>
  <c r="B40" i="29" s="1"/>
  <c r="B41" i="29" s="1"/>
  <c r="B42" i="29" s="1"/>
  <c r="B43" i="29" s="1"/>
  <c r="B44" i="29" s="1"/>
  <c r="B45" i="29" s="1"/>
  <c r="B46" i="29" s="1"/>
  <c r="B47" i="29" s="1"/>
  <c r="M27" i="29"/>
  <c r="N27" i="29" s="1"/>
  <c r="M26" i="29"/>
  <c r="N26" i="29" s="1"/>
  <c r="M25" i="29"/>
  <c r="N25" i="29" s="1"/>
  <c r="K25" i="29"/>
  <c r="L24" i="29"/>
  <c r="H24" i="29"/>
  <c r="G24" i="29" s="1" a="1"/>
  <c r="G24" i="29" s="1"/>
  <c r="K23" i="29"/>
  <c r="G23" i="29" a="1"/>
  <c r="G23" i="29" s="1"/>
  <c r="M23" i="29" s="1"/>
  <c r="L22" i="29"/>
  <c r="H22" i="29"/>
  <c r="G22" i="29" s="1" a="1"/>
  <c r="G22" i="29" s="1"/>
  <c r="M22" i="29" s="1"/>
  <c r="K21" i="29"/>
  <c r="G21" i="29" a="1"/>
  <c r="G21" i="29" s="1"/>
  <c r="M21" i="29" s="1"/>
  <c r="M20" i="29"/>
  <c r="N20" i="29" s="1"/>
  <c r="J20" i="29"/>
  <c r="L20" i="29" s="1"/>
  <c r="H20" i="29"/>
  <c r="K20" i="29" s="1"/>
  <c r="G20" i="29"/>
  <c r="M19" i="29"/>
  <c r="N19" i="29" s="1"/>
  <c r="K18" i="29"/>
  <c r="K17" i="29"/>
  <c r="I17" i="29"/>
  <c r="I18" i="29" s="1"/>
  <c r="M18" i="29" s="1"/>
  <c r="N18" i="29" s="1"/>
  <c r="H17" i="29"/>
  <c r="H18" i="29" s="1"/>
  <c r="H19" i="29" s="1"/>
  <c r="K19" i="29" s="1"/>
  <c r="M16" i="29"/>
  <c r="N16" i="29" s="1"/>
  <c r="L16" i="29"/>
  <c r="K16" i="29"/>
  <c r="J16" i="29"/>
  <c r="G16" i="29"/>
  <c r="H15" i="29"/>
  <c r="L14" i="29"/>
  <c r="K14" i="29"/>
  <c r="L13" i="29"/>
  <c r="K13" i="29"/>
  <c r="I13" i="29"/>
  <c r="H13" i="29"/>
  <c r="G13" i="29"/>
  <c r="M13" i="29" s="1"/>
  <c r="N13" i="29" s="1"/>
  <c r="L12" i="29"/>
  <c r="L25" i="29" s="1"/>
  <c r="K12" i="29"/>
  <c r="I12" i="29"/>
  <c r="G12" i="29" s="1" a="1"/>
  <c r="G12" i="29" s="1"/>
  <c r="M12" i="29" s="1"/>
  <c r="O12" i="29" s="1"/>
  <c r="Q12" i="29" s="1"/>
  <c r="S12" i="29" s="1"/>
  <c r="L11" i="29"/>
  <c r="K11" i="29"/>
  <c r="I11" i="29"/>
  <c r="G11" i="29"/>
  <c r="M11" i="29" s="1"/>
  <c r="L10" i="29"/>
  <c r="K10" i="29"/>
  <c r="I10" i="29"/>
  <c r="H10" i="29"/>
  <c r="G10" i="29"/>
  <c r="F10" i="29"/>
  <c r="F11" i="29" s="1"/>
  <c r="F12" i="29" s="1"/>
  <c r="F13" i="29" s="1"/>
  <c r="F14" i="29" s="1"/>
  <c r="F15" i="29" s="1"/>
  <c r="F16" i="29" s="1"/>
  <c r="F17" i="29" s="1"/>
  <c r="K9" i="29"/>
  <c r="I9" i="29"/>
  <c r="H9" i="29"/>
  <c r="F9" i="29"/>
  <c r="I8" i="29"/>
  <c r="H8" i="29"/>
  <c r="F8" i="29"/>
  <c r="L7" i="29"/>
  <c r="K7" i="29"/>
  <c r="G7" i="29"/>
  <c r="M7" i="29" s="1"/>
  <c r="N7" i="29" s="1"/>
  <c r="B7" i="29"/>
  <c r="B8" i="29" s="1"/>
  <c r="B9" i="29" s="1"/>
  <c r="B10" i="29" s="1"/>
  <c r="B11" i="29" s="1"/>
  <c r="B12" i="29" s="1"/>
  <c r="B13" i="29" s="1"/>
  <c r="B14" i="29" s="1"/>
  <c r="B15" i="29" s="1"/>
  <c r="B16" i="29" s="1"/>
  <c r="B17" i="29" s="1"/>
  <c r="B18" i="29" s="1"/>
  <c r="B19" i="29" s="1"/>
  <c r="B20" i="29" s="1"/>
  <c r="B21" i="29" s="1"/>
  <c r="B22" i="29" s="1"/>
  <c r="B23" i="29" s="1"/>
  <c r="B24" i="29" s="1"/>
  <c r="B25" i="29" s="1"/>
  <c r="B26" i="29" s="1"/>
  <c r="B27" i="29" s="1"/>
  <c r="K161" i="29" l="1"/>
  <c r="M161" i="29"/>
  <c r="N161" i="29" s="1"/>
  <c r="G152" i="29"/>
  <c r="G159" i="29"/>
  <c r="M159" i="29" s="1"/>
  <c r="N159" i="29" s="1"/>
  <c r="P159" i="29" s="1"/>
  <c r="R159" i="29" s="1"/>
  <c r="T159" i="29" s="1"/>
  <c r="G76" i="20"/>
  <c r="R6" i="15"/>
  <c r="H81" i="20"/>
  <c r="R28" i="15"/>
  <c r="B8" i="15"/>
  <c r="H89" i="20"/>
  <c r="H78" i="20"/>
  <c r="H77" i="20"/>
  <c r="H80" i="20"/>
  <c r="H76" i="20"/>
  <c r="H79" i="20"/>
  <c r="H88" i="20"/>
  <c r="O473" i="29"/>
  <c r="Q473" i="29" s="1"/>
  <c r="S473" i="29" s="1"/>
  <c r="O33" i="15"/>
  <c r="Q33" i="15" s="1"/>
  <c r="S33" i="15" s="1"/>
  <c r="O32" i="15"/>
  <c r="Q32" i="15" s="1"/>
  <c r="S32" i="15" s="1"/>
  <c r="O31" i="15"/>
  <c r="Q31" i="15" s="1"/>
  <c r="S31" i="15" s="1"/>
  <c r="O30" i="15"/>
  <c r="Q30" i="15" s="1"/>
  <c r="S30" i="15" s="1"/>
  <c r="O29" i="15"/>
  <c r="Q29" i="15" s="1"/>
  <c r="S29" i="15" s="1"/>
  <c r="O28" i="15"/>
  <c r="O27" i="15"/>
  <c r="Q27" i="15" s="1"/>
  <c r="S27" i="15" s="1"/>
  <c r="O26" i="15"/>
  <c r="Q26" i="15" s="1"/>
  <c r="S26" i="15" s="1"/>
  <c r="O25" i="15"/>
  <c r="Q25" i="15" s="1"/>
  <c r="S25" i="15" s="1"/>
  <c r="O24" i="15"/>
  <c r="Q24" i="15" s="1"/>
  <c r="S24" i="15" s="1"/>
  <c r="O23" i="15"/>
  <c r="Q23" i="15" s="1"/>
  <c r="S23" i="15" s="1"/>
  <c r="O22" i="15"/>
  <c r="Q22" i="15" s="1"/>
  <c r="S22" i="15" s="1"/>
  <c r="O21" i="15"/>
  <c r="Q21" i="15" s="1"/>
  <c r="S21" i="15" s="1"/>
  <c r="O20" i="15"/>
  <c r="Q20" i="15" s="1"/>
  <c r="S20" i="15" s="1"/>
  <c r="I244" i="27"/>
  <c r="N18" i="15"/>
  <c r="P18" i="15" s="1"/>
  <c r="R18" i="15" s="1"/>
  <c r="T18" i="15" s="1"/>
  <c r="G86" i="20" s="1"/>
  <c r="H86" i="20" s="1"/>
  <c r="O18" i="15"/>
  <c r="Q18" i="15" s="1"/>
  <c r="S18" i="15" s="1"/>
  <c r="N16" i="15"/>
  <c r="P16" i="15" s="1"/>
  <c r="R16" i="15" s="1"/>
  <c r="T16" i="15" s="1"/>
  <c r="G84" i="20" s="1"/>
  <c r="H84" i="20" s="1"/>
  <c r="O16" i="15"/>
  <c r="Q16" i="15" s="1"/>
  <c r="S16" i="15" s="1"/>
  <c r="N14" i="15"/>
  <c r="P14" i="15" s="1"/>
  <c r="R14" i="15" s="1"/>
  <c r="T14" i="15" s="1"/>
  <c r="G82" i="20" s="1"/>
  <c r="H82" i="20" s="1"/>
  <c r="O14" i="15"/>
  <c r="Q14" i="15" s="1"/>
  <c r="S14" i="15" s="1"/>
  <c r="N19" i="15"/>
  <c r="P19" i="15" s="1"/>
  <c r="R19" i="15" s="1"/>
  <c r="T19" i="15" s="1"/>
  <c r="G87" i="20" s="1"/>
  <c r="H87" i="20" s="1"/>
  <c r="O19" i="15"/>
  <c r="Q19" i="15" s="1"/>
  <c r="S19" i="15" s="1"/>
  <c r="N17" i="15"/>
  <c r="P17" i="15" s="1"/>
  <c r="R17" i="15" s="1"/>
  <c r="T17" i="15" s="1"/>
  <c r="G85" i="20" s="1"/>
  <c r="H85" i="20" s="1"/>
  <c r="O17" i="15"/>
  <c r="Q17" i="15" s="1"/>
  <c r="S17" i="15" s="1"/>
  <c r="N15" i="15"/>
  <c r="P15" i="15" s="1"/>
  <c r="R15" i="15" s="1"/>
  <c r="T15" i="15" s="1"/>
  <c r="G83" i="20" s="1"/>
  <c r="H83" i="20" s="1"/>
  <c r="O15" i="15"/>
  <c r="Q15" i="15" s="1"/>
  <c r="S15" i="15" s="1"/>
  <c r="O13" i="15"/>
  <c r="Q13" i="15" s="1"/>
  <c r="S13" i="15" s="1"/>
  <c r="O12" i="15"/>
  <c r="Q12" i="15" s="1"/>
  <c r="S12" i="15" s="1"/>
  <c r="O11" i="15"/>
  <c r="Q11" i="15" s="1"/>
  <c r="S11" i="15" s="1"/>
  <c r="O10" i="15"/>
  <c r="Q10" i="15" s="1"/>
  <c r="S10" i="15" s="1"/>
  <c r="O9" i="15"/>
  <c r="Q9" i="15" s="1"/>
  <c r="S9" i="15" s="1"/>
  <c r="O6" i="15"/>
  <c r="P57" i="29"/>
  <c r="R57" i="29" s="1"/>
  <c r="T57" i="29" s="1"/>
  <c r="M50" i="29"/>
  <c r="N50" i="29" s="1"/>
  <c r="P50" i="29" s="1"/>
  <c r="R50" i="29" s="1"/>
  <c r="T50" i="29" s="1"/>
  <c r="O251" i="29"/>
  <c r="Q251" i="29" s="1"/>
  <c r="S251" i="29" s="1"/>
  <c r="P283" i="29"/>
  <c r="R283" i="29" s="1"/>
  <c r="T283" i="29" s="1"/>
  <c r="O440" i="29"/>
  <c r="Q440" i="29" s="1"/>
  <c r="S440" i="29" s="1"/>
  <c r="M604" i="29"/>
  <c r="N604" i="29" s="1"/>
  <c r="P604" i="29" s="1"/>
  <c r="R604" i="29" s="1"/>
  <c r="T604" i="29" s="1"/>
  <c r="O62" i="29"/>
  <c r="Q62" i="29" s="1"/>
  <c r="S62" i="29" s="1"/>
  <c r="O98" i="29"/>
  <c r="Q98" i="29" s="1"/>
  <c r="S98" i="29" s="1"/>
  <c r="O282" i="29"/>
  <c r="Q282" i="29" s="1"/>
  <c r="S282" i="29" s="1"/>
  <c r="P346" i="29"/>
  <c r="R346" i="29" s="1"/>
  <c r="T346" i="29" s="1"/>
  <c r="N415" i="29"/>
  <c r="P416" i="29"/>
  <c r="R416" i="29" s="1"/>
  <c r="T416" i="29" s="1"/>
  <c r="O654" i="29"/>
  <c r="Q654" i="29" s="1"/>
  <c r="S654" i="29" s="1"/>
  <c r="N545" i="29"/>
  <c r="P545" i="29" s="1"/>
  <c r="R545" i="29" s="1"/>
  <c r="T545" i="29" s="1"/>
  <c r="O545" i="29"/>
  <c r="Q545" i="29" s="1"/>
  <c r="S545" i="29" s="1"/>
  <c r="M112" i="29"/>
  <c r="N112" i="29" s="1"/>
  <c r="P112" i="29" s="1"/>
  <c r="R112" i="29" s="1"/>
  <c r="T112" i="29" s="1"/>
  <c r="O225" i="29"/>
  <c r="Q225" i="29" s="1"/>
  <c r="S225" i="29" s="1"/>
  <c r="O16" i="29"/>
  <c r="Q16" i="29" s="1"/>
  <c r="S16" i="29" s="1"/>
  <c r="O94" i="29"/>
  <c r="Q94" i="29" s="1"/>
  <c r="S94" i="29" s="1"/>
  <c r="O137" i="29"/>
  <c r="Q137" i="29" s="1"/>
  <c r="S137" i="29" s="1"/>
  <c r="O191" i="29"/>
  <c r="Q191" i="29" s="1"/>
  <c r="S191" i="29" s="1"/>
  <c r="M310" i="29"/>
  <c r="N310" i="29" s="1"/>
  <c r="P310" i="29" s="1"/>
  <c r="R310" i="29" s="1"/>
  <c r="T310" i="29" s="1"/>
  <c r="O351" i="29"/>
  <c r="Q351" i="29" s="1"/>
  <c r="S351" i="29" s="1"/>
  <c r="N507" i="29"/>
  <c r="P507" i="29" s="1"/>
  <c r="R507" i="29" s="1"/>
  <c r="O557" i="29"/>
  <c r="Q557" i="29" s="1"/>
  <c r="S557" i="29" s="1"/>
  <c r="P651" i="29"/>
  <c r="R651" i="29" s="1"/>
  <c r="T651" i="29" s="1"/>
  <c r="N683" i="29"/>
  <c r="P683" i="29" s="1"/>
  <c r="R683" i="29" s="1"/>
  <c r="T683" i="29" s="1"/>
  <c r="N309" i="29"/>
  <c r="P309" i="29" s="1"/>
  <c r="R309" i="29" s="1"/>
  <c r="N316" i="29"/>
  <c r="O340" i="29"/>
  <c r="Q340" i="29" s="1"/>
  <c r="S340" i="29" s="1"/>
  <c r="O437" i="29"/>
  <c r="Q437" i="29" s="1"/>
  <c r="S437" i="29" s="1"/>
  <c r="O560" i="29"/>
  <c r="Q560" i="29" s="1"/>
  <c r="S560" i="29" s="1"/>
  <c r="O313" i="29"/>
  <c r="Q313" i="29" s="1"/>
  <c r="S313" i="29" s="1"/>
  <c r="O367" i="29"/>
  <c r="Q367" i="29" s="1"/>
  <c r="S367" i="29" s="1"/>
  <c r="P428" i="29"/>
  <c r="R428" i="29" s="1"/>
  <c r="T428" i="29" s="1"/>
  <c r="O447" i="29"/>
  <c r="Q447" i="29" s="1"/>
  <c r="S447" i="29" s="1"/>
  <c r="O642" i="29"/>
  <c r="Q642" i="29" s="1"/>
  <c r="S642" i="29" s="1"/>
  <c r="P685" i="29"/>
  <c r="R685" i="29" s="1"/>
  <c r="T685" i="29" s="1"/>
  <c r="N69" i="29"/>
  <c r="O69" i="29"/>
  <c r="Q69" i="29" s="1"/>
  <c r="S69" i="29" s="1"/>
  <c r="N131" i="29"/>
  <c r="P131" i="29" s="1"/>
  <c r="R131" i="29" s="1"/>
  <c r="T131" i="29" s="1"/>
  <c r="O131" i="29"/>
  <c r="Q131" i="29" s="1"/>
  <c r="S131" i="29" s="1"/>
  <c r="N551" i="29"/>
  <c r="P551" i="29" s="1"/>
  <c r="R551" i="29" s="1"/>
  <c r="O551" i="29"/>
  <c r="Q551" i="29" s="1"/>
  <c r="S551" i="29" s="1"/>
  <c r="N242" i="29"/>
  <c r="P242" i="29" s="1"/>
  <c r="R242" i="29" s="1"/>
  <c r="T242" i="29" s="1"/>
  <c r="O242" i="29"/>
  <c r="Q242" i="29" s="1"/>
  <c r="S242" i="29" s="1"/>
  <c r="O357" i="29"/>
  <c r="Q357" i="29" s="1"/>
  <c r="S357" i="29" s="1"/>
  <c r="M10" i="29"/>
  <c r="N10" i="29" s="1"/>
  <c r="P10" i="29" s="1"/>
  <c r="R10" i="29" s="1"/>
  <c r="T10" i="29" s="1"/>
  <c r="O13" i="29"/>
  <c r="Q13" i="29" s="1"/>
  <c r="S13" i="29" s="1"/>
  <c r="P16" i="29"/>
  <c r="R16" i="29" s="1"/>
  <c r="T16" i="29" s="1"/>
  <c r="O31" i="29"/>
  <c r="Q31" i="29" s="1"/>
  <c r="S31" i="29" s="1"/>
  <c r="N75" i="29"/>
  <c r="P75" i="29" s="1"/>
  <c r="R75" i="29" s="1"/>
  <c r="T75" i="29" s="1"/>
  <c r="O85" i="29"/>
  <c r="Q85" i="29" s="1"/>
  <c r="S85" i="29" s="1"/>
  <c r="O109" i="29"/>
  <c r="Q109" i="29" s="1"/>
  <c r="S109" i="29" s="1"/>
  <c r="O140" i="29"/>
  <c r="Q140" i="29" s="1"/>
  <c r="S140" i="29" s="1"/>
  <c r="N147" i="29"/>
  <c r="P147" i="29" s="1"/>
  <c r="R147" i="29" s="1"/>
  <c r="T147" i="29" s="1"/>
  <c r="P195" i="29"/>
  <c r="R195" i="29" s="1"/>
  <c r="T195" i="29" s="1"/>
  <c r="O201" i="29"/>
  <c r="Q201" i="29" s="1"/>
  <c r="S201" i="29" s="1"/>
  <c r="O204" i="29"/>
  <c r="Q204" i="29" s="1"/>
  <c r="S204" i="29" s="1"/>
  <c r="O232" i="29"/>
  <c r="Q232" i="29" s="1"/>
  <c r="S232" i="29" s="1"/>
  <c r="O234" i="29"/>
  <c r="Q234" i="29" s="1"/>
  <c r="S234" i="29" s="1"/>
  <c r="M334" i="29"/>
  <c r="N334" i="29" s="1"/>
  <c r="P334" i="29" s="1"/>
  <c r="R334" i="29" s="1"/>
  <c r="T334" i="29" s="1"/>
  <c r="N500" i="29"/>
  <c r="P500" i="29" s="1"/>
  <c r="R500" i="29" s="1"/>
  <c r="T500" i="29" s="1"/>
  <c r="P636" i="29"/>
  <c r="R636" i="29" s="1"/>
  <c r="T636" i="29" s="1"/>
  <c r="O7" i="29"/>
  <c r="Q7" i="29" s="1"/>
  <c r="O38" i="29"/>
  <c r="Q38" i="29" s="1"/>
  <c r="S38" i="29" s="1"/>
  <c r="P62" i="29"/>
  <c r="R62" i="29" s="1"/>
  <c r="T62" i="29" s="1"/>
  <c r="O181" i="29"/>
  <c r="Q181" i="29" s="1"/>
  <c r="S181" i="29" s="1"/>
  <c r="P237" i="29"/>
  <c r="R237" i="29" s="1"/>
  <c r="T237" i="29" s="1"/>
  <c r="O293" i="29"/>
  <c r="Q293" i="29" s="1"/>
  <c r="S293" i="29" s="1"/>
  <c r="O317" i="29"/>
  <c r="Q317" i="29" s="1"/>
  <c r="S317" i="29" s="1"/>
  <c r="O337" i="29"/>
  <c r="Q337" i="29" s="1"/>
  <c r="S337" i="29" s="1"/>
  <c r="P340" i="29"/>
  <c r="R340" i="29" s="1"/>
  <c r="T340" i="29" s="1"/>
  <c r="P395" i="29"/>
  <c r="R395" i="29" s="1"/>
  <c r="T395" i="29" s="1"/>
  <c r="P440" i="29"/>
  <c r="R440" i="29" s="1"/>
  <c r="T440" i="29" s="1"/>
  <c r="N465" i="29"/>
  <c r="P465" i="29" s="1"/>
  <c r="R465" i="29" s="1"/>
  <c r="T465" i="29" s="1"/>
  <c r="O505" i="29"/>
  <c r="Q505" i="29" s="1"/>
  <c r="S505" i="29" s="1"/>
  <c r="N567" i="29"/>
  <c r="P567" i="29" s="1"/>
  <c r="R567" i="29" s="1"/>
  <c r="T567" i="29" s="1"/>
  <c r="M572" i="29"/>
  <c r="N572" i="29" s="1"/>
  <c r="P572" i="29" s="1"/>
  <c r="R572" i="29" s="1"/>
  <c r="T572" i="29" s="1"/>
  <c r="P599" i="29"/>
  <c r="R599" i="29" s="1"/>
  <c r="T599" i="29" s="1"/>
  <c r="O600" i="29"/>
  <c r="Q600" i="29" s="1"/>
  <c r="S600" i="29" s="1"/>
  <c r="O602" i="29"/>
  <c r="Q602" i="29" s="1"/>
  <c r="S602" i="29" s="1"/>
  <c r="P622" i="29"/>
  <c r="R622" i="29" s="1"/>
  <c r="T622" i="29" s="1"/>
  <c r="P623" i="29"/>
  <c r="R623" i="29" s="1"/>
  <c r="T623" i="29" s="1"/>
  <c r="N677" i="29"/>
  <c r="P677" i="29" s="1"/>
  <c r="R677" i="29" s="1"/>
  <c r="T677" i="29" s="1"/>
  <c r="M30" i="29"/>
  <c r="O30" i="29" s="1"/>
  <c r="Q30" i="29" s="1"/>
  <c r="S30" i="29" s="1"/>
  <c r="P54" i="29"/>
  <c r="R54" i="29" s="1"/>
  <c r="T54" i="29" s="1"/>
  <c r="P64" i="29"/>
  <c r="R64" i="29" s="1"/>
  <c r="T64" i="29" s="1"/>
  <c r="O195" i="29"/>
  <c r="Q195" i="29" s="1"/>
  <c r="S195" i="29" s="1"/>
  <c r="P213" i="29"/>
  <c r="R213" i="29" s="1"/>
  <c r="T213" i="29" s="1"/>
  <c r="P219" i="29"/>
  <c r="R219" i="29" s="1"/>
  <c r="T219" i="29" s="1"/>
  <c r="O248" i="29"/>
  <c r="Q248" i="29" s="1"/>
  <c r="S248" i="29" s="1"/>
  <c r="P296" i="29"/>
  <c r="R296" i="29" s="1"/>
  <c r="T296" i="29" s="1"/>
  <c r="O327" i="29"/>
  <c r="Q327" i="29" s="1"/>
  <c r="S327" i="29" s="1"/>
  <c r="N391" i="29"/>
  <c r="P391" i="29" s="1"/>
  <c r="R391" i="29" s="1"/>
  <c r="O487" i="29"/>
  <c r="Q487" i="29" s="1"/>
  <c r="S487" i="29" s="1"/>
  <c r="O477" i="29"/>
  <c r="Q477" i="29" s="1"/>
  <c r="S477" i="29" s="1"/>
  <c r="N531" i="29"/>
  <c r="P531" i="29" s="1"/>
  <c r="R531" i="29" s="1"/>
  <c r="P641" i="29"/>
  <c r="R641" i="29" s="1"/>
  <c r="T641" i="29" s="1"/>
  <c r="N678" i="29"/>
  <c r="P678" i="29" s="1"/>
  <c r="R678" i="29" s="1"/>
  <c r="T678" i="29" s="1"/>
  <c r="O684" i="29"/>
  <c r="Q684" i="29" s="1"/>
  <c r="S684" i="29" s="1"/>
  <c r="K175" i="29"/>
  <c r="P181" i="29"/>
  <c r="R181" i="29" s="1"/>
  <c r="T181" i="29" s="1"/>
  <c r="L179" i="29"/>
  <c r="P193" i="29"/>
  <c r="R193" i="29" s="1"/>
  <c r="T193" i="29" s="1"/>
  <c r="O193" i="29"/>
  <c r="Q193" i="29" s="1"/>
  <c r="S193" i="29" s="1"/>
  <c r="G176" i="29"/>
  <c r="M176" i="29" s="1"/>
  <c r="N176" i="29" s="1"/>
  <c r="P176" i="29" s="1"/>
  <c r="R176" i="29" s="1"/>
  <c r="T176" i="29" s="1"/>
  <c r="O177" i="29"/>
  <c r="Q177" i="29" s="1"/>
  <c r="S177" i="29" s="1"/>
  <c r="I180" i="29"/>
  <c r="G180" i="29" s="1" a="1"/>
  <c r="G180" i="29" s="1"/>
  <c r="M180" i="29" s="1"/>
  <c r="O180" i="29" s="1"/>
  <c r="Q180" i="29" s="1"/>
  <c r="S180" i="29" s="1"/>
  <c r="O173" i="29"/>
  <c r="Q173" i="29" s="1"/>
  <c r="S173" i="29" s="1"/>
  <c r="L175" i="29"/>
  <c r="P175" i="29" s="1"/>
  <c r="R175" i="29" s="1"/>
  <c r="T175" i="29" s="1"/>
  <c r="P177" i="29"/>
  <c r="R177" i="29" s="1"/>
  <c r="T177" i="29" s="1"/>
  <c r="P156" i="29"/>
  <c r="R156" i="29" s="1"/>
  <c r="T156" i="29" s="1"/>
  <c r="O151" i="29"/>
  <c r="Q151" i="29" s="1"/>
  <c r="S151" i="29" s="1"/>
  <c r="K162" i="29"/>
  <c r="M152" i="29"/>
  <c r="N152" i="29" s="1"/>
  <c r="G153" i="29"/>
  <c r="M153" i="29" s="1"/>
  <c r="N153" i="29" s="1"/>
  <c r="P153" i="29" s="1"/>
  <c r="R153" i="29" s="1"/>
  <c r="T153" i="29" s="1"/>
  <c r="I158" i="29"/>
  <c r="G158" i="29" s="1" a="1"/>
  <c r="G158" i="29" s="1"/>
  <c r="M158" i="29" s="1"/>
  <c r="N158" i="29" s="1"/>
  <c r="P158" i="29" s="1"/>
  <c r="R158" i="29" s="1"/>
  <c r="T158" i="29" s="1"/>
  <c r="K163" i="29"/>
  <c r="O22" i="29"/>
  <c r="Q22" i="29" s="1"/>
  <c r="S22" i="29" s="1"/>
  <c r="N22" i="29"/>
  <c r="P22" i="29" s="1"/>
  <c r="R22" i="29" s="1"/>
  <c r="T22" i="29" s="1"/>
  <c r="F120" i="29"/>
  <c r="G119" i="29"/>
  <c r="J119" i="29" s="1"/>
  <c r="L119" i="29" s="1"/>
  <c r="O11" i="29"/>
  <c r="Q11" i="29" s="1"/>
  <c r="S11" i="29" s="1"/>
  <c r="N11" i="29"/>
  <c r="P11" i="29" s="1"/>
  <c r="R11" i="29" s="1"/>
  <c r="T11" i="29" s="1"/>
  <c r="G59" i="29"/>
  <c r="J59" i="29" s="1"/>
  <c r="L59" i="29" s="1"/>
  <c r="F60" i="29"/>
  <c r="O36" i="29"/>
  <c r="Q36" i="29" s="1"/>
  <c r="S36" i="29" s="1"/>
  <c r="N36" i="29"/>
  <c r="P36" i="29" s="1"/>
  <c r="R36" i="29" s="1"/>
  <c r="T36" i="29" s="1"/>
  <c r="T109" i="29"/>
  <c r="F142" i="29"/>
  <c r="G141" i="29"/>
  <c r="J141" i="29" s="1"/>
  <c r="L141" i="29" s="1"/>
  <c r="G161" i="29"/>
  <c r="J161" i="29" s="1"/>
  <c r="L161" i="29" s="1"/>
  <c r="F162" i="29"/>
  <c r="N155" i="29"/>
  <c r="P155" i="29" s="1"/>
  <c r="R155" i="29" s="1"/>
  <c r="T155" i="29" s="1"/>
  <c r="O155" i="29"/>
  <c r="Q155" i="29" s="1"/>
  <c r="S155" i="29" s="1"/>
  <c r="O171" i="29"/>
  <c r="Q171" i="29" s="1"/>
  <c r="S171" i="29" s="1"/>
  <c r="P171" i="29"/>
  <c r="R171" i="29" s="1"/>
  <c r="T171" i="29" s="1"/>
  <c r="F18" i="29"/>
  <c r="G17" i="29"/>
  <c r="J17" i="29" s="1"/>
  <c r="L17" i="29" s="1"/>
  <c r="G183" i="29"/>
  <c r="J183" i="29" s="1"/>
  <c r="L183" i="29" s="1"/>
  <c r="F184" i="29"/>
  <c r="O74" i="29"/>
  <c r="Q74" i="29" s="1"/>
  <c r="S74" i="29" s="1"/>
  <c r="N74" i="29"/>
  <c r="P74" i="29" s="1"/>
  <c r="R74" i="29" s="1"/>
  <c r="T74" i="29" s="1"/>
  <c r="O29" i="29"/>
  <c r="Q29" i="29" s="1"/>
  <c r="S29" i="29" s="1"/>
  <c r="N29" i="29"/>
  <c r="P29" i="29" s="1"/>
  <c r="R29" i="29" s="1"/>
  <c r="O82" i="29"/>
  <c r="Q82" i="29" s="1"/>
  <c r="S82" i="29" s="1"/>
  <c r="P82" i="29"/>
  <c r="R82" i="29" s="1"/>
  <c r="T82" i="29" s="1"/>
  <c r="L90" i="29"/>
  <c r="G90" i="29"/>
  <c r="M90" i="29" s="1"/>
  <c r="N90" i="29" s="1"/>
  <c r="K90" i="29"/>
  <c r="P107" i="29"/>
  <c r="R107" i="29" s="1"/>
  <c r="T107" i="29" s="1"/>
  <c r="O107" i="29"/>
  <c r="Q107" i="29" s="1"/>
  <c r="S107" i="29" s="1"/>
  <c r="N118" i="29"/>
  <c r="P118" i="29" s="1"/>
  <c r="R118" i="29" s="1"/>
  <c r="T118" i="29" s="1"/>
  <c r="O118" i="29"/>
  <c r="Q118" i="29" s="1"/>
  <c r="S118" i="29" s="1"/>
  <c r="O139" i="29"/>
  <c r="Q139" i="29" s="1"/>
  <c r="S139" i="29" s="1"/>
  <c r="P139" i="29"/>
  <c r="R139" i="29" s="1"/>
  <c r="T139" i="29" s="1"/>
  <c r="P146" i="29"/>
  <c r="R146" i="29" s="1"/>
  <c r="T146" i="29" s="1"/>
  <c r="O146" i="29"/>
  <c r="Q146" i="29" s="1"/>
  <c r="S146" i="29" s="1"/>
  <c r="O175" i="29"/>
  <c r="Q175" i="29" s="1"/>
  <c r="S175" i="29" s="1"/>
  <c r="N247" i="29"/>
  <c r="P247" i="29" s="1"/>
  <c r="R247" i="29" s="1"/>
  <c r="T247" i="29" s="1"/>
  <c r="O247" i="29"/>
  <c r="Q247" i="29" s="1"/>
  <c r="S247" i="29" s="1"/>
  <c r="P58" i="29"/>
  <c r="R58" i="29" s="1"/>
  <c r="T58" i="29" s="1"/>
  <c r="O58" i="29"/>
  <c r="Q58" i="29" s="1"/>
  <c r="S58" i="29" s="1"/>
  <c r="O64" i="29"/>
  <c r="Q64" i="29" s="1"/>
  <c r="S64" i="29" s="1"/>
  <c r="M72" i="29"/>
  <c r="M80" i="29"/>
  <c r="N80" i="29" s="1"/>
  <c r="N83" i="29"/>
  <c r="P83" i="29" s="1"/>
  <c r="R83" i="29" s="1"/>
  <c r="T83" i="29" s="1"/>
  <c r="O83" i="29"/>
  <c r="Q83" i="29" s="1"/>
  <c r="S83" i="29" s="1"/>
  <c r="N93" i="29"/>
  <c r="P93" i="29" s="1"/>
  <c r="R93" i="29" s="1"/>
  <c r="T93" i="29" s="1"/>
  <c r="P106" i="29"/>
  <c r="R106" i="29" s="1"/>
  <c r="T106" i="29" s="1"/>
  <c r="O106" i="29"/>
  <c r="Q106" i="29" s="1"/>
  <c r="S106" i="29" s="1"/>
  <c r="I101" i="29"/>
  <c r="M101" i="29" s="1"/>
  <c r="N101" i="29" s="1"/>
  <c r="M100" i="29"/>
  <c r="N100" i="29" s="1"/>
  <c r="K101" i="29"/>
  <c r="N103" i="29"/>
  <c r="P103" i="29" s="1"/>
  <c r="R103" i="29" s="1"/>
  <c r="T103" i="29" s="1"/>
  <c r="O103" i="29"/>
  <c r="Q103" i="29" s="1"/>
  <c r="S103" i="29" s="1"/>
  <c r="O105" i="29"/>
  <c r="Q105" i="29" s="1"/>
  <c r="S105" i="29" s="1"/>
  <c r="P105" i="29"/>
  <c r="R105" i="29" s="1"/>
  <c r="P128" i="29"/>
  <c r="R128" i="29" s="1"/>
  <c r="T128" i="29" s="1"/>
  <c r="O128" i="29"/>
  <c r="Q128" i="29" s="1"/>
  <c r="S128" i="29" s="1"/>
  <c r="L129" i="29"/>
  <c r="L117" i="29"/>
  <c r="O116" i="29"/>
  <c r="Q116" i="29" s="1"/>
  <c r="S116" i="29" s="1"/>
  <c r="P116" i="29"/>
  <c r="R116" i="29" s="1"/>
  <c r="T116" i="29" s="1"/>
  <c r="O136" i="29"/>
  <c r="Q136" i="29" s="1"/>
  <c r="S136" i="29" s="1"/>
  <c r="L149" i="29"/>
  <c r="O148" i="29"/>
  <c r="Q148" i="29" s="1"/>
  <c r="S148" i="29" s="1"/>
  <c r="P148" i="29"/>
  <c r="R148" i="29" s="1"/>
  <c r="T148" i="29" s="1"/>
  <c r="T151" i="29"/>
  <c r="I163" i="29"/>
  <c r="M162" i="29"/>
  <c r="N162" i="29" s="1"/>
  <c r="O182" i="29"/>
  <c r="Q182" i="29" s="1"/>
  <c r="S182" i="29" s="1"/>
  <c r="P182" i="29"/>
  <c r="R182" i="29" s="1"/>
  <c r="T182" i="29" s="1"/>
  <c r="N188" i="29"/>
  <c r="P188" i="29" s="1"/>
  <c r="R188" i="29" s="1"/>
  <c r="T188" i="29" s="1"/>
  <c r="O188" i="29"/>
  <c r="Q188" i="29" s="1"/>
  <c r="S188" i="29" s="1"/>
  <c r="F206" i="29"/>
  <c r="G205" i="29"/>
  <c r="J205" i="29" s="1"/>
  <c r="L205" i="29" s="1"/>
  <c r="N200" i="29"/>
  <c r="P200" i="29" s="1"/>
  <c r="R200" i="29" s="1"/>
  <c r="T200" i="29" s="1"/>
  <c r="O200" i="29"/>
  <c r="Q200" i="29" s="1"/>
  <c r="S200" i="29" s="1"/>
  <c r="P201" i="29"/>
  <c r="R201" i="29" s="1"/>
  <c r="T201" i="29" s="1"/>
  <c r="H208" i="29"/>
  <c r="H207" i="29"/>
  <c r="K207" i="29" s="1"/>
  <c r="K206" i="29"/>
  <c r="O210" i="29"/>
  <c r="Q210" i="29" s="1"/>
  <c r="S210" i="29" s="1"/>
  <c r="N210" i="29"/>
  <c r="P210" i="29" s="1"/>
  <c r="R210" i="29" s="1"/>
  <c r="T210" i="29" s="1"/>
  <c r="F275" i="29"/>
  <c r="G274" i="29"/>
  <c r="J274" i="29" s="1"/>
  <c r="L274" i="29" s="1"/>
  <c r="B282" i="29"/>
  <c r="B283" i="29"/>
  <c r="B284" i="29" s="1"/>
  <c r="B285" i="29" s="1"/>
  <c r="O23" i="29"/>
  <c r="Q23" i="29" s="1"/>
  <c r="S23" i="29" s="1"/>
  <c r="N23" i="29"/>
  <c r="P23" i="29" s="1"/>
  <c r="R23" i="29" s="1"/>
  <c r="T23" i="29" s="1"/>
  <c r="N30" i="29"/>
  <c r="P30" i="29" s="1"/>
  <c r="R30" i="29" s="1"/>
  <c r="T30" i="29" s="1"/>
  <c r="G44" i="29" a="1"/>
  <c r="G44" i="29" s="1"/>
  <c r="M44" i="29" s="1"/>
  <c r="K44" i="29"/>
  <c r="G166" i="29" a="1"/>
  <c r="G166" i="29" s="1"/>
  <c r="M166" i="29" s="1"/>
  <c r="K166" i="29"/>
  <c r="N233" i="29"/>
  <c r="P233" i="29" s="1"/>
  <c r="R233" i="29" s="1"/>
  <c r="T233" i="29" s="1"/>
  <c r="O233" i="29"/>
  <c r="Q233" i="29" s="1"/>
  <c r="S233" i="29" s="1"/>
  <c r="P45" i="29"/>
  <c r="R45" i="29" s="1"/>
  <c r="O45" i="29"/>
  <c r="Q45" i="29" s="1"/>
  <c r="S45" i="29" s="1"/>
  <c r="H40" i="29"/>
  <c r="O43" i="29"/>
  <c r="Q43" i="29" s="1"/>
  <c r="S43" i="29" s="1"/>
  <c r="N43" i="29"/>
  <c r="P43" i="29" s="1"/>
  <c r="R43" i="29" s="1"/>
  <c r="T43" i="29" s="1"/>
  <c r="L8" i="29"/>
  <c r="G8" i="29"/>
  <c r="M8" i="29" s="1"/>
  <c r="N8" i="29" s="1"/>
  <c r="K8" i="29"/>
  <c r="P25" i="29"/>
  <c r="R25" i="29" s="1"/>
  <c r="O25" i="29"/>
  <c r="Q25" i="29" s="1"/>
  <c r="S25" i="29" s="1"/>
  <c r="P13" i="29"/>
  <c r="R13" i="29" s="1"/>
  <c r="T13" i="29" s="1"/>
  <c r="G15" i="29"/>
  <c r="M15" i="29" s="1"/>
  <c r="N15" i="29" s="1"/>
  <c r="K15" i="29"/>
  <c r="P20" i="29"/>
  <c r="R20" i="29" s="1"/>
  <c r="T20" i="29" s="1"/>
  <c r="O20" i="29"/>
  <c r="Q20" i="29" s="1"/>
  <c r="S20" i="29" s="1"/>
  <c r="O21" i="29"/>
  <c r="Q21" i="29" s="1"/>
  <c r="S21" i="29" s="1"/>
  <c r="N21" i="29"/>
  <c r="P21" i="29" s="1"/>
  <c r="R21" i="29" s="1"/>
  <c r="T21" i="29" s="1"/>
  <c r="O34" i="29"/>
  <c r="Q34" i="29" s="1"/>
  <c r="S34" i="29" s="1"/>
  <c r="N37" i="29"/>
  <c r="P37" i="29" s="1"/>
  <c r="R37" i="29" s="1"/>
  <c r="T37" i="29" s="1"/>
  <c r="P38" i="29"/>
  <c r="R38" i="29" s="1"/>
  <c r="T38" i="29" s="1"/>
  <c r="P42" i="29"/>
  <c r="R42" i="29" s="1"/>
  <c r="T42" i="29" s="1"/>
  <c r="O42" i="29"/>
  <c r="Q42" i="29" s="1"/>
  <c r="S42" i="29" s="1"/>
  <c r="L47" i="29"/>
  <c r="O46" i="29"/>
  <c r="Q46" i="29" s="1"/>
  <c r="S46" i="29" s="1"/>
  <c r="N49" i="29"/>
  <c r="P49" i="29" s="1"/>
  <c r="R49" i="29" s="1"/>
  <c r="O50" i="29"/>
  <c r="Q50" i="29" s="1"/>
  <c r="S50" i="29" s="1"/>
  <c r="L52" i="29"/>
  <c r="G52" i="29"/>
  <c r="M52" i="29" s="1"/>
  <c r="N52" i="29" s="1"/>
  <c r="K52" i="29"/>
  <c r="L66" i="29"/>
  <c r="O57" i="29"/>
  <c r="Q57" i="29" s="1"/>
  <c r="S57" i="29" s="1"/>
  <c r="H61" i="29"/>
  <c r="K60" i="29"/>
  <c r="N63" i="29"/>
  <c r="P63" i="29" s="1"/>
  <c r="R63" i="29" s="1"/>
  <c r="T63" i="29" s="1"/>
  <c r="T89" i="29"/>
  <c r="L92" i="29"/>
  <c r="G92" i="29"/>
  <c r="M92" i="29" s="1"/>
  <c r="N92" i="29" s="1"/>
  <c r="K92" i="29"/>
  <c r="K100" i="29"/>
  <c r="O102" i="29"/>
  <c r="Q102" i="29" s="1"/>
  <c r="S102" i="29" s="1"/>
  <c r="P102" i="29"/>
  <c r="R102" i="29" s="1"/>
  <c r="T102" i="29" s="1"/>
  <c r="O113" i="29"/>
  <c r="Q113" i="29" s="1"/>
  <c r="S113" i="29" s="1"/>
  <c r="N113" i="29"/>
  <c r="P113" i="29" s="1"/>
  <c r="R113" i="29" s="1"/>
  <c r="T113" i="29" s="1"/>
  <c r="H120" i="29"/>
  <c r="M121" i="29"/>
  <c r="N121" i="29" s="1"/>
  <c r="O123" i="29"/>
  <c r="Q123" i="29" s="1"/>
  <c r="S123" i="29" s="1"/>
  <c r="O125" i="29"/>
  <c r="Q125" i="29" s="1"/>
  <c r="S125" i="29" s="1"/>
  <c r="N125" i="29"/>
  <c r="P125" i="29" s="1"/>
  <c r="R125" i="29" s="1"/>
  <c r="T125" i="29" s="1"/>
  <c r="K132" i="29"/>
  <c r="G132" i="29"/>
  <c r="M132" i="29" s="1"/>
  <c r="N132" i="29" s="1"/>
  <c r="L132" i="29"/>
  <c r="O145" i="29"/>
  <c r="Q145" i="29" s="1"/>
  <c r="S145" i="29" s="1"/>
  <c r="N145" i="29"/>
  <c r="P145" i="29" s="1"/>
  <c r="R145" i="29" s="1"/>
  <c r="T145" i="29" s="1"/>
  <c r="N165" i="29"/>
  <c r="P165" i="29" s="1"/>
  <c r="R165" i="29" s="1"/>
  <c r="T165" i="29" s="1"/>
  <c r="N178" i="29"/>
  <c r="P178" i="29" s="1"/>
  <c r="R178" i="29" s="1"/>
  <c r="T178" i="29" s="1"/>
  <c r="O178" i="29"/>
  <c r="Q178" i="29" s="1"/>
  <c r="S178" i="29" s="1"/>
  <c r="O238" i="29"/>
  <c r="Q238" i="29" s="1"/>
  <c r="S238" i="29" s="1"/>
  <c r="P238" i="29"/>
  <c r="R238" i="29" s="1"/>
  <c r="N224" i="29"/>
  <c r="P224" i="29" s="1"/>
  <c r="R224" i="29" s="1"/>
  <c r="T224" i="29" s="1"/>
  <c r="O224" i="29"/>
  <c r="Q224" i="29" s="1"/>
  <c r="S224" i="29" s="1"/>
  <c r="P225" i="29"/>
  <c r="R225" i="29" s="1"/>
  <c r="T225" i="29" s="1"/>
  <c r="I229" i="29"/>
  <c r="M228" i="29"/>
  <c r="N228" i="29" s="1"/>
  <c r="O335" i="29"/>
  <c r="Q335" i="29" s="1"/>
  <c r="S335" i="29" s="1"/>
  <c r="N335" i="29"/>
  <c r="P335" i="29" s="1"/>
  <c r="R335" i="29" s="1"/>
  <c r="T335" i="29" s="1"/>
  <c r="G39" i="29"/>
  <c r="J39" i="29" s="1"/>
  <c r="L39" i="29" s="1"/>
  <c r="F40" i="29"/>
  <c r="L55" i="29"/>
  <c r="O54" i="29"/>
  <c r="Q54" i="29" s="1"/>
  <c r="S54" i="29" s="1"/>
  <c r="L65" i="29"/>
  <c r="F80" i="29"/>
  <c r="G79" i="29"/>
  <c r="J79" i="29" s="1"/>
  <c r="L79" i="29" s="1"/>
  <c r="H80" i="29"/>
  <c r="F100" i="29"/>
  <c r="G99" i="29"/>
  <c r="J99" i="29" s="1"/>
  <c r="L99" i="29" s="1"/>
  <c r="P115" i="29"/>
  <c r="R115" i="29" s="1"/>
  <c r="T115" i="29" s="1"/>
  <c r="O115" i="29"/>
  <c r="Q115" i="29" s="1"/>
  <c r="S115" i="29" s="1"/>
  <c r="O124" i="29"/>
  <c r="Q124" i="29" s="1"/>
  <c r="S124" i="29" s="1"/>
  <c r="I138" i="29"/>
  <c r="G138" i="29" s="1" a="1"/>
  <c r="G138" i="29" s="1"/>
  <c r="M138" i="29" s="1"/>
  <c r="N138" i="29" s="1"/>
  <c r="P138" i="29" s="1"/>
  <c r="R138" i="29" s="1"/>
  <c r="T138" i="29" s="1"/>
  <c r="I139" i="29"/>
  <c r="G361" i="29"/>
  <c r="J361" i="29" s="1"/>
  <c r="L361" i="29" s="1"/>
  <c r="F362" i="29"/>
  <c r="G9" i="29"/>
  <c r="M9" i="29" s="1"/>
  <c r="N9" i="29" s="1"/>
  <c r="I14" i="29"/>
  <c r="G14" i="29" s="1" a="1"/>
  <c r="G14" i="29" s="1"/>
  <c r="M14" i="29" s="1"/>
  <c r="N14" i="29" s="1"/>
  <c r="P14" i="29" s="1"/>
  <c r="R14" i="29" s="1"/>
  <c r="T14" i="29" s="1"/>
  <c r="I15" i="29"/>
  <c r="P7" i="29"/>
  <c r="N12" i="29"/>
  <c r="P12" i="29" s="1"/>
  <c r="R12" i="29" s="1"/>
  <c r="T12" i="29" s="1"/>
  <c r="L15" i="29"/>
  <c r="L9" i="29"/>
  <c r="L26" i="29"/>
  <c r="P31" i="29"/>
  <c r="R31" i="29" s="1"/>
  <c r="T31" i="29" s="1"/>
  <c r="N33" i="29"/>
  <c r="P33" i="29" s="1"/>
  <c r="R33" i="29" s="1"/>
  <c r="T33" i="29" s="1"/>
  <c r="O35" i="29"/>
  <c r="Q35" i="29" s="1"/>
  <c r="S35" i="29" s="1"/>
  <c r="L51" i="29"/>
  <c r="O53" i="29"/>
  <c r="Q53" i="29" s="1"/>
  <c r="S53" i="29" s="1"/>
  <c r="G55" i="29"/>
  <c r="M55" i="29" s="1"/>
  <c r="N55" i="29" s="1"/>
  <c r="K55" i="29"/>
  <c r="N56" i="29"/>
  <c r="P56" i="29" s="1"/>
  <c r="R56" i="29" s="1"/>
  <c r="T56" i="29" s="1"/>
  <c r="P69" i="29"/>
  <c r="R69" i="29" s="1"/>
  <c r="G71" i="29"/>
  <c r="M71" i="29" s="1"/>
  <c r="N71" i="29" s="1"/>
  <c r="P71" i="29" s="1"/>
  <c r="R71" i="29" s="1"/>
  <c r="T71" i="29" s="1"/>
  <c r="K71" i="29"/>
  <c r="O73" i="29"/>
  <c r="Q73" i="29" s="1"/>
  <c r="S73" i="29" s="1"/>
  <c r="L86" i="29"/>
  <c r="O76" i="29"/>
  <c r="Q76" i="29" s="1"/>
  <c r="S76" i="29" s="1"/>
  <c r="O77" i="29"/>
  <c r="Q77" i="29" s="1"/>
  <c r="S77" i="29" s="1"/>
  <c r="P78" i="29"/>
  <c r="R78" i="29" s="1"/>
  <c r="T78" i="29" s="1"/>
  <c r="O78" i="29"/>
  <c r="Q78" i="29" s="1"/>
  <c r="S78" i="29" s="1"/>
  <c r="O84" i="29"/>
  <c r="Q84" i="29" s="1"/>
  <c r="S84" i="29" s="1"/>
  <c r="P84" i="29"/>
  <c r="R84" i="29" s="1"/>
  <c r="T84" i="29" s="1"/>
  <c r="P114" i="29"/>
  <c r="R114" i="29" s="1"/>
  <c r="T114" i="29" s="1"/>
  <c r="O114" i="29"/>
  <c r="Q114" i="29" s="1"/>
  <c r="S114" i="29" s="1"/>
  <c r="L111" i="29"/>
  <c r="L127" i="29"/>
  <c r="G122" i="29"/>
  <c r="M122" i="29"/>
  <c r="N122" i="29" s="1"/>
  <c r="P122" i="29" s="1"/>
  <c r="R122" i="29" s="1"/>
  <c r="T122" i="29" s="1"/>
  <c r="M120" i="29"/>
  <c r="N120" i="29" s="1"/>
  <c r="H143" i="29"/>
  <c r="K142" i="29"/>
  <c r="G157" i="29"/>
  <c r="M157" i="29" s="1"/>
  <c r="N157" i="29" s="1"/>
  <c r="K157" i="29"/>
  <c r="P170" i="29"/>
  <c r="R170" i="29" s="1"/>
  <c r="T170" i="29" s="1"/>
  <c r="O170" i="29"/>
  <c r="Q170" i="29" s="1"/>
  <c r="S170" i="29" s="1"/>
  <c r="O189" i="29"/>
  <c r="Q189" i="29" s="1"/>
  <c r="S189" i="29" s="1"/>
  <c r="N189" i="29"/>
  <c r="P189" i="29" s="1"/>
  <c r="R189" i="29" s="1"/>
  <c r="T189" i="29" s="1"/>
  <c r="O211" i="29"/>
  <c r="Q211" i="29" s="1"/>
  <c r="S211" i="29" s="1"/>
  <c r="N211" i="29"/>
  <c r="P211" i="29" s="1"/>
  <c r="R211" i="29" s="1"/>
  <c r="T211" i="29" s="1"/>
  <c r="G227" i="29"/>
  <c r="J227" i="29" s="1"/>
  <c r="L227" i="29" s="1"/>
  <c r="F228" i="29"/>
  <c r="N222" i="29"/>
  <c r="P222" i="29" s="1"/>
  <c r="R222" i="29" s="1"/>
  <c r="T222" i="29" s="1"/>
  <c r="O222" i="29"/>
  <c r="Q222" i="29" s="1"/>
  <c r="S222" i="29" s="1"/>
  <c r="G252" i="29"/>
  <c r="J252" i="29" s="1"/>
  <c r="L252" i="29" s="1"/>
  <c r="F253" i="29"/>
  <c r="I277" i="29"/>
  <c r="M276" i="29"/>
  <c r="N276" i="29" s="1"/>
  <c r="G276" i="29"/>
  <c r="I184" i="29"/>
  <c r="P204" i="29"/>
  <c r="R204" i="29" s="1"/>
  <c r="T204" i="29" s="1"/>
  <c r="O221" i="29"/>
  <c r="Q221" i="29" s="1"/>
  <c r="S221" i="29" s="1"/>
  <c r="I249" i="29"/>
  <c r="G249" i="29" s="1" a="1"/>
  <c r="G249" i="29" s="1"/>
  <c r="M249" i="29" s="1"/>
  <c r="N249" i="29" s="1"/>
  <c r="P249" i="29" s="1"/>
  <c r="R249" i="29" s="1"/>
  <c r="T249" i="29" s="1"/>
  <c r="I250" i="29"/>
  <c r="H255" i="29"/>
  <c r="H254" i="29"/>
  <c r="K254" i="29" s="1"/>
  <c r="O199" i="29"/>
  <c r="Q199" i="29" s="1"/>
  <c r="S199" i="29" s="1"/>
  <c r="G203" i="29"/>
  <c r="M203" i="29" s="1"/>
  <c r="N203" i="29" s="1"/>
  <c r="P203" i="29" s="1"/>
  <c r="R203" i="29" s="1"/>
  <c r="T203" i="29" s="1"/>
  <c r="K205" i="29"/>
  <c r="N217" i="29"/>
  <c r="P217" i="29" s="1"/>
  <c r="R217" i="29" s="1"/>
  <c r="M218" i="29"/>
  <c r="N218" i="29" s="1"/>
  <c r="P218" i="29" s="1"/>
  <c r="R218" i="29" s="1"/>
  <c r="T218" i="29" s="1"/>
  <c r="P221" i="29"/>
  <c r="R221" i="29" s="1"/>
  <c r="T221" i="29" s="1"/>
  <c r="L223" i="29"/>
  <c r="O226" i="29"/>
  <c r="Q226" i="29" s="1"/>
  <c r="S226" i="29" s="1"/>
  <c r="O246" i="29"/>
  <c r="Q246" i="29" s="1"/>
  <c r="S246" i="29" s="1"/>
  <c r="L261" i="29"/>
  <c r="J278" i="29"/>
  <c r="L278" i="29" s="1"/>
  <c r="J273" i="29"/>
  <c r="L268" i="29"/>
  <c r="O269" i="29"/>
  <c r="Q269" i="29" s="1"/>
  <c r="S269" i="29" s="1"/>
  <c r="I271" i="29"/>
  <c r="G271" i="29" s="1" a="1"/>
  <c r="G271" i="29" s="1"/>
  <c r="M271" i="29" s="1"/>
  <c r="N271" i="29" s="1"/>
  <c r="P271" i="29" s="1"/>
  <c r="R271" i="29" s="1"/>
  <c r="T271" i="29" s="1"/>
  <c r="H275" i="29"/>
  <c r="O283" i="29"/>
  <c r="Q283" i="29" s="1"/>
  <c r="S283" i="29" s="1"/>
  <c r="P287" i="29"/>
  <c r="R287" i="29" s="1"/>
  <c r="O287" i="29"/>
  <c r="Q287" i="29" s="1"/>
  <c r="S287" i="29" s="1"/>
  <c r="L288" i="29"/>
  <c r="M290" i="29"/>
  <c r="N290" i="29" s="1"/>
  <c r="P293" i="29"/>
  <c r="R293" i="29" s="1"/>
  <c r="T293" i="29" s="1"/>
  <c r="O296" i="29"/>
  <c r="Q296" i="29" s="1"/>
  <c r="S296" i="29" s="1"/>
  <c r="G298" i="29"/>
  <c r="J298" i="29" s="1"/>
  <c r="L298" i="29" s="1"/>
  <c r="G300" i="29"/>
  <c r="J300" i="29" s="1"/>
  <c r="L300" i="29" s="1"/>
  <c r="O331" i="29"/>
  <c r="Q331" i="29" s="1"/>
  <c r="S331" i="29" s="1"/>
  <c r="P331" i="29"/>
  <c r="R331" i="29" s="1"/>
  <c r="I338" i="29"/>
  <c r="G338" i="29" s="1" a="1"/>
  <c r="G338" i="29" s="1"/>
  <c r="M338" i="29" s="1"/>
  <c r="N338" i="29" s="1"/>
  <c r="P338" i="29" s="1"/>
  <c r="R338" i="29" s="1"/>
  <c r="T338" i="29" s="1"/>
  <c r="G333" i="29"/>
  <c r="M333" i="29" s="1"/>
  <c r="N333" i="29" s="1"/>
  <c r="I339" i="29"/>
  <c r="F343" i="29"/>
  <c r="G342" i="29"/>
  <c r="J342" i="29" s="1"/>
  <c r="L342" i="29" s="1"/>
  <c r="I378" i="29"/>
  <c r="G378" i="29" s="1" a="1"/>
  <c r="G378" i="29" s="1"/>
  <c r="M378" i="29" s="1"/>
  <c r="N378" i="29" s="1"/>
  <c r="P378" i="29" s="1"/>
  <c r="R378" i="29" s="1"/>
  <c r="T378" i="29" s="1"/>
  <c r="I379" i="29"/>
  <c r="G386" i="29" a="1"/>
  <c r="G386" i="29" s="1"/>
  <c r="M386" i="29" s="1"/>
  <c r="K386" i="29"/>
  <c r="I459" i="29"/>
  <c r="I458" i="29"/>
  <c r="G458" i="29" s="1" a="1"/>
  <c r="G458" i="29" s="1"/>
  <c r="M458" i="29" s="1"/>
  <c r="N458" i="29" s="1"/>
  <c r="P458" i="29" s="1"/>
  <c r="R458" i="29" s="1"/>
  <c r="T458" i="29" s="1"/>
  <c r="G453" i="29"/>
  <c r="M453" i="29" s="1"/>
  <c r="N453" i="29" s="1"/>
  <c r="P453" i="29" s="1"/>
  <c r="R453" i="29" s="1"/>
  <c r="T453" i="29" s="1"/>
  <c r="G461" i="29"/>
  <c r="J461" i="29" s="1"/>
  <c r="L461" i="29" s="1"/>
  <c r="P290" i="29"/>
  <c r="R290" i="29" s="1"/>
  <c r="T290" i="29" s="1"/>
  <c r="O365" i="29"/>
  <c r="Q365" i="29" s="1"/>
  <c r="S365" i="29" s="1"/>
  <c r="N365" i="29"/>
  <c r="P365" i="29" s="1"/>
  <c r="R365" i="29" s="1"/>
  <c r="T365" i="29" s="1"/>
  <c r="O429" i="29"/>
  <c r="Q429" i="29" s="1"/>
  <c r="S429" i="29" s="1"/>
  <c r="P429" i="29"/>
  <c r="R429" i="29" s="1"/>
  <c r="T429" i="29" s="1"/>
  <c r="P53" i="29"/>
  <c r="R53" i="29" s="1"/>
  <c r="T53" i="29" s="1"/>
  <c r="P76" i="29"/>
  <c r="R76" i="29" s="1"/>
  <c r="T76" i="29" s="1"/>
  <c r="O135" i="29"/>
  <c r="Q135" i="29" s="1"/>
  <c r="S135" i="29" s="1"/>
  <c r="P136" i="29"/>
  <c r="R136" i="29" s="1"/>
  <c r="T136" i="29" s="1"/>
  <c r="L152" i="29"/>
  <c r="L154" i="29"/>
  <c r="G154" i="29"/>
  <c r="M154" i="29" s="1"/>
  <c r="N154" i="29" s="1"/>
  <c r="J185" i="29"/>
  <c r="L185" i="29" s="1"/>
  <c r="M17" i="29"/>
  <c r="N17" i="29" s="1"/>
  <c r="O219" i="29"/>
  <c r="Q219" i="29" s="1"/>
  <c r="S219" i="29" s="1"/>
  <c r="P239" i="29"/>
  <c r="R239" i="29" s="1"/>
  <c r="T239" i="29" s="1"/>
  <c r="O239" i="29"/>
  <c r="Q239" i="29" s="1"/>
  <c r="S239" i="29" s="1"/>
  <c r="H228" i="29"/>
  <c r="O237" i="29"/>
  <c r="Q237" i="29" s="1"/>
  <c r="S237" i="29" s="1"/>
  <c r="L240" i="29"/>
  <c r="K243" i="29"/>
  <c r="G243" i="29"/>
  <c r="M243" i="29" s="1"/>
  <c r="L244" i="29"/>
  <c r="L250" i="29"/>
  <c r="G265" i="29"/>
  <c r="M265" i="29" s="1"/>
  <c r="N265" i="29" s="1"/>
  <c r="K265" i="29"/>
  <c r="G266" i="29"/>
  <c r="M266" i="29" s="1"/>
  <c r="N266" i="29" s="1"/>
  <c r="L266" i="29"/>
  <c r="P269" i="29"/>
  <c r="R269" i="29" s="1"/>
  <c r="T269" i="29" s="1"/>
  <c r="L270" i="29"/>
  <c r="G289" i="29"/>
  <c r="M289" i="29" s="1"/>
  <c r="N289" i="29" s="1"/>
  <c r="K289" i="29"/>
  <c r="L295" i="29"/>
  <c r="O294" i="29"/>
  <c r="Q294" i="29" s="1"/>
  <c r="S294" i="29" s="1"/>
  <c r="L289" i="29"/>
  <c r="P294" i="29"/>
  <c r="R294" i="29" s="1"/>
  <c r="T294" i="29" s="1"/>
  <c r="G315" i="29"/>
  <c r="M315" i="29" s="1"/>
  <c r="N315" i="29" s="1"/>
  <c r="K315" i="29"/>
  <c r="O345" i="29"/>
  <c r="Q345" i="29" s="1"/>
  <c r="S345" i="29" s="1"/>
  <c r="N345" i="29"/>
  <c r="P345" i="29" s="1"/>
  <c r="R345" i="29" s="1"/>
  <c r="T345" i="29" s="1"/>
  <c r="P347" i="29"/>
  <c r="R347" i="29" s="1"/>
  <c r="O347" i="29"/>
  <c r="Q347" i="29" s="1"/>
  <c r="S347" i="29" s="1"/>
  <c r="T351" i="29"/>
  <c r="O366" i="29"/>
  <c r="Q366" i="29" s="1"/>
  <c r="S366" i="29" s="1"/>
  <c r="N366" i="29"/>
  <c r="P366" i="29" s="1"/>
  <c r="R366" i="29" s="1"/>
  <c r="T366" i="29" s="1"/>
  <c r="L409" i="29"/>
  <c r="O408" i="29"/>
  <c r="Q408" i="29" s="1"/>
  <c r="S408" i="29" s="1"/>
  <c r="P408" i="29"/>
  <c r="R408" i="29" s="1"/>
  <c r="T408" i="29" s="1"/>
  <c r="N438" i="29"/>
  <c r="P438" i="29" s="1"/>
  <c r="R438" i="29" s="1"/>
  <c r="T438" i="29" s="1"/>
  <c r="O438" i="29"/>
  <c r="Q438" i="29" s="1"/>
  <c r="S438" i="29" s="1"/>
  <c r="F502" i="29"/>
  <c r="G501" i="29"/>
  <c r="J501" i="29" s="1"/>
  <c r="L501" i="29" s="1"/>
  <c r="O236" i="29"/>
  <c r="Q236" i="29" s="1"/>
  <c r="S236" i="29" s="1"/>
  <c r="N236" i="29"/>
  <c r="P236" i="29" s="1"/>
  <c r="R236" i="29" s="1"/>
  <c r="T236" i="29" s="1"/>
  <c r="K253" i="29"/>
  <c r="K297" i="29"/>
  <c r="H298" i="29"/>
  <c r="G319" i="29"/>
  <c r="J319" i="29" s="1"/>
  <c r="L319" i="29" s="1"/>
  <c r="F320" i="29"/>
  <c r="M320" i="29"/>
  <c r="N320" i="29" s="1"/>
  <c r="I321" i="29"/>
  <c r="O355" i="29"/>
  <c r="Q355" i="29" s="1"/>
  <c r="S355" i="29" s="1"/>
  <c r="L368" i="29"/>
  <c r="P355" i="29"/>
  <c r="R355" i="29" s="1"/>
  <c r="T355" i="29" s="1"/>
  <c r="H363" i="29"/>
  <c r="K362" i="29"/>
  <c r="F463" i="29"/>
  <c r="G462" i="29"/>
  <c r="J462" i="29" s="1"/>
  <c r="L462" i="29" s="1"/>
  <c r="M32" i="29"/>
  <c r="N32" i="29" s="1"/>
  <c r="P32" i="29" s="1"/>
  <c r="R32" i="29" s="1"/>
  <c r="T32" i="29" s="1"/>
  <c r="P34" i="29"/>
  <c r="R34" i="29" s="1"/>
  <c r="T34" i="29" s="1"/>
  <c r="M39" i="29"/>
  <c r="N39" i="29" s="1"/>
  <c r="M70" i="29"/>
  <c r="N70" i="29" s="1"/>
  <c r="P70" i="29" s="1"/>
  <c r="R70" i="29" s="1"/>
  <c r="T70" i="29" s="1"/>
  <c r="K22" i="29"/>
  <c r="K24" i="29"/>
  <c r="I77" i="29"/>
  <c r="L95" i="29"/>
  <c r="L97" i="29"/>
  <c r="O96" i="29"/>
  <c r="Q96" i="29" s="1"/>
  <c r="S96" i="29" s="1"/>
  <c r="L110" i="29"/>
  <c r="G110" i="29"/>
  <c r="M110" i="29" s="1"/>
  <c r="N110" i="29" s="1"/>
  <c r="P160" i="29"/>
  <c r="R160" i="29" s="1"/>
  <c r="T160" i="29" s="1"/>
  <c r="O160" i="29"/>
  <c r="Q160" i="29" s="1"/>
  <c r="S160" i="29" s="1"/>
  <c r="N167" i="29"/>
  <c r="P167" i="29" s="1"/>
  <c r="R167" i="29" s="1"/>
  <c r="T167" i="29" s="1"/>
  <c r="N173" i="29"/>
  <c r="P173" i="29" s="1"/>
  <c r="R173" i="29" s="1"/>
  <c r="M174" i="29"/>
  <c r="N174" i="29" s="1"/>
  <c r="P174" i="29" s="1"/>
  <c r="R174" i="29" s="1"/>
  <c r="T174" i="29" s="1"/>
  <c r="L196" i="29"/>
  <c r="O89" i="29"/>
  <c r="Q89" i="29" s="1"/>
  <c r="S89" i="29" s="1"/>
  <c r="L91" i="29"/>
  <c r="G104" i="29" a="1"/>
  <c r="G104" i="29" s="1"/>
  <c r="M104" i="29" s="1"/>
  <c r="N104" i="29" s="1"/>
  <c r="P104" i="29" s="1"/>
  <c r="R104" i="29" s="1"/>
  <c r="T104" i="29" s="1"/>
  <c r="K117" i="29"/>
  <c r="G133" i="29"/>
  <c r="M133" i="29" s="1"/>
  <c r="M134" i="29"/>
  <c r="I143" i="29"/>
  <c r="M142" i="29"/>
  <c r="N142" i="29" s="1"/>
  <c r="K154" i="29"/>
  <c r="L169" i="29"/>
  <c r="L157" i="29"/>
  <c r="O156" i="29"/>
  <c r="Q156" i="29" s="1"/>
  <c r="S156" i="29" s="1"/>
  <c r="K168" i="29"/>
  <c r="P192" i="29"/>
  <c r="R192" i="29" s="1"/>
  <c r="T192" i="29" s="1"/>
  <c r="G179" i="29"/>
  <c r="M179" i="29" s="1"/>
  <c r="N179" i="29" s="1"/>
  <c r="P179" i="29" s="1"/>
  <c r="R179" i="29" s="1"/>
  <c r="T179" i="29" s="1"/>
  <c r="H184" i="29"/>
  <c r="P191" i="29"/>
  <c r="R191" i="29" s="1"/>
  <c r="O192" i="29"/>
  <c r="Q192" i="29" s="1"/>
  <c r="S192" i="29" s="1"/>
  <c r="G196" i="29"/>
  <c r="M196" i="29" s="1"/>
  <c r="N196" i="29" s="1"/>
  <c r="G197" i="29"/>
  <c r="M197" i="29" s="1"/>
  <c r="M198" i="29"/>
  <c r="O202" i="29"/>
  <c r="Q202" i="29" s="1"/>
  <c r="S202" i="29" s="1"/>
  <c r="I203" i="29"/>
  <c r="I207" i="29"/>
  <c r="M206" i="29"/>
  <c r="N206" i="29" s="1"/>
  <c r="O213" i="29"/>
  <c r="Q213" i="29" s="1"/>
  <c r="S213" i="29" s="1"/>
  <c r="L214" i="29"/>
  <c r="L220" i="29"/>
  <c r="P246" i="29"/>
  <c r="R246" i="29" s="1"/>
  <c r="T246" i="29" s="1"/>
  <c r="P260" i="29"/>
  <c r="R260" i="29" s="1"/>
  <c r="O260" i="29"/>
  <c r="Q260" i="29" s="1"/>
  <c r="S260" i="29" s="1"/>
  <c r="P251" i="29"/>
  <c r="R251" i="29" s="1"/>
  <c r="T251" i="29" s="1"/>
  <c r="K252" i="29"/>
  <c r="L264" i="29"/>
  <c r="L267" i="29"/>
  <c r="L272" i="29"/>
  <c r="O292" i="29"/>
  <c r="Q292" i="29" s="1"/>
  <c r="S292" i="29" s="1"/>
  <c r="G297" i="29"/>
  <c r="J297" i="29" s="1"/>
  <c r="L297" i="29" s="1"/>
  <c r="L306" i="29"/>
  <c r="L312" i="29"/>
  <c r="G312" i="29"/>
  <c r="M312" i="29" s="1"/>
  <c r="N312" i="29" s="1"/>
  <c r="K312" i="29"/>
  <c r="H322" i="29"/>
  <c r="H321" i="29"/>
  <c r="K321" i="29" s="1"/>
  <c r="K320" i="29"/>
  <c r="T327" i="29"/>
  <c r="P371" i="29"/>
  <c r="R371" i="29" s="1"/>
  <c r="L372" i="29"/>
  <c r="O371" i="29"/>
  <c r="Q371" i="29" s="1"/>
  <c r="S371" i="29" s="1"/>
  <c r="I383" i="29"/>
  <c r="M382" i="29"/>
  <c r="N382" i="29" s="1"/>
  <c r="L389" i="29"/>
  <c r="O388" i="29"/>
  <c r="Q388" i="29" s="1"/>
  <c r="S388" i="29" s="1"/>
  <c r="P388" i="29"/>
  <c r="R388" i="29" s="1"/>
  <c r="T388" i="29" s="1"/>
  <c r="L449" i="29"/>
  <c r="O448" i="29"/>
  <c r="Q448" i="29" s="1"/>
  <c r="S448" i="29" s="1"/>
  <c r="P448" i="29"/>
  <c r="R448" i="29" s="1"/>
  <c r="T448" i="29" s="1"/>
  <c r="K442" i="29"/>
  <c r="H443" i="29"/>
  <c r="P328" i="29"/>
  <c r="R328" i="29" s="1"/>
  <c r="T328" i="29" s="1"/>
  <c r="L329" i="29"/>
  <c r="O328" i="29"/>
  <c r="Q328" i="29" s="1"/>
  <c r="S328" i="29" s="1"/>
  <c r="P316" i="29"/>
  <c r="R316" i="29" s="1"/>
  <c r="T316" i="29" s="1"/>
  <c r="P317" i="29"/>
  <c r="R317" i="29" s="1"/>
  <c r="T317" i="29" s="1"/>
  <c r="P318" i="29"/>
  <c r="R318" i="29" s="1"/>
  <c r="T318" i="29" s="1"/>
  <c r="O318" i="29"/>
  <c r="Q318" i="29" s="1"/>
  <c r="S318" i="29" s="1"/>
  <c r="O356" i="29"/>
  <c r="Q356" i="29" s="1"/>
  <c r="S356" i="29" s="1"/>
  <c r="N356" i="29"/>
  <c r="P356" i="29" s="1"/>
  <c r="R356" i="29" s="1"/>
  <c r="T356" i="29" s="1"/>
  <c r="L373" i="29"/>
  <c r="L379" i="29"/>
  <c r="G401" i="29"/>
  <c r="J401" i="29" s="1"/>
  <c r="L401" i="29" s="1"/>
  <c r="F402" i="29"/>
  <c r="G397" i="29"/>
  <c r="M397" i="29" s="1"/>
  <c r="N397" i="29" s="1"/>
  <c r="K397" i="29"/>
  <c r="O414" i="29"/>
  <c r="Q414" i="29" s="1"/>
  <c r="S414" i="29" s="1"/>
  <c r="P414" i="29"/>
  <c r="R414" i="29" s="1"/>
  <c r="T414" i="29" s="1"/>
  <c r="G421" i="29"/>
  <c r="J421" i="29" s="1"/>
  <c r="L421" i="29" s="1"/>
  <c r="F422" i="29"/>
  <c r="O420" i="29"/>
  <c r="Q420" i="29" s="1"/>
  <c r="S420" i="29" s="1"/>
  <c r="P420" i="29"/>
  <c r="R420" i="29" s="1"/>
  <c r="T420" i="29" s="1"/>
  <c r="I423" i="29"/>
  <c r="M422" i="29"/>
  <c r="N422" i="29" s="1"/>
  <c r="N425" i="29"/>
  <c r="P425" i="29" s="1"/>
  <c r="R425" i="29" s="1"/>
  <c r="T425" i="29" s="1"/>
  <c r="O425" i="29"/>
  <c r="Q425" i="29" s="1"/>
  <c r="S425" i="29" s="1"/>
  <c r="O428" i="29"/>
  <c r="Q428" i="29" s="1"/>
  <c r="S428" i="29" s="1"/>
  <c r="G481" i="29"/>
  <c r="J481" i="29" s="1"/>
  <c r="L481" i="29" s="1"/>
  <c r="F482" i="29"/>
  <c r="P305" i="29"/>
  <c r="R305" i="29" s="1"/>
  <c r="O305" i="29"/>
  <c r="Q305" i="29" s="1"/>
  <c r="S305" i="29" s="1"/>
  <c r="G295" i="29"/>
  <c r="M295" i="29" s="1"/>
  <c r="N295" i="29" s="1"/>
  <c r="K295" i="29"/>
  <c r="I299" i="29"/>
  <c r="M298" i="29"/>
  <c r="N298" i="29" s="1"/>
  <c r="O311" i="29"/>
  <c r="Q311" i="29" s="1"/>
  <c r="S311" i="29" s="1"/>
  <c r="L315" i="29"/>
  <c r="O314" i="29"/>
  <c r="Q314" i="29" s="1"/>
  <c r="S314" i="29" s="1"/>
  <c r="L332" i="29"/>
  <c r="G332" i="29"/>
  <c r="M332" i="29" s="1"/>
  <c r="N332" i="29" s="1"/>
  <c r="K332" i="29"/>
  <c r="P337" i="29"/>
  <c r="R337" i="29" s="1"/>
  <c r="T337" i="29" s="1"/>
  <c r="G339" i="29"/>
  <c r="M339" i="29" s="1"/>
  <c r="N339" i="29" s="1"/>
  <c r="K339" i="29"/>
  <c r="O346" i="29"/>
  <c r="Q346" i="29" s="1"/>
  <c r="S346" i="29" s="1"/>
  <c r="P367" i="29"/>
  <c r="R367" i="29" s="1"/>
  <c r="O385" i="29"/>
  <c r="Q385" i="29" s="1"/>
  <c r="S385" i="29" s="1"/>
  <c r="N385" i="29"/>
  <c r="P385" i="29" s="1"/>
  <c r="R385" i="29" s="1"/>
  <c r="T385" i="29" s="1"/>
  <c r="O398" i="29"/>
  <c r="Q398" i="29" s="1"/>
  <c r="S398" i="29" s="1"/>
  <c r="G406" i="29" a="1"/>
  <c r="G406" i="29" s="1"/>
  <c r="M406" i="29" s="1"/>
  <c r="N406" i="29" s="1"/>
  <c r="P406" i="29" s="1"/>
  <c r="R406" i="29" s="1"/>
  <c r="T406" i="29" s="1"/>
  <c r="K406" i="29"/>
  <c r="O431" i="29"/>
  <c r="Q431" i="29" s="1"/>
  <c r="S431" i="29" s="1"/>
  <c r="P431" i="29"/>
  <c r="R431" i="29" s="1"/>
  <c r="M141" i="29"/>
  <c r="N141" i="29" s="1"/>
  <c r="M205" i="29"/>
  <c r="N205" i="29" s="1"/>
  <c r="G244" i="29"/>
  <c r="M244" i="29" s="1"/>
  <c r="N244" i="29" s="1"/>
  <c r="M245" i="29"/>
  <c r="N245" i="29" s="1"/>
  <c r="P245" i="29" s="1"/>
  <c r="R245" i="29" s="1"/>
  <c r="T245" i="29" s="1"/>
  <c r="I254" i="29"/>
  <c r="M253" i="29"/>
  <c r="N253" i="29" s="1"/>
  <c r="O291" i="29"/>
  <c r="Q291" i="29" s="1"/>
  <c r="S291" i="29" s="1"/>
  <c r="I295" i="29"/>
  <c r="O334" i="29"/>
  <c r="Q334" i="29" s="1"/>
  <c r="S334" i="29" s="1"/>
  <c r="N336" i="29"/>
  <c r="P336" i="29" s="1"/>
  <c r="R336" i="29" s="1"/>
  <c r="T336" i="29" s="1"/>
  <c r="L339" i="29"/>
  <c r="L333" i="29"/>
  <c r="I343" i="29"/>
  <c r="M342" i="29"/>
  <c r="N342" i="29" s="1"/>
  <c r="L353" i="29"/>
  <c r="L359" i="29"/>
  <c r="P358" i="29"/>
  <c r="R358" i="29" s="1"/>
  <c r="T358" i="29" s="1"/>
  <c r="O358" i="29"/>
  <c r="Q358" i="29" s="1"/>
  <c r="S358" i="29" s="1"/>
  <c r="P360" i="29"/>
  <c r="R360" i="29" s="1"/>
  <c r="T360" i="29" s="1"/>
  <c r="O360" i="29"/>
  <c r="Q360" i="29" s="1"/>
  <c r="S360" i="29" s="1"/>
  <c r="F382" i="29"/>
  <c r="G381" i="29"/>
  <c r="J381" i="29" s="1"/>
  <c r="L381" i="29" s="1"/>
  <c r="P399" i="29"/>
  <c r="R399" i="29" s="1"/>
  <c r="T399" i="29" s="1"/>
  <c r="O399" i="29"/>
  <c r="Q399" i="29" s="1"/>
  <c r="S399" i="29" s="1"/>
  <c r="I403" i="29"/>
  <c r="M402" i="29"/>
  <c r="N402" i="29" s="1"/>
  <c r="P413" i="29"/>
  <c r="R413" i="29" s="1"/>
  <c r="T413" i="29" s="1"/>
  <c r="O413" i="29"/>
  <c r="Q413" i="29" s="1"/>
  <c r="S413" i="29" s="1"/>
  <c r="G441" i="29"/>
  <c r="J441" i="29" s="1"/>
  <c r="L441" i="29" s="1"/>
  <c r="F442" i="29"/>
  <c r="I439" i="29"/>
  <c r="N466" i="29"/>
  <c r="P466" i="29" s="1"/>
  <c r="R466" i="29" s="1"/>
  <c r="T466" i="29" s="1"/>
  <c r="O466" i="29"/>
  <c r="Q466" i="29" s="1"/>
  <c r="S466" i="29" s="1"/>
  <c r="P478" i="29"/>
  <c r="R478" i="29" s="1"/>
  <c r="T478" i="29" s="1"/>
  <c r="P486" i="29"/>
  <c r="R486" i="29" s="1"/>
  <c r="T486" i="29" s="1"/>
  <c r="O486" i="29"/>
  <c r="Q486" i="29" s="1"/>
  <c r="S486" i="29" s="1"/>
  <c r="P313" i="29"/>
  <c r="R313" i="29" s="1"/>
  <c r="T313" i="29" s="1"/>
  <c r="J321" i="29"/>
  <c r="L321" i="29" s="1"/>
  <c r="L352" i="29"/>
  <c r="O393" i="29"/>
  <c r="Q393" i="29" s="1"/>
  <c r="S393" i="29" s="1"/>
  <c r="P411" i="29"/>
  <c r="R411" i="29" s="1"/>
  <c r="L417" i="29"/>
  <c r="L427" i="29"/>
  <c r="M434" i="29"/>
  <c r="N434" i="29" s="1"/>
  <c r="P434" i="29" s="1"/>
  <c r="R434" i="29" s="1"/>
  <c r="T434" i="29" s="1"/>
  <c r="I443" i="29"/>
  <c r="M442" i="29"/>
  <c r="N442" i="29" s="1"/>
  <c r="O451" i="29"/>
  <c r="Q451" i="29" s="1"/>
  <c r="S451" i="29" s="1"/>
  <c r="P451" i="29"/>
  <c r="R451" i="29" s="1"/>
  <c r="O455" i="29"/>
  <c r="Q455" i="29" s="1"/>
  <c r="S455" i="29" s="1"/>
  <c r="L459" i="29"/>
  <c r="O458" i="29"/>
  <c r="Q458" i="29" s="1"/>
  <c r="S458" i="29" s="1"/>
  <c r="K481" i="29"/>
  <c r="H482" i="29"/>
  <c r="G562" i="29"/>
  <c r="J562" i="29" s="1"/>
  <c r="L562" i="29" s="1"/>
  <c r="F563" i="29"/>
  <c r="M252" i="29"/>
  <c r="N252" i="29" s="1"/>
  <c r="P292" i="29"/>
  <c r="R292" i="29" s="1"/>
  <c r="T292" i="29" s="1"/>
  <c r="M297" i="29"/>
  <c r="N297" i="29" s="1"/>
  <c r="K319" i="29"/>
  <c r="M341" i="29"/>
  <c r="N341" i="29" s="1"/>
  <c r="P341" i="29" s="1"/>
  <c r="R341" i="29" s="1"/>
  <c r="T341" i="29" s="1"/>
  <c r="M354" i="29"/>
  <c r="N354" i="29" s="1"/>
  <c r="P354" i="29" s="1"/>
  <c r="R354" i="29" s="1"/>
  <c r="T354" i="29" s="1"/>
  <c r="I363" i="29"/>
  <c r="M362" i="29"/>
  <c r="N362" i="29" s="1"/>
  <c r="O375" i="29"/>
  <c r="Q375" i="29" s="1"/>
  <c r="S375" i="29" s="1"/>
  <c r="P380" i="29"/>
  <c r="R380" i="29" s="1"/>
  <c r="T380" i="29" s="1"/>
  <c r="O380" i="29"/>
  <c r="Q380" i="29" s="1"/>
  <c r="S380" i="29" s="1"/>
  <c r="M392" i="29"/>
  <c r="N392" i="29" s="1"/>
  <c r="P392" i="29" s="1"/>
  <c r="R392" i="29" s="1"/>
  <c r="T392" i="29" s="1"/>
  <c r="O395" i="29"/>
  <c r="Q395" i="29" s="1"/>
  <c r="S395" i="29" s="1"/>
  <c r="L407" i="29"/>
  <c r="L397" i="29"/>
  <c r="O396" i="29"/>
  <c r="Q396" i="29" s="1"/>
  <c r="S396" i="29" s="1"/>
  <c r="P398" i="29"/>
  <c r="R398" i="29" s="1"/>
  <c r="T398" i="29" s="1"/>
  <c r="P400" i="29"/>
  <c r="R400" i="29" s="1"/>
  <c r="T400" i="29" s="1"/>
  <c r="O400" i="29"/>
  <c r="Q400" i="29" s="1"/>
  <c r="S400" i="29" s="1"/>
  <c r="H403" i="29"/>
  <c r="K402" i="29"/>
  <c r="O405" i="29"/>
  <c r="Q405" i="29" s="1"/>
  <c r="S405" i="29" s="1"/>
  <c r="N405" i="29"/>
  <c r="P405" i="29" s="1"/>
  <c r="R405" i="29" s="1"/>
  <c r="T405" i="29" s="1"/>
  <c r="O416" i="29"/>
  <c r="Q416" i="29" s="1"/>
  <c r="S416" i="29" s="1"/>
  <c r="G417" i="29"/>
  <c r="M417" i="29" s="1"/>
  <c r="N417" i="29" s="1"/>
  <c r="P418" i="29"/>
  <c r="R418" i="29" s="1"/>
  <c r="T418" i="29" s="1"/>
  <c r="H422" i="29"/>
  <c r="O426" i="29"/>
  <c r="Q426" i="29" s="1"/>
  <c r="S426" i="29" s="1"/>
  <c r="N436" i="29"/>
  <c r="P436" i="29" s="1"/>
  <c r="R436" i="29" s="1"/>
  <c r="T436" i="29" s="1"/>
  <c r="G457" i="29"/>
  <c r="M457" i="29" s="1"/>
  <c r="N457" i="29" s="1"/>
  <c r="K457" i="29"/>
  <c r="O460" i="29"/>
  <c r="Q460" i="29" s="1"/>
  <c r="S460" i="29" s="1"/>
  <c r="M464" i="29"/>
  <c r="N464" i="29" s="1"/>
  <c r="P464" i="29" s="1"/>
  <c r="R464" i="29" s="1"/>
  <c r="T464" i="29" s="1"/>
  <c r="G464" i="29"/>
  <c r="O480" i="29"/>
  <c r="Q480" i="29" s="1"/>
  <c r="S480" i="29" s="1"/>
  <c r="P480" i="29"/>
  <c r="R480" i="29" s="1"/>
  <c r="T480" i="29" s="1"/>
  <c r="P528" i="29"/>
  <c r="R528" i="29" s="1"/>
  <c r="T528" i="29" s="1"/>
  <c r="L529" i="29"/>
  <c r="O528" i="29"/>
  <c r="Q528" i="29" s="1"/>
  <c r="S528" i="29" s="1"/>
  <c r="L348" i="29"/>
  <c r="G373" i="29"/>
  <c r="M373" i="29" s="1"/>
  <c r="N373" i="29" s="1"/>
  <c r="K373" i="29"/>
  <c r="P376" i="29"/>
  <c r="R376" i="29" s="1"/>
  <c r="T376" i="29" s="1"/>
  <c r="P393" i="29"/>
  <c r="R393" i="29" s="1"/>
  <c r="T393" i="29" s="1"/>
  <c r="L394" i="29"/>
  <c r="G394" i="29"/>
  <c r="M394" i="29" s="1"/>
  <c r="N394" i="29" s="1"/>
  <c r="K394" i="29"/>
  <c r="L432" i="29"/>
  <c r="G432" i="29"/>
  <c r="M432" i="29" s="1"/>
  <c r="N432" i="29" s="1"/>
  <c r="K432" i="29"/>
  <c r="G433" i="29"/>
  <c r="M433" i="29" s="1"/>
  <c r="N445" i="29"/>
  <c r="P445" i="29" s="1"/>
  <c r="R445" i="29" s="1"/>
  <c r="T445" i="29" s="1"/>
  <c r="O445" i="29"/>
  <c r="Q445" i="29" s="1"/>
  <c r="S445" i="29" s="1"/>
  <c r="O476" i="29"/>
  <c r="Q476" i="29" s="1"/>
  <c r="S476" i="29" s="1"/>
  <c r="P487" i="29"/>
  <c r="R487" i="29" s="1"/>
  <c r="M361" i="29"/>
  <c r="N361" i="29" s="1"/>
  <c r="G374" i="29"/>
  <c r="M374" i="29" s="1"/>
  <c r="N374" i="29" s="1"/>
  <c r="L374" i="29"/>
  <c r="O376" i="29"/>
  <c r="Q376" i="29" s="1"/>
  <c r="S376" i="29" s="1"/>
  <c r="L377" i="29"/>
  <c r="L387" i="29"/>
  <c r="K401" i="29"/>
  <c r="O411" i="29"/>
  <c r="Q411" i="29" s="1"/>
  <c r="S411" i="29" s="1"/>
  <c r="G412" i="29"/>
  <c r="M412" i="29" s="1"/>
  <c r="N412" i="29" s="1"/>
  <c r="L412" i="29"/>
  <c r="P415" i="29"/>
  <c r="R415" i="29" s="1"/>
  <c r="T415" i="29" s="1"/>
  <c r="O418" i="29"/>
  <c r="Q418" i="29" s="1"/>
  <c r="S418" i="29" s="1"/>
  <c r="L419" i="29"/>
  <c r="O435" i="29"/>
  <c r="Q435" i="29" s="1"/>
  <c r="S435" i="29" s="1"/>
  <c r="G439" i="29"/>
  <c r="M439" i="29" s="1"/>
  <c r="N439" i="29" s="1"/>
  <c r="P439" i="29" s="1"/>
  <c r="R439" i="29" s="1"/>
  <c r="T439" i="29" s="1"/>
  <c r="K441" i="29"/>
  <c r="G446" i="29" a="1"/>
  <c r="G446" i="29" s="1"/>
  <c r="M446" i="29" s="1"/>
  <c r="N446" i="29" s="1"/>
  <c r="P446" i="29" s="1"/>
  <c r="R446" i="29" s="1"/>
  <c r="T446" i="29" s="1"/>
  <c r="P447" i="29"/>
  <c r="R447" i="29" s="1"/>
  <c r="L452" i="29"/>
  <c r="G452" i="29"/>
  <c r="M452" i="29" s="1"/>
  <c r="N452" i="29" s="1"/>
  <c r="L468" i="29"/>
  <c r="P460" i="29"/>
  <c r="R460" i="29" s="1"/>
  <c r="T460" i="29" s="1"/>
  <c r="P473" i="29"/>
  <c r="R473" i="29" s="1"/>
  <c r="T473" i="29" s="1"/>
  <c r="N475" i="29"/>
  <c r="I483" i="29"/>
  <c r="M482" i="29"/>
  <c r="N482" i="29" s="1"/>
  <c r="T491" i="29"/>
  <c r="O496" i="29"/>
  <c r="Q496" i="29" s="1"/>
  <c r="S496" i="29" s="1"/>
  <c r="O565" i="29"/>
  <c r="Q565" i="29" s="1"/>
  <c r="S565" i="29" s="1"/>
  <c r="N565" i="29"/>
  <c r="P565" i="29" s="1"/>
  <c r="R565" i="29" s="1"/>
  <c r="T565" i="29" s="1"/>
  <c r="M381" i="29"/>
  <c r="N381" i="29" s="1"/>
  <c r="P435" i="29"/>
  <c r="R435" i="29" s="1"/>
  <c r="T435" i="29" s="1"/>
  <c r="L454" i="29"/>
  <c r="G454" i="29"/>
  <c r="M454" i="29" s="1"/>
  <c r="N454" i="29" s="1"/>
  <c r="L467" i="29"/>
  <c r="L457" i="29"/>
  <c r="O456" i="29"/>
  <c r="Q456" i="29" s="1"/>
  <c r="S456" i="29" s="1"/>
  <c r="P471" i="29"/>
  <c r="R471" i="29" s="1"/>
  <c r="P477" i="29"/>
  <c r="R477" i="29" s="1"/>
  <c r="T477" i="29" s="1"/>
  <c r="P497" i="29"/>
  <c r="R497" i="29" s="1"/>
  <c r="T497" i="29" s="1"/>
  <c r="O497" i="29"/>
  <c r="Q497" i="29" s="1"/>
  <c r="S497" i="29" s="1"/>
  <c r="L499" i="29"/>
  <c r="O498" i="29"/>
  <c r="Q498" i="29" s="1"/>
  <c r="S498" i="29" s="1"/>
  <c r="L493" i="29"/>
  <c r="L508" i="29"/>
  <c r="P498" i="29"/>
  <c r="R498" i="29" s="1"/>
  <c r="T498" i="29" s="1"/>
  <c r="T511" i="29"/>
  <c r="P455" i="29"/>
  <c r="R455" i="29" s="1"/>
  <c r="T455" i="29" s="1"/>
  <c r="M474" i="29"/>
  <c r="N474" i="29" s="1"/>
  <c r="P474" i="29" s="1"/>
  <c r="R474" i="29" s="1"/>
  <c r="T474" i="29" s="1"/>
  <c r="P476" i="29"/>
  <c r="R476" i="29" s="1"/>
  <c r="T476" i="29" s="1"/>
  <c r="M481" i="29"/>
  <c r="N481" i="29" s="1"/>
  <c r="N485" i="29"/>
  <c r="P485" i="29" s="1"/>
  <c r="R485" i="29" s="1"/>
  <c r="T485" i="29" s="1"/>
  <c r="L492" i="29"/>
  <c r="G492" i="29"/>
  <c r="M492" i="29" s="1"/>
  <c r="N492" i="29" s="1"/>
  <c r="K492" i="29"/>
  <c r="P495" i="29"/>
  <c r="R495" i="29" s="1"/>
  <c r="T495" i="29" s="1"/>
  <c r="I503" i="29"/>
  <c r="M502" i="29"/>
  <c r="N502" i="29" s="1"/>
  <c r="H503" i="29"/>
  <c r="P520" i="29"/>
  <c r="R520" i="29" s="1"/>
  <c r="T520" i="29" s="1"/>
  <c r="O520" i="29"/>
  <c r="Q520" i="29" s="1"/>
  <c r="S520" i="29" s="1"/>
  <c r="M524" i="29"/>
  <c r="N524" i="29" s="1"/>
  <c r="P524" i="29" s="1"/>
  <c r="R524" i="29" s="1"/>
  <c r="T524" i="29" s="1"/>
  <c r="O525" i="29"/>
  <c r="Q525" i="29" s="1"/>
  <c r="S525" i="29" s="1"/>
  <c r="N525" i="29"/>
  <c r="P525" i="29" s="1"/>
  <c r="R525" i="29" s="1"/>
  <c r="T525" i="29" s="1"/>
  <c r="K537" i="29"/>
  <c r="G537" i="29"/>
  <c r="M537" i="29" s="1"/>
  <c r="N537" i="29" s="1"/>
  <c r="P537" i="29" s="1"/>
  <c r="R537" i="29" s="1"/>
  <c r="T537" i="29" s="1"/>
  <c r="I543" i="29"/>
  <c r="O471" i="29"/>
  <c r="Q471" i="29" s="1"/>
  <c r="S471" i="29" s="1"/>
  <c r="G472" i="29"/>
  <c r="M472" i="29" s="1"/>
  <c r="N472" i="29" s="1"/>
  <c r="L472" i="29"/>
  <c r="L488" i="29"/>
  <c r="P475" i="29"/>
  <c r="R475" i="29" s="1"/>
  <c r="T475" i="29" s="1"/>
  <c r="O478" i="29"/>
  <c r="Q478" i="29" s="1"/>
  <c r="S478" i="29" s="1"/>
  <c r="L479" i="29"/>
  <c r="O491" i="29"/>
  <c r="Q491" i="29" s="1"/>
  <c r="S491" i="29" s="1"/>
  <c r="M494" i="29"/>
  <c r="N494" i="29" s="1"/>
  <c r="P494" i="29" s="1"/>
  <c r="R494" i="29" s="1"/>
  <c r="T494" i="29" s="1"/>
  <c r="G499" i="29"/>
  <c r="M499" i="29" s="1"/>
  <c r="N499" i="29" s="1"/>
  <c r="K499" i="29"/>
  <c r="O506" i="29"/>
  <c r="Q506" i="29" s="1"/>
  <c r="S506" i="29" s="1"/>
  <c r="H523" i="29"/>
  <c r="K522" i="29"/>
  <c r="M523" i="29"/>
  <c r="N523" i="29" s="1"/>
  <c r="K552" i="29"/>
  <c r="G552" i="29"/>
  <c r="M552" i="29" s="1"/>
  <c r="N552" i="29" s="1"/>
  <c r="L552" i="29"/>
  <c r="L553" i="29"/>
  <c r="L559" i="29"/>
  <c r="P566" i="29"/>
  <c r="R566" i="29" s="1"/>
  <c r="T566" i="29" s="1"/>
  <c r="O566" i="29"/>
  <c r="Q566" i="29" s="1"/>
  <c r="S566" i="29" s="1"/>
  <c r="M441" i="29"/>
  <c r="N441" i="29" s="1"/>
  <c r="G521" i="29"/>
  <c r="J521" i="29" s="1"/>
  <c r="L521" i="29" s="1"/>
  <c r="F522" i="29"/>
  <c r="G541" i="29"/>
  <c r="J541" i="29" s="1"/>
  <c r="L541" i="29" s="1"/>
  <c r="F542" i="29"/>
  <c r="T551" i="29"/>
  <c r="I558" i="29"/>
  <c r="G558" i="29" s="1" a="1"/>
  <c r="G558" i="29" s="1"/>
  <c r="M558" i="29" s="1"/>
  <c r="N558" i="29" s="1"/>
  <c r="P558" i="29" s="1"/>
  <c r="R558" i="29" s="1"/>
  <c r="T558" i="29" s="1"/>
  <c r="I559" i="29"/>
  <c r="F582" i="29"/>
  <c r="G581" i="29"/>
  <c r="J581" i="29" s="1"/>
  <c r="L581" i="29" s="1"/>
  <c r="L589" i="29"/>
  <c r="O588" i="29"/>
  <c r="Q588" i="29" s="1"/>
  <c r="S588" i="29" s="1"/>
  <c r="P588" i="29"/>
  <c r="R588" i="29" s="1"/>
  <c r="T588" i="29" s="1"/>
  <c r="O511" i="29"/>
  <c r="Q511" i="29" s="1"/>
  <c r="S511" i="29" s="1"/>
  <c r="G517" i="29"/>
  <c r="M517" i="29" s="1"/>
  <c r="N517" i="29" s="1"/>
  <c r="K517" i="29"/>
  <c r="I518" i="29"/>
  <c r="G518" i="29" s="1" a="1"/>
  <c r="G518" i="29" s="1"/>
  <c r="M518" i="29" s="1"/>
  <c r="O519" i="29"/>
  <c r="Q519" i="29" s="1"/>
  <c r="S519" i="29" s="1"/>
  <c r="O535" i="29"/>
  <c r="Q535" i="29" s="1"/>
  <c r="S535" i="29" s="1"/>
  <c r="O536" i="29"/>
  <c r="Q536" i="29" s="1"/>
  <c r="S536" i="29" s="1"/>
  <c r="P538" i="29"/>
  <c r="R538" i="29" s="1"/>
  <c r="T538" i="29" s="1"/>
  <c r="H542" i="29"/>
  <c r="L587" i="29"/>
  <c r="L577" i="29"/>
  <c r="O576" i="29"/>
  <c r="Q576" i="29" s="1"/>
  <c r="S576" i="29" s="1"/>
  <c r="P576" i="29"/>
  <c r="R576" i="29" s="1"/>
  <c r="T576" i="29" s="1"/>
  <c r="L573" i="29"/>
  <c r="I584" i="29"/>
  <c r="M583" i="29"/>
  <c r="N583" i="29" s="1"/>
  <c r="N596" i="29"/>
  <c r="P596" i="29" s="1"/>
  <c r="R596" i="29" s="1"/>
  <c r="T596" i="29" s="1"/>
  <c r="O596" i="29"/>
  <c r="Q596" i="29" s="1"/>
  <c r="S596" i="29" s="1"/>
  <c r="O603" i="29"/>
  <c r="Q603" i="29" s="1"/>
  <c r="S603" i="29" s="1"/>
  <c r="N603" i="29"/>
  <c r="P603" i="29" s="1"/>
  <c r="R603" i="29" s="1"/>
  <c r="T603" i="29" s="1"/>
  <c r="P591" i="29"/>
  <c r="R591" i="29" s="1"/>
  <c r="O599" i="29"/>
  <c r="Q599" i="29" s="1"/>
  <c r="S599" i="29" s="1"/>
  <c r="O495" i="29"/>
  <c r="Q495" i="29" s="1"/>
  <c r="S495" i="29" s="1"/>
  <c r="P496" i="29"/>
  <c r="R496" i="29" s="1"/>
  <c r="T496" i="29" s="1"/>
  <c r="G512" i="29"/>
  <c r="M512" i="29" s="1"/>
  <c r="N512" i="29" s="1"/>
  <c r="L512" i="29"/>
  <c r="G513" i="29"/>
  <c r="M513" i="29" s="1"/>
  <c r="N513" i="29" s="1"/>
  <c r="P513" i="29" s="1"/>
  <c r="R513" i="29" s="1"/>
  <c r="T513" i="29" s="1"/>
  <c r="L514" i="29"/>
  <c r="G514" i="29"/>
  <c r="M514" i="29" s="1"/>
  <c r="N514" i="29" s="1"/>
  <c r="O515" i="29"/>
  <c r="Q515" i="29" s="1"/>
  <c r="S515" i="29" s="1"/>
  <c r="L527" i="29"/>
  <c r="L517" i="29"/>
  <c r="O516" i="29"/>
  <c r="Q516" i="29" s="1"/>
  <c r="S516" i="29" s="1"/>
  <c r="M532" i="29"/>
  <c r="N532" i="29" s="1"/>
  <c r="L533" i="29"/>
  <c r="L534" i="29"/>
  <c r="L548" i="29"/>
  <c r="O540" i="29"/>
  <c r="Q540" i="29" s="1"/>
  <c r="S540" i="29" s="1"/>
  <c r="L547" i="29"/>
  <c r="O555" i="29"/>
  <c r="Q555" i="29" s="1"/>
  <c r="S555" i="29" s="1"/>
  <c r="L568" i="29"/>
  <c r="P556" i="29"/>
  <c r="R556" i="29" s="1"/>
  <c r="T556" i="29" s="1"/>
  <c r="P560" i="29"/>
  <c r="R560" i="29" s="1"/>
  <c r="T560" i="29" s="1"/>
  <c r="O610" i="29"/>
  <c r="Q610" i="29" s="1"/>
  <c r="S610" i="29" s="1"/>
  <c r="P610" i="29"/>
  <c r="R610" i="29" s="1"/>
  <c r="T610" i="29" s="1"/>
  <c r="P515" i="29"/>
  <c r="R515" i="29" s="1"/>
  <c r="T515" i="29" s="1"/>
  <c r="G526" i="29" a="1"/>
  <c r="G526" i="29" s="1"/>
  <c r="M526" i="29" s="1"/>
  <c r="K526" i="29"/>
  <c r="G534" i="29"/>
  <c r="M534" i="29" s="1"/>
  <c r="N534" i="29" s="1"/>
  <c r="O546" i="29"/>
  <c r="Q546" i="29" s="1"/>
  <c r="S546" i="29" s="1"/>
  <c r="O556" i="29"/>
  <c r="Q556" i="29" s="1"/>
  <c r="S556" i="29" s="1"/>
  <c r="N571" i="29"/>
  <c r="P571" i="29" s="1"/>
  <c r="R571" i="29" s="1"/>
  <c r="O571" i="29"/>
  <c r="Q571" i="29" s="1"/>
  <c r="S571" i="29" s="1"/>
  <c r="P575" i="29"/>
  <c r="R575" i="29" s="1"/>
  <c r="T575" i="29" s="1"/>
  <c r="O575" i="29"/>
  <c r="Q575" i="29" s="1"/>
  <c r="S575" i="29" s="1"/>
  <c r="M582" i="29"/>
  <c r="N582" i="29" s="1"/>
  <c r="O585" i="29"/>
  <c r="Q585" i="29" s="1"/>
  <c r="S585" i="29" s="1"/>
  <c r="N585" i="29"/>
  <c r="P585" i="29" s="1"/>
  <c r="R585" i="29" s="1"/>
  <c r="T585" i="29" s="1"/>
  <c r="O586" i="29"/>
  <c r="Q586" i="29" s="1"/>
  <c r="S586" i="29" s="1"/>
  <c r="O597" i="29"/>
  <c r="Q597" i="29" s="1"/>
  <c r="S597" i="29" s="1"/>
  <c r="G619" i="29"/>
  <c r="J619" i="29" s="1"/>
  <c r="L619" i="29" s="1"/>
  <c r="F620" i="29"/>
  <c r="L532" i="29"/>
  <c r="P535" i="29"/>
  <c r="R535" i="29" s="1"/>
  <c r="T535" i="29" s="1"/>
  <c r="O538" i="29"/>
  <c r="Q538" i="29" s="1"/>
  <c r="S538" i="29" s="1"/>
  <c r="L539" i="29"/>
  <c r="I579" i="29"/>
  <c r="I578" i="29"/>
  <c r="G578" i="29" s="1" a="1"/>
  <c r="G578" i="29" s="1"/>
  <c r="M578" i="29" s="1"/>
  <c r="G579" i="29"/>
  <c r="M579" i="29" s="1"/>
  <c r="K579" i="29"/>
  <c r="P609" i="29"/>
  <c r="R609" i="29" s="1"/>
  <c r="O609" i="29"/>
  <c r="Q609" i="29" s="1"/>
  <c r="S609" i="29" s="1"/>
  <c r="B655" i="29"/>
  <c r="B658" i="29"/>
  <c r="B662" i="29" s="1"/>
  <c r="B666" i="29" s="1"/>
  <c r="O650" i="29"/>
  <c r="Q650" i="29" s="1"/>
  <c r="S650" i="29" s="1"/>
  <c r="P650" i="29"/>
  <c r="R650" i="29" s="1"/>
  <c r="T650" i="29" s="1"/>
  <c r="M501" i="29"/>
  <c r="N501" i="29" s="1"/>
  <c r="G553" i="29"/>
  <c r="M553" i="29" s="1"/>
  <c r="N553" i="29" s="1"/>
  <c r="M554" i="29"/>
  <c r="I563" i="29"/>
  <c r="M562" i="29"/>
  <c r="N562" i="29" s="1"/>
  <c r="L574" i="29"/>
  <c r="G574" i="29"/>
  <c r="M574" i="29" s="1"/>
  <c r="N574" i="29" s="1"/>
  <c r="H583" i="29"/>
  <c r="K582" i="29"/>
  <c r="L607" i="29"/>
  <c r="P606" i="29"/>
  <c r="R606" i="29" s="1"/>
  <c r="O606" i="29"/>
  <c r="Q606" i="29" s="1"/>
  <c r="S606" i="29" s="1"/>
  <c r="I599" i="29"/>
  <c r="I598" i="29"/>
  <c r="G598" i="29" s="1" a="1"/>
  <c r="G598" i="29" s="1"/>
  <c r="M598" i="29" s="1"/>
  <c r="G593" i="29"/>
  <c r="M593" i="29" s="1"/>
  <c r="K594" i="29"/>
  <c r="G594" i="29"/>
  <c r="M594" i="29" s="1"/>
  <c r="N594" i="29" s="1"/>
  <c r="P594" i="29" s="1"/>
  <c r="R594" i="29" s="1"/>
  <c r="T594" i="29" s="1"/>
  <c r="P601" i="29"/>
  <c r="R601" i="29" s="1"/>
  <c r="T601" i="29" s="1"/>
  <c r="P602" i="29"/>
  <c r="R602" i="29" s="1"/>
  <c r="T602" i="29" s="1"/>
  <c r="K592" i="29"/>
  <c r="L592" i="29"/>
  <c r="O595" i="29"/>
  <c r="Q595" i="29" s="1"/>
  <c r="S595" i="29" s="1"/>
  <c r="G611" i="29"/>
  <c r="M611" i="29" s="1"/>
  <c r="K611" i="29"/>
  <c r="O627" i="29"/>
  <c r="Q627" i="29" s="1"/>
  <c r="S627" i="29" s="1"/>
  <c r="P627" i="29"/>
  <c r="R627" i="29" s="1"/>
  <c r="F638" i="29"/>
  <c r="G637" i="29"/>
  <c r="J637" i="29" s="1"/>
  <c r="L637" i="29" s="1"/>
  <c r="G633" i="29"/>
  <c r="M561" i="29"/>
  <c r="N561" i="29" s="1"/>
  <c r="P561" i="29" s="1"/>
  <c r="R561" i="29" s="1"/>
  <c r="T561" i="29" s="1"/>
  <c r="K577" i="29"/>
  <c r="P580" i="29"/>
  <c r="R580" i="29" s="1"/>
  <c r="T580" i="29" s="1"/>
  <c r="O580" i="29"/>
  <c r="Q580" i="29" s="1"/>
  <c r="S580" i="29" s="1"/>
  <c r="P586" i="29"/>
  <c r="R586" i="29" s="1"/>
  <c r="T586" i="29" s="1"/>
  <c r="O591" i="29"/>
  <c r="Q591" i="29" s="1"/>
  <c r="S591" i="29" s="1"/>
  <c r="O601" i="29"/>
  <c r="Q601" i="29" s="1"/>
  <c r="S601" i="29" s="1"/>
  <c r="O613" i="29"/>
  <c r="Q613" i="29" s="1"/>
  <c r="S613" i="29" s="1"/>
  <c r="L624" i="29"/>
  <c r="G615" i="29"/>
  <c r="G635" i="29"/>
  <c r="K652" i="29"/>
  <c r="H653" i="29"/>
  <c r="H639" i="29"/>
  <c r="K638" i="29"/>
  <c r="L646" i="29"/>
  <c r="P645" i="29"/>
  <c r="R645" i="29" s="1"/>
  <c r="O645" i="29"/>
  <c r="Q645" i="29" s="1"/>
  <c r="S645" i="29" s="1"/>
  <c r="K648" i="29"/>
  <c r="G648" i="29"/>
  <c r="M648" i="29" s="1"/>
  <c r="N648" i="29" s="1"/>
  <c r="L648" i="29"/>
  <c r="M612" i="29"/>
  <c r="N612" i="29" s="1"/>
  <c r="P612" i="29" s="1"/>
  <c r="R612" i="29" s="1"/>
  <c r="T612" i="29" s="1"/>
  <c r="H613" i="29"/>
  <c r="K613" i="29" s="1"/>
  <c r="I616" i="29"/>
  <c r="G616" i="29" s="1" a="1"/>
  <c r="G616" i="29" s="1"/>
  <c r="O622" i="29"/>
  <c r="Q622" i="29" s="1"/>
  <c r="S622" i="29" s="1"/>
  <c r="O623" i="29"/>
  <c r="Q623" i="29" s="1"/>
  <c r="S623" i="29" s="1"/>
  <c r="O631" i="29"/>
  <c r="Q631" i="29" s="1"/>
  <c r="S631" i="29" s="1"/>
  <c r="O640" i="29"/>
  <c r="Q640" i="29" s="1"/>
  <c r="S640" i="29" s="1"/>
  <c r="G652" i="29"/>
  <c r="J652" i="29" s="1"/>
  <c r="L652" i="29" s="1"/>
  <c r="L647" i="29" s="1"/>
  <c r="F653" i="29"/>
  <c r="P618" i="29"/>
  <c r="R618" i="29" s="1"/>
  <c r="T618" i="29" s="1"/>
  <c r="O618" i="29"/>
  <c r="Q618" i="29" s="1"/>
  <c r="S618" i="29" s="1"/>
  <c r="H621" i="29"/>
  <c r="K620" i="29"/>
  <c r="O629" i="29"/>
  <c r="Q629" i="29" s="1"/>
  <c r="S629" i="29" s="1"/>
  <c r="O636" i="29"/>
  <c r="Q636" i="29" s="1"/>
  <c r="S636" i="29" s="1"/>
  <c r="P642" i="29"/>
  <c r="R642" i="29" s="1"/>
  <c r="L643" i="29"/>
  <c r="O651" i="29"/>
  <c r="Q651" i="29" s="1"/>
  <c r="S651" i="29" s="1"/>
  <c r="K619" i="29"/>
  <c r="G628" i="29"/>
  <c r="M628" i="29" s="1"/>
  <c r="N628" i="29" s="1"/>
  <c r="L628" i="29"/>
  <c r="G630" i="29"/>
  <c r="M630" i="29" s="1"/>
  <c r="N630" i="29" s="1"/>
  <c r="L630" i="29"/>
  <c r="O641" i="29"/>
  <c r="Q641" i="29" s="1"/>
  <c r="S641" i="29" s="1"/>
  <c r="G647" i="29"/>
  <c r="M647" i="29" s="1"/>
  <c r="N647" i="29" s="1"/>
  <c r="K647" i="29"/>
  <c r="O649" i="29"/>
  <c r="Q649" i="29" s="1"/>
  <c r="S649" i="29" s="1"/>
  <c r="P654" i="29"/>
  <c r="R654" i="29" s="1"/>
  <c r="T654" i="29" s="1"/>
  <c r="T682" i="29"/>
  <c r="P649" i="29"/>
  <c r="R649" i="29" s="1"/>
  <c r="T649" i="29" s="1"/>
  <c r="O670" i="29"/>
  <c r="Q670" i="29" s="1"/>
  <c r="S670" i="29" s="1"/>
  <c r="O682" i="29"/>
  <c r="Q682" i="29" s="1"/>
  <c r="S682" i="29" s="1"/>
  <c r="O685" i="29"/>
  <c r="Q685" i="29" s="1"/>
  <c r="S685" i="29" s="1"/>
  <c r="N669" i="29"/>
  <c r="P669" i="29" s="1"/>
  <c r="R669" i="29" s="1"/>
  <c r="O159" i="29" l="1"/>
  <c r="Q159" i="29" s="1"/>
  <c r="S159" i="29" s="1"/>
  <c r="O604" i="29"/>
  <c r="Q604" i="29" s="1"/>
  <c r="S604" i="29" s="1"/>
  <c r="U681" i="29"/>
  <c r="O249" i="29"/>
  <c r="Q249" i="29" s="1"/>
  <c r="S249" i="29" s="1"/>
  <c r="O310" i="29"/>
  <c r="Q310" i="29" s="1"/>
  <c r="S310" i="29" s="1"/>
  <c r="U6" i="15"/>
  <c r="O63" i="15"/>
  <c r="P63" i="15"/>
  <c r="T6" i="15"/>
  <c r="R63" i="15"/>
  <c r="T28" i="15"/>
  <c r="G96" i="20" s="1"/>
  <c r="H96" i="20" s="1"/>
  <c r="Q28" i="15"/>
  <c r="B9" i="15"/>
  <c r="Q6" i="15"/>
  <c r="Q63" i="15" s="1"/>
  <c r="O153" i="29"/>
  <c r="Q153" i="29" s="1"/>
  <c r="S153" i="29" s="1"/>
  <c r="O112" i="29"/>
  <c r="Q112" i="29" s="1"/>
  <c r="S112" i="29" s="1"/>
  <c r="O558" i="29"/>
  <c r="Q558" i="29" s="1"/>
  <c r="S558" i="29" s="1"/>
  <c r="O10" i="29"/>
  <c r="Q10" i="29" s="1"/>
  <c r="S10" i="29" s="1"/>
  <c r="O104" i="29"/>
  <c r="Q104" i="29" s="1"/>
  <c r="S104" i="29" s="1"/>
  <c r="O439" i="29"/>
  <c r="Q439" i="29" s="1"/>
  <c r="S439" i="29" s="1"/>
  <c r="O138" i="29"/>
  <c r="Q138" i="29" s="1"/>
  <c r="S138" i="29" s="1"/>
  <c r="O354" i="29"/>
  <c r="Q354" i="29" s="1"/>
  <c r="S354" i="29" s="1"/>
  <c r="O218" i="29"/>
  <c r="Q218" i="29" s="1"/>
  <c r="S218" i="29" s="1"/>
  <c r="O378" i="29"/>
  <c r="Q378" i="29" s="1"/>
  <c r="S378" i="29" s="1"/>
  <c r="O572" i="29"/>
  <c r="Q572" i="29" s="1"/>
  <c r="S572" i="29" s="1"/>
  <c r="O524" i="29"/>
  <c r="Q524" i="29" s="1"/>
  <c r="S524" i="29" s="1"/>
  <c r="O446" i="29"/>
  <c r="Q446" i="29" s="1"/>
  <c r="S446" i="29" s="1"/>
  <c r="O453" i="29"/>
  <c r="Q453" i="29" s="1"/>
  <c r="S453" i="29" s="1"/>
  <c r="O271" i="29"/>
  <c r="Q271" i="29" s="1"/>
  <c r="S271" i="29" s="1"/>
  <c r="O158" i="29"/>
  <c r="Q158" i="29" s="1"/>
  <c r="S158" i="29" s="1"/>
  <c r="O176" i="29"/>
  <c r="Q176" i="29" s="1"/>
  <c r="S176" i="29" s="1"/>
  <c r="N180" i="29"/>
  <c r="P180" i="29" s="1"/>
  <c r="R180" i="29" s="1"/>
  <c r="T180" i="29" s="1"/>
  <c r="T173" i="29"/>
  <c r="T571" i="29"/>
  <c r="P647" i="29"/>
  <c r="R647" i="29" s="1"/>
  <c r="T647" i="29" s="1"/>
  <c r="O647" i="29"/>
  <c r="Q647" i="29" s="1"/>
  <c r="S647" i="29" s="1"/>
  <c r="T29" i="29"/>
  <c r="N243" i="29"/>
  <c r="P243" i="29" s="1"/>
  <c r="R243" i="29" s="1"/>
  <c r="O243" i="29"/>
  <c r="Q243" i="29" s="1"/>
  <c r="S243" i="29" s="1"/>
  <c r="T669" i="29"/>
  <c r="O526" i="29"/>
  <c r="Q526" i="29" s="1"/>
  <c r="S526" i="29" s="1"/>
  <c r="N526" i="29"/>
  <c r="P526" i="29" s="1"/>
  <c r="R526" i="29" s="1"/>
  <c r="T526" i="29" s="1"/>
  <c r="O534" i="29"/>
  <c r="Q534" i="29" s="1"/>
  <c r="S534" i="29" s="1"/>
  <c r="P534" i="29"/>
  <c r="R534" i="29" s="1"/>
  <c r="T534" i="29" s="1"/>
  <c r="O573" i="29"/>
  <c r="Q573" i="29" s="1"/>
  <c r="S573" i="29" s="1"/>
  <c r="P573" i="29"/>
  <c r="R573" i="29" s="1"/>
  <c r="T573" i="29" s="1"/>
  <c r="P587" i="29"/>
  <c r="R587" i="29" s="1"/>
  <c r="O587" i="29"/>
  <c r="Q587" i="29" s="1"/>
  <c r="S587" i="29" s="1"/>
  <c r="O552" i="29"/>
  <c r="Q552" i="29" s="1"/>
  <c r="S552" i="29" s="1"/>
  <c r="P552" i="29"/>
  <c r="R552" i="29" s="1"/>
  <c r="L509" i="29"/>
  <c r="O508" i="29"/>
  <c r="Q508" i="29" s="1"/>
  <c r="S508" i="29" s="1"/>
  <c r="P508" i="29"/>
  <c r="R508" i="29" s="1"/>
  <c r="T508" i="29" s="1"/>
  <c r="P454" i="29"/>
  <c r="R454" i="29" s="1"/>
  <c r="T454" i="29" s="1"/>
  <c r="O454" i="29"/>
  <c r="Q454" i="29" s="1"/>
  <c r="S454" i="29" s="1"/>
  <c r="T447" i="29"/>
  <c r="P412" i="29"/>
  <c r="R412" i="29" s="1"/>
  <c r="T412" i="29" s="1"/>
  <c r="O412" i="29"/>
  <c r="Q412" i="29" s="1"/>
  <c r="S412" i="29" s="1"/>
  <c r="P374" i="29"/>
  <c r="R374" i="29" s="1"/>
  <c r="T374" i="29" s="1"/>
  <c r="O374" i="29"/>
  <c r="Q374" i="29" s="1"/>
  <c r="S374" i="29" s="1"/>
  <c r="T391" i="29"/>
  <c r="O529" i="29"/>
  <c r="Q529" i="29" s="1"/>
  <c r="S529" i="29" s="1"/>
  <c r="P529" i="29"/>
  <c r="R529" i="29" s="1"/>
  <c r="T529" i="29" s="1"/>
  <c r="P397" i="29"/>
  <c r="R397" i="29" s="1"/>
  <c r="T397" i="29" s="1"/>
  <c r="O397" i="29"/>
  <c r="Q397" i="29" s="1"/>
  <c r="S397" i="29" s="1"/>
  <c r="O648" i="29"/>
  <c r="Q648" i="29" s="1"/>
  <c r="S648" i="29" s="1"/>
  <c r="P648" i="29"/>
  <c r="R648" i="29" s="1"/>
  <c r="T648" i="29" s="1"/>
  <c r="T645" i="29"/>
  <c r="G638" i="29"/>
  <c r="J638" i="29" s="1"/>
  <c r="L638" i="29" s="1"/>
  <c r="F639" i="29"/>
  <c r="N593" i="29"/>
  <c r="P593" i="29" s="1"/>
  <c r="R593" i="29" s="1"/>
  <c r="T593" i="29" s="1"/>
  <c r="O593" i="29"/>
  <c r="Q593" i="29" s="1"/>
  <c r="S593" i="29" s="1"/>
  <c r="T606" i="29"/>
  <c r="P532" i="29"/>
  <c r="R532" i="29" s="1"/>
  <c r="T532" i="29" s="1"/>
  <c r="O532" i="29"/>
  <c r="Q532" i="29" s="1"/>
  <c r="S532" i="29" s="1"/>
  <c r="O547" i="29"/>
  <c r="Q547" i="29" s="1"/>
  <c r="S547" i="29" s="1"/>
  <c r="P547" i="29"/>
  <c r="R547" i="29" s="1"/>
  <c r="O533" i="29"/>
  <c r="Q533" i="29" s="1"/>
  <c r="S533" i="29" s="1"/>
  <c r="P533" i="29"/>
  <c r="R533" i="29" s="1"/>
  <c r="T533" i="29" s="1"/>
  <c r="P517" i="29"/>
  <c r="R517" i="29" s="1"/>
  <c r="T517" i="29" s="1"/>
  <c r="O517" i="29"/>
  <c r="Q517" i="29" s="1"/>
  <c r="S517" i="29" s="1"/>
  <c r="P514" i="29"/>
  <c r="R514" i="29" s="1"/>
  <c r="T514" i="29" s="1"/>
  <c r="O514" i="29"/>
  <c r="Q514" i="29" s="1"/>
  <c r="S514" i="29" s="1"/>
  <c r="T591" i="29"/>
  <c r="K542" i="29"/>
  <c r="H543" i="29"/>
  <c r="F583" i="29"/>
  <c r="G582" i="29"/>
  <c r="J582" i="29" s="1"/>
  <c r="L582" i="29" s="1"/>
  <c r="O541" i="29"/>
  <c r="Q541" i="29" s="1"/>
  <c r="S541" i="29" s="1"/>
  <c r="P541" i="29"/>
  <c r="R541" i="29" s="1"/>
  <c r="T541" i="29" s="1"/>
  <c r="M543" i="29"/>
  <c r="N543" i="29" s="1"/>
  <c r="I544" i="29"/>
  <c r="I504" i="29"/>
  <c r="M503" i="29"/>
  <c r="N503" i="29" s="1"/>
  <c r="P492" i="29"/>
  <c r="R492" i="29" s="1"/>
  <c r="O492" i="29"/>
  <c r="Q492" i="29" s="1"/>
  <c r="S492" i="29" s="1"/>
  <c r="P493" i="29"/>
  <c r="R493" i="29" s="1"/>
  <c r="T493" i="29" s="1"/>
  <c r="O493" i="29"/>
  <c r="Q493" i="29" s="1"/>
  <c r="S493" i="29" s="1"/>
  <c r="P457" i="29"/>
  <c r="R457" i="29" s="1"/>
  <c r="T457" i="29" s="1"/>
  <c r="O457" i="29"/>
  <c r="Q457" i="29" s="1"/>
  <c r="S457" i="29" s="1"/>
  <c r="I484" i="29"/>
  <c r="M483" i="29"/>
  <c r="N483" i="29" s="1"/>
  <c r="P468" i="29"/>
  <c r="R468" i="29" s="1"/>
  <c r="T468" i="29" s="1"/>
  <c r="L469" i="29"/>
  <c r="O468" i="29"/>
  <c r="Q468" i="29" s="1"/>
  <c r="S468" i="29" s="1"/>
  <c r="O464" i="29"/>
  <c r="Q464" i="29" s="1"/>
  <c r="S464" i="29" s="1"/>
  <c r="P381" i="29"/>
  <c r="R381" i="29" s="1"/>
  <c r="T381" i="29" s="1"/>
  <c r="O381" i="29"/>
  <c r="Q381" i="29" s="1"/>
  <c r="S381" i="29" s="1"/>
  <c r="P333" i="29"/>
  <c r="R333" i="29" s="1"/>
  <c r="T333" i="29" s="1"/>
  <c r="O333" i="29"/>
  <c r="Q333" i="29" s="1"/>
  <c r="S333" i="29" s="1"/>
  <c r="T367" i="29"/>
  <c r="G422" i="29"/>
  <c r="J422" i="29" s="1"/>
  <c r="L422" i="29" s="1"/>
  <c r="F423" i="29"/>
  <c r="O372" i="29"/>
  <c r="Q372" i="29" s="1"/>
  <c r="S372" i="29" s="1"/>
  <c r="P372" i="29"/>
  <c r="R372" i="29" s="1"/>
  <c r="T372" i="29" s="1"/>
  <c r="K184" i="29"/>
  <c r="H186" i="29"/>
  <c r="H185" i="29"/>
  <c r="K185" i="29" s="1"/>
  <c r="O196" i="29"/>
  <c r="Q196" i="29" s="1"/>
  <c r="S196" i="29" s="1"/>
  <c r="P196" i="29"/>
  <c r="R196" i="29" s="1"/>
  <c r="H364" i="29"/>
  <c r="K364" i="29" s="1"/>
  <c r="K363" i="29"/>
  <c r="G321" i="29"/>
  <c r="M321" i="29"/>
  <c r="N321" i="29" s="1"/>
  <c r="P321" i="29" s="1"/>
  <c r="R321" i="29" s="1"/>
  <c r="T321" i="29" s="1"/>
  <c r="I322" i="29"/>
  <c r="K298" i="29"/>
  <c r="H300" i="29"/>
  <c r="H299" i="29"/>
  <c r="K299" i="29" s="1"/>
  <c r="O288" i="29"/>
  <c r="Q288" i="29" s="1"/>
  <c r="S288" i="29" s="1"/>
  <c r="P288" i="29"/>
  <c r="R288" i="29" s="1"/>
  <c r="T288" i="29" s="1"/>
  <c r="J276" i="29"/>
  <c r="L276" i="29" s="1"/>
  <c r="L273" i="29"/>
  <c r="L262" i="29"/>
  <c r="O261" i="29"/>
  <c r="Q261" i="29" s="1"/>
  <c r="S261" i="29" s="1"/>
  <c r="P261" i="29"/>
  <c r="R261" i="29" s="1"/>
  <c r="T261" i="29" s="1"/>
  <c r="M277" i="29"/>
  <c r="N277" i="29" s="1"/>
  <c r="I278" i="29"/>
  <c r="G228" i="29"/>
  <c r="J228" i="29" s="1"/>
  <c r="L228" i="29" s="1"/>
  <c r="F229" i="29"/>
  <c r="F230" i="29" s="1"/>
  <c r="H144" i="29"/>
  <c r="K144" i="29" s="1"/>
  <c r="K143" i="29"/>
  <c r="O127" i="29"/>
  <c r="Q127" i="29" s="1"/>
  <c r="S127" i="29" s="1"/>
  <c r="P127" i="29"/>
  <c r="R127" i="29" s="1"/>
  <c r="T69" i="29"/>
  <c r="P9" i="29"/>
  <c r="R9" i="29" s="1"/>
  <c r="T9" i="29" s="1"/>
  <c r="O9" i="29"/>
  <c r="Q9" i="29" s="1"/>
  <c r="S9" i="29" s="1"/>
  <c r="G362" i="29"/>
  <c r="J362" i="29" s="1"/>
  <c r="L362" i="29" s="1"/>
  <c r="F363" i="29"/>
  <c r="T49" i="29"/>
  <c r="F276" i="29"/>
  <c r="F277" i="29" s="1"/>
  <c r="G275" i="29"/>
  <c r="J275" i="29" s="1"/>
  <c r="L275" i="29" s="1"/>
  <c r="G206" i="29"/>
  <c r="J206" i="29" s="1"/>
  <c r="L206" i="29" s="1"/>
  <c r="F207" i="29"/>
  <c r="F208" i="29" s="1"/>
  <c r="F19" i="29"/>
  <c r="G18" i="29"/>
  <c r="J18" i="29" s="1"/>
  <c r="L18" i="29" s="1"/>
  <c r="P119" i="29"/>
  <c r="R119" i="29" s="1"/>
  <c r="T119" i="29" s="1"/>
  <c r="O119" i="29"/>
  <c r="Q119" i="29" s="1"/>
  <c r="S119" i="29" s="1"/>
  <c r="P630" i="29"/>
  <c r="R630" i="29" s="1"/>
  <c r="T630" i="29" s="1"/>
  <c r="O630" i="29"/>
  <c r="Q630" i="29" s="1"/>
  <c r="S630" i="29" s="1"/>
  <c r="N598" i="29"/>
  <c r="P598" i="29" s="1"/>
  <c r="R598" i="29" s="1"/>
  <c r="T598" i="29" s="1"/>
  <c r="O598" i="29"/>
  <c r="Q598" i="29" s="1"/>
  <c r="S598" i="29" s="1"/>
  <c r="G620" i="29"/>
  <c r="J620" i="29" s="1"/>
  <c r="L620" i="29" s="1"/>
  <c r="F621" i="29"/>
  <c r="T531" i="29"/>
  <c r="P527" i="29"/>
  <c r="R527" i="29" s="1"/>
  <c r="O527" i="29"/>
  <c r="Q527" i="29" s="1"/>
  <c r="S527" i="29" s="1"/>
  <c r="G522" i="29"/>
  <c r="J522" i="29" s="1"/>
  <c r="L522" i="29" s="1"/>
  <c r="F523" i="29"/>
  <c r="H524" i="29"/>
  <c r="K524" i="29" s="1"/>
  <c r="K523" i="29"/>
  <c r="P479" i="29"/>
  <c r="R479" i="29" s="1"/>
  <c r="T479" i="29" s="1"/>
  <c r="O479" i="29"/>
  <c r="Q479" i="29" s="1"/>
  <c r="S479" i="29" s="1"/>
  <c r="P472" i="29"/>
  <c r="R472" i="29" s="1"/>
  <c r="T472" i="29" s="1"/>
  <c r="O472" i="29"/>
  <c r="Q472" i="29" s="1"/>
  <c r="S472" i="29" s="1"/>
  <c r="O513" i="29"/>
  <c r="Q513" i="29" s="1"/>
  <c r="S513" i="29" s="1"/>
  <c r="P467" i="29"/>
  <c r="R467" i="29" s="1"/>
  <c r="O467" i="29"/>
  <c r="Q467" i="29" s="1"/>
  <c r="S467" i="29" s="1"/>
  <c r="P377" i="29"/>
  <c r="R377" i="29" s="1"/>
  <c r="T377" i="29" s="1"/>
  <c r="O377" i="29"/>
  <c r="Q377" i="29" s="1"/>
  <c r="S377" i="29" s="1"/>
  <c r="P432" i="29"/>
  <c r="R432" i="29" s="1"/>
  <c r="T432" i="29" s="1"/>
  <c r="O432" i="29"/>
  <c r="Q432" i="29" s="1"/>
  <c r="S432" i="29" s="1"/>
  <c r="P394" i="29"/>
  <c r="R394" i="29" s="1"/>
  <c r="T394" i="29" s="1"/>
  <c r="O394" i="29"/>
  <c r="Q394" i="29" s="1"/>
  <c r="S394" i="29" s="1"/>
  <c r="P348" i="29"/>
  <c r="R348" i="29" s="1"/>
  <c r="T348" i="29" s="1"/>
  <c r="O348" i="29"/>
  <c r="Q348" i="29" s="1"/>
  <c r="S348" i="29" s="1"/>
  <c r="L349" i="29"/>
  <c r="I364" i="29"/>
  <c r="M363" i="29"/>
  <c r="N363" i="29" s="1"/>
  <c r="G563" i="29"/>
  <c r="J563" i="29" s="1"/>
  <c r="L563" i="29" s="1"/>
  <c r="F564" i="29"/>
  <c r="F565" i="29" s="1"/>
  <c r="F566" i="29" s="1"/>
  <c r="F567" i="29" s="1"/>
  <c r="F568" i="29" s="1"/>
  <c r="F569" i="29" s="1"/>
  <c r="O494" i="29"/>
  <c r="Q494" i="29" s="1"/>
  <c r="S494" i="29" s="1"/>
  <c r="T411" i="29"/>
  <c r="O352" i="29"/>
  <c r="Q352" i="29" s="1"/>
  <c r="S352" i="29" s="1"/>
  <c r="P352" i="29"/>
  <c r="R352" i="29" s="1"/>
  <c r="G442" i="29"/>
  <c r="J442" i="29" s="1"/>
  <c r="L442" i="29" s="1"/>
  <c r="F443" i="29"/>
  <c r="I404" i="29"/>
  <c r="M403" i="29"/>
  <c r="N403" i="29" s="1"/>
  <c r="F383" i="29"/>
  <c r="G382" i="29"/>
  <c r="J382" i="29" s="1"/>
  <c r="L382" i="29" s="1"/>
  <c r="O338" i="29"/>
  <c r="Q338" i="29" s="1"/>
  <c r="S338" i="29" s="1"/>
  <c r="T431" i="29"/>
  <c r="P315" i="29"/>
  <c r="R315" i="29" s="1"/>
  <c r="T315" i="29" s="1"/>
  <c r="O315" i="29"/>
  <c r="Q315" i="29" s="1"/>
  <c r="S315" i="29" s="1"/>
  <c r="G482" i="29"/>
  <c r="J482" i="29" s="1"/>
  <c r="L482" i="29" s="1"/>
  <c r="F483" i="29"/>
  <c r="I424" i="29"/>
  <c r="M423" i="29"/>
  <c r="N423" i="29" s="1"/>
  <c r="O421" i="29"/>
  <c r="Q421" i="29" s="1"/>
  <c r="S421" i="29" s="1"/>
  <c r="P421" i="29"/>
  <c r="R421" i="29" s="1"/>
  <c r="T421" i="29" s="1"/>
  <c r="K443" i="29"/>
  <c r="H444" i="29"/>
  <c r="K444" i="29" s="1"/>
  <c r="P449" i="29"/>
  <c r="R449" i="29" s="1"/>
  <c r="T449" i="29" s="1"/>
  <c r="O449" i="29"/>
  <c r="Q449" i="29" s="1"/>
  <c r="S449" i="29" s="1"/>
  <c r="T371" i="29"/>
  <c r="P297" i="29"/>
  <c r="R297" i="29" s="1"/>
  <c r="T297" i="29" s="1"/>
  <c r="O297" i="29"/>
  <c r="Q297" i="29" s="1"/>
  <c r="S297" i="29" s="1"/>
  <c r="P272" i="29"/>
  <c r="R272" i="29" s="1"/>
  <c r="T272" i="29" s="1"/>
  <c r="O272" i="29"/>
  <c r="Q272" i="29" s="1"/>
  <c r="S272" i="29" s="1"/>
  <c r="O220" i="29"/>
  <c r="Q220" i="29" s="1"/>
  <c r="S220" i="29" s="1"/>
  <c r="P220" i="29"/>
  <c r="R220" i="29" s="1"/>
  <c r="T220" i="29" s="1"/>
  <c r="P169" i="29"/>
  <c r="R169" i="29" s="1"/>
  <c r="O169" i="29"/>
  <c r="Q169" i="29" s="1"/>
  <c r="S169" i="29" s="1"/>
  <c r="P97" i="29"/>
  <c r="R97" i="29" s="1"/>
  <c r="T97" i="29" s="1"/>
  <c r="O97" i="29"/>
  <c r="Q97" i="29" s="1"/>
  <c r="S97" i="29" s="1"/>
  <c r="P462" i="29"/>
  <c r="R462" i="29" s="1"/>
  <c r="T462" i="29" s="1"/>
  <c r="O462" i="29"/>
  <c r="Q462" i="29" s="1"/>
  <c r="S462" i="29" s="1"/>
  <c r="P501" i="29"/>
  <c r="R501" i="29" s="1"/>
  <c r="T501" i="29" s="1"/>
  <c r="O501" i="29"/>
  <c r="Q501" i="29" s="1"/>
  <c r="S501" i="29" s="1"/>
  <c r="O341" i="29"/>
  <c r="Q341" i="29" s="1"/>
  <c r="S341" i="29" s="1"/>
  <c r="O270" i="29"/>
  <c r="Q270" i="29" s="1"/>
  <c r="S270" i="29" s="1"/>
  <c r="P270" i="29"/>
  <c r="R270" i="29" s="1"/>
  <c r="T270" i="29" s="1"/>
  <c r="K228" i="29"/>
  <c r="H230" i="29"/>
  <c r="H229" i="29"/>
  <c r="K229" i="29" s="1"/>
  <c r="P154" i="29"/>
  <c r="R154" i="29" s="1"/>
  <c r="T154" i="29" s="1"/>
  <c r="O154" i="29"/>
  <c r="Q154" i="29" s="1"/>
  <c r="S154" i="29" s="1"/>
  <c r="N386" i="29"/>
  <c r="P386" i="29" s="1"/>
  <c r="R386" i="29" s="1"/>
  <c r="T386" i="29" s="1"/>
  <c r="O386" i="29"/>
  <c r="Q386" i="29" s="1"/>
  <c r="S386" i="29" s="1"/>
  <c r="F344" i="29"/>
  <c r="F345" i="29" s="1"/>
  <c r="F346" i="29" s="1"/>
  <c r="F347" i="29" s="1"/>
  <c r="F348" i="29" s="1"/>
  <c r="F349" i="29" s="1"/>
  <c r="G343" i="29"/>
  <c r="J343" i="29" s="1"/>
  <c r="L343" i="29" s="1"/>
  <c r="T331" i="29"/>
  <c r="O203" i="29"/>
  <c r="Q203" i="29" s="1"/>
  <c r="S203" i="29" s="1"/>
  <c r="O227" i="29"/>
  <c r="Q227" i="29" s="1"/>
  <c r="S227" i="29" s="1"/>
  <c r="P227" i="29"/>
  <c r="R227" i="29" s="1"/>
  <c r="T227" i="29" s="1"/>
  <c r="O111" i="29"/>
  <c r="Q111" i="29" s="1"/>
  <c r="S111" i="29" s="1"/>
  <c r="P111" i="29"/>
  <c r="R111" i="29" s="1"/>
  <c r="T111" i="29" s="1"/>
  <c r="O51" i="29"/>
  <c r="Q51" i="29" s="1"/>
  <c r="S51" i="29" s="1"/>
  <c r="P51" i="29"/>
  <c r="R51" i="29" s="1"/>
  <c r="T51" i="29" s="1"/>
  <c r="O14" i="29"/>
  <c r="Q14" i="29" s="1"/>
  <c r="S14" i="29" s="1"/>
  <c r="R7" i="29"/>
  <c r="O361" i="29"/>
  <c r="Q361" i="29" s="1"/>
  <c r="S361" i="29" s="1"/>
  <c r="P361" i="29"/>
  <c r="R361" i="29" s="1"/>
  <c r="T361" i="29" s="1"/>
  <c r="O99" i="29"/>
  <c r="Q99" i="29" s="1"/>
  <c r="S99" i="29" s="1"/>
  <c r="P99" i="29"/>
  <c r="R99" i="29" s="1"/>
  <c r="T99" i="29" s="1"/>
  <c r="F81" i="29"/>
  <c r="G80" i="29"/>
  <c r="J80" i="29" s="1"/>
  <c r="L80" i="29" s="1"/>
  <c r="P55" i="29"/>
  <c r="R55" i="29" s="1"/>
  <c r="T55" i="29" s="1"/>
  <c r="O55" i="29"/>
  <c r="Q55" i="29" s="1"/>
  <c r="S55" i="29" s="1"/>
  <c r="O71" i="29"/>
  <c r="Q71" i="29" s="1"/>
  <c r="S71" i="29" s="1"/>
  <c r="H62" i="29"/>
  <c r="K62" i="29" s="1"/>
  <c r="K61" i="29"/>
  <c r="O166" i="29"/>
  <c r="Q166" i="29" s="1"/>
  <c r="S166" i="29" s="1"/>
  <c r="N166" i="29"/>
  <c r="P166" i="29" s="1"/>
  <c r="R166" i="29" s="1"/>
  <c r="T166" i="29" s="1"/>
  <c r="P149" i="29"/>
  <c r="R149" i="29" s="1"/>
  <c r="O149" i="29"/>
  <c r="Q149" i="29" s="1"/>
  <c r="S149" i="29" s="1"/>
  <c r="P117" i="29"/>
  <c r="R117" i="29" s="1"/>
  <c r="T117" i="29" s="1"/>
  <c r="O117" i="29"/>
  <c r="Q117" i="29" s="1"/>
  <c r="S117" i="29" s="1"/>
  <c r="U105" i="29"/>
  <c r="T105" i="29"/>
  <c r="O72" i="29"/>
  <c r="Q72" i="29" s="1"/>
  <c r="S72" i="29" s="1"/>
  <c r="N72" i="29"/>
  <c r="P72" i="29" s="1"/>
  <c r="R72" i="29" s="1"/>
  <c r="T72" i="29" s="1"/>
  <c r="P90" i="29"/>
  <c r="R90" i="29" s="1"/>
  <c r="O90" i="29"/>
  <c r="Q90" i="29" s="1"/>
  <c r="S90" i="29" s="1"/>
  <c r="G184" i="29"/>
  <c r="J184" i="29" s="1"/>
  <c r="L184" i="29" s="1"/>
  <c r="F185" i="29"/>
  <c r="F186" i="29" s="1"/>
  <c r="P141" i="29"/>
  <c r="R141" i="29" s="1"/>
  <c r="T141" i="29" s="1"/>
  <c r="O141" i="29"/>
  <c r="Q141" i="29" s="1"/>
  <c r="S141" i="29" s="1"/>
  <c r="F121" i="29"/>
  <c r="G120" i="29"/>
  <c r="J120" i="29" s="1"/>
  <c r="L120" i="29" s="1"/>
  <c r="H654" i="29"/>
  <c r="K653" i="29"/>
  <c r="P637" i="29"/>
  <c r="R637" i="29" s="1"/>
  <c r="T637" i="29" s="1"/>
  <c r="O637" i="29"/>
  <c r="Q637" i="29" s="1"/>
  <c r="S637" i="29" s="1"/>
  <c r="N554" i="29"/>
  <c r="P554" i="29" s="1"/>
  <c r="R554" i="29" s="1"/>
  <c r="T554" i="29" s="1"/>
  <c r="O554" i="29"/>
  <c r="Q554" i="29" s="1"/>
  <c r="S554" i="29" s="1"/>
  <c r="G542" i="29"/>
  <c r="J542" i="29" s="1"/>
  <c r="L542" i="29" s="1"/>
  <c r="F543" i="29"/>
  <c r="K422" i="29"/>
  <c r="H423" i="29"/>
  <c r="O611" i="29"/>
  <c r="Q611" i="29" s="1"/>
  <c r="S611" i="29" s="1"/>
  <c r="N611" i="29"/>
  <c r="P611" i="29" s="1"/>
  <c r="R611" i="29" s="1"/>
  <c r="T611" i="29" s="1"/>
  <c r="O612" i="29"/>
  <c r="Q612" i="29" s="1"/>
  <c r="S612" i="29" s="1"/>
  <c r="N518" i="29"/>
  <c r="P518" i="29" s="1"/>
  <c r="R518" i="29" s="1"/>
  <c r="T518" i="29" s="1"/>
  <c r="O518" i="29"/>
  <c r="Q518" i="29" s="1"/>
  <c r="S518" i="29" s="1"/>
  <c r="O559" i="29"/>
  <c r="Q559" i="29" s="1"/>
  <c r="S559" i="29" s="1"/>
  <c r="P559" i="29"/>
  <c r="R559" i="29" s="1"/>
  <c r="T559" i="29" s="1"/>
  <c r="P488" i="29"/>
  <c r="R488" i="29" s="1"/>
  <c r="T488" i="29" s="1"/>
  <c r="O488" i="29"/>
  <c r="Q488" i="29" s="1"/>
  <c r="S488" i="29" s="1"/>
  <c r="L489" i="29"/>
  <c r="P419" i="29"/>
  <c r="R419" i="29" s="1"/>
  <c r="T419" i="29" s="1"/>
  <c r="O419" i="29"/>
  <c r="Q419" i="29" s="1"/>
  <c r="S419" i="29" s="1"/>
  <c r="P387" i="29"/>
  <c r="R387" i="29" s="1"/>
  <c r="O387" i="29"/>
  <c r="Q387" i="29" s="1"/>
  <c r="S387" i="29" s="1"/>
  <c r="P407" i="29"/>
  <c r="R407" i="29" s="1"/>
  <c r="O407" i="29"/>
  <c r="Q407" i="29" s="1"/>
  <c r="S407" i="29" s="1"/>
  <c r="O474" i="29"/>
  <c r="Q474" i="29" s="1"/>
  <c r="S474" i="29" s="1"/>
  <c r="O417" i="29"/>
  <c r="Q417" i="29" s="1"/>
  <c r="S417" i="29" s="1"/>
  <c r="P417" i="29"/>
  <c r="R417" i="29" s="1"/>
  <c r="T417" i="29" s="1"/>
  <c r="I300" i="29"/>
  <c r="M299" i="29"/>
  <c r="G299" i="29"/>
  <c r="T305" i="29"/>
  <c r="P389" i="29"/>
  <c r="R389" i="29" s="1"/>
  <c r="T389" i="29" s="1"/>
  <c r="O389" i="29"/>
  <c r="Q389" i="29" s="1"/>
  <c r="S389" i="29" s="1"/>
  <c r="P157" i="29"/>
  <c r="R157" i="29" s="1"/>
  <c r="T157" i="29" s="1"/>
  <c r="O157" i="29"/>
  <c r="Q157" i="29" s="1"/>
  <c r="S157" i="29" s="1"/>
  <c r="I144" i="29"/>
  <c r="M143" i="29"/>
  <c r="N143" i="29" s="1"/>
  <c r="P289" i="29"/>
  <c r="R289" i="29" s="1"/>
  <c r="T289" i="29" s="1"/>
  <c r="O289" i="29"/>
  <c r="Q289" i="29" s="1"/>
  <c r="S289" i="29" s="1"/>
  <c r="O250" i="29"/>
  <c r="Q250" i="29" s="1"/>
  <c r="S250" i="29" s="1"/>
  <c r="P250" i="29"/>
  <c r="R250" i="29" s="1"/>
  <c r="T250" i="29" s="1"/>
  <c r="P461" i="29"/>
  <c r="R461" i="29" s="1"/>
  <c r="T461" i="29" s="1"/>
  <c r="O461" i="29"/>
  <c r="Q461" i="29" s="1"/>
  <c r="S461" i="29" s="1"/>
  <c r="P342" i="29"/>
  <c r="R342" i="29" s="1"/>
  <c r="T342" i="29" s="1"/>
  <c r="O342" i="29"/>
  <c r="Q342" i="29" s="1"/>
  <c r="S342" i="29" s="1"/>
  <c r="P298" i="29"/>
  <c r="R298" i="29" s="1"/>
  <c r="T298" i="29" s="1"/>
  <c r="O298" i="29"/>
  <c r="Q298" i="29" s="1"/>
  <c r="S298" i="29" s="1"/>
  <c r="K275" i="29"/>
  <c r="H277" i="29"/>
  <c r="H276" i="29"/>
  <c r="K276" i="29" s="1"/>
  <c r="P79" i="29"/>
  <c r="R79" i="29" s="1"/>
  <c r="T79" i="29" s="1"/>
  <c r="O79" i="29"/>
  <c r="Q79" i="29" s="1"/>
  <c r="S79" i="29" s="1"/>
  <c r="O132" i="29"/>
  <c r="Q132" i="29" s="1"/>
  <c r="S132" i="29" s="1"/>
  <c r="P132" i="29"/>
  <c r="R132" i="29" s="1"/>
  <c r="P66" i="29"/>
  <c r="R66" i="29" s="1"/>
  <c r="T66" i="29" s="1"/>
  <c r="L67" i="29"/>
  <c r="O66" i="29"/>
  <c r="Q66" i="29" s="1"/>
  <c r="S66" i="29" s="1"/>
  <c r="K40" i="29"/>
  <c r="H41" i="29"/>
  <c r="T45" i="29"/>
  <c r="I164" i="29"/>
  <c r="M163" i="29"/>
  <c r="N163" i="29" s="1"/>
  <c r="P161" i="29"/>
  <c r="R161" i="29" s="1"/>
  <c r="T161" i="29" s="1"/>
  <c r="O161" i="29"/>
  <c r="Q161" i="29" s="1"/>
  <c r="S161" i="29" s="1"/>
  <c r="P59" i="29"/>
  <c r="R59" i="29" s="1"/>
  <c r="T59" i="29" s="1"/>
  <c r="O59" i="29"/>
  <c r="Q59" i="29" s="1"/>
  <c r="S59" i="29" s="1"/>
  <c r="O643" i="29"/>
  <c r="Q643" i="29" s="1"/>
  <c r="S643" i="29" s="1"/>
  <c r="P643" i="29"/>
  <c r="R643" i="29" s="1"/>
  <c r="T643" i="29" s="1"/>
  <c r="G617" i="29"/>
  <c r="P646" i="29"/>
  <c r="R646" i="29" s="1"/>
  <c r="T646" i="29" s="1"/>
  <c r="O646" i="29"/>
  <c r="Q646" i="29" s="1"/>
  <c r="S646" i="29" s="1"/>
  <c r="T627" i="29"/>
  <c r="P607" i="29"/>
  <c r="R607" i="29" s="1"/>
  <c r="T607" i="29" s="1"/>
  <c r="O607" i="29"/>
  <c r="Q607" i="29" s="1"/>
  <c r="S607" i="29" s="1"/>
  <c r="N579" i="29"/>
  <c r="P579" i="29" s="1"/>
  <c r="R579" i="29" s="1"/>
  <c r="T579" i="29" s="1"/>
  <c r="O579" i="29"/>
  <c r="Q579" i="29" s="1"/>
  <c r="S579" i="29" s="1"/>
  <c r="P539" i="29"/>
  <c r="R539" i="29" s="1"/>
  <c r="T539" i="29" s="1"/>
  <c r="O539" i="29"/>
  <c r="Q539" i="29" s="1"/>
  <c r="S539" i="29" s="1"/>
  <c r="T642" i="29"/>
  <c r="H622" i="29"/>
  <c r="K622" i="29" s="1"/>
  <c r="K621" i="29"/>
  <c r="G653" i="29"/>
  <c r="J653" i="29" s="1"/>
  <c r="L653" i="29" s="1"/>
  <c r="F654" i="29"/>
  <c r="O592" i="29"/>
  <c r="Q592" i="29" s="1"/>
  <c r="S592" i="29" s="1"/>
  <c r="P592" i="29"/>
  <c r="R592" i="29" s="1"/>
  <c r="T592" i="29" s="1"/>
  <c r="I564" i="29"/>
  <c r="M563" i="29"/>
  <c r="N563" i="29" s="1"/>
  <c r="B659" i="29"/>
  <c r="B663" i="29" s="1"/>
  <c r="B667" i="29" s="1"/>
  <c r="B656" i="29"/>
  <c r="T609" i="29"/>
  <c r="O578" i="29"/>
  <c r="Q578" i="29" s="1"/>
  <c r="S578" i="29" s="1"/>
  <c r="N578" i="29"/>
  <c r="P578" i="29" s="1"/>
  <c r="R578" i="29" s="1"/>
  <c r="T578" i="29" s="1"/>
  <c r="P619" i="29"/>
  <c r="R619" i="29" s="1"/>
  <c r="T619" i="29" s="1"/>
  <c r="O619" i="29"/>
  <c r="Q619" i="29" s="1"/>
  <c r="S619" i="29" s="1"/>
  <c r="L569" i="29"/>
  <c r="O568" i="29"/>
  <c r="Q568" i="29" s="1"/>
  <c r="S568" i="29" s="1"/>
  <c r="P568" i="29"/>
  <c r="R568" i="29" s="1"/>
  <c r="P548" i="29"/>
  <c r="R548" i="29" s="1"/>
  <c r="T548" i="29" s="1"/>
  <c r="L549" i="29"/>
  <c r="O548" i="29"/>
  <c r="Q548" i="29" s="1"/>
  <c r="S548" i="29" s="1"/>
  <c r="O512" i="29"/>
  <c r="Q512" i="29" s="1"/>
  <c r="S512" i="29" s="1"/>
  <c r="P512" i="29"/>
  <c r="R512" i="29" s="1"/>
  <c r="O594" i="29"/>
  <c r="Q594" i="29" s="1"/>
  <c r="S594" i="29" s="1"/>
  <c r="G584" i="29"/>
  <c r="M584" i="29"/>
  <c r="P577" i="29"/>
  <c r="R577" i="29" s="1"/>
  <c r="T577" i="29" s="1"/>
  <c r="O577" i="29"/>
  <c r="Q577" i="29" s="1"/>
  <c r="S577" i="29" s="1"/>
  <c r="P589" i="29"/>
  <c r="R589" i="29" s="1"/>
  <c r="T589" i="29" s="1"/>
  <c r="O589" i="29"/>
  <c r="Q589" i="29" s="1"/>
  <c r="S589" i="29" s="1"/>
  <c r="O537" i="29"/>
  <c r="Q537" i="29" s="1"/>
  <c r="S537" i="29" s="1"/>
  <c r="P521" i="29"/>
  <c r="R521" i="29" s="1"/>
  <c r="T521" i="29" s="1"/>
  <c r="O521" i="29"/>
  <c r="Q521" i="29" s="1"/>
  <c r="S521" i="29" s="1"/>
  <c r="P553" i="29"/>
  <c r="R553" i="29" s="1"/>
  <c r="T553" i="29" s="1"/>
  <c r="O553" i="29"/>
  <c r="Q553" i="29" s="1"/>
  <c r="S553" i="29" s="1"/>
  <c r="T507" i="29"/>
  <c r="K503" i="29"/>
  <c r="H504" i="29"/>
  <c r="K504" i="29" s="1"/>
  <c r="P499" i="29"/>
  <c r="R499" i="29" s="1"/>
  <c r="T499" i="29" s="1"/>
  <c r="O499" i="29"/>
  <c r="Q499" i="29" s="1"/>
  <c r="S499" i="29" s="1"/>
  <c r="T471" i="29"/>
  <c r="P452" i="29"/>
  <c r="R452" i="29" s="1"/>
  <c r="T452" i="29" s="1"/>
  <c r="O452" i="29"/>
  <c r="Q452" i="29" s="1"/>
  <c r="S452" i="29" s="1"/>
  <c r="O406" i="29"/>
  <c r="Q406" i="29" s="1"/>
  <c r="S406" i="29" s="1"/>
  <c r="T487" i="29"/>
  <c r="N433" i="29"/>
  <c r="P433" i="29" s="1"/>
  <c r="R433" i="29" s="1"/>
  <c r="T433" i="29" s="1"/>
  <c r="O433" i="29"/>
  <c r="Q433" i="29" s="1"/>
  <c r="S433" i="29" s="1"/>
  <c r="H404" i="29"/>
  <c r="K404" i="29" s="1"/>
  <c r="K403" i="29"/>
  <c r="O392" i="29"/>
  <c r="Q392" i="29" s="1"/>
  <c r="S392" i="29" s="1"/>
  <c r="O562" i="29"/>
  <c r="Q562" i="29" s="1"/>
  <c r="S562" i="29" s="1"/>
  <c r="P562" i="29"/>
  <c r="R562" i="29" s="1"/>
  <c r="T562" i="29" s="1"/>
  <c r="K482" i="29"/>
  <c r="H483" i="29"/>
  <c r="I444" i="29"/>
  <c r="M443" i="29"/>
  <c r="N443" i="29" s="1"/>
  <c r="O427" i="29"/>
  <c r="Q427" i="29" s="1"/>
  <c r="S427" i="29" s="1"/>
  <c r="P427" i="29"/>
  <c r="R427" i="29" s="1"/>
  <c r="P441" i="29"/>
  <c r="R441" i="29" s="1"/>
  <c r="T441" i="29" s="1"/>
  <c r="O441" i="29"/>
  <c r="Q441" i="29" s="1"/>
  <c r="S441" i="29" s="1"/>
  <c r="O359" i="29"/>
  <c r="Q359" i="29" s="1"/>
  <c r="S359" i="29" s="1"/>
  <c r="P359" i="29"/>
  <c r="R359" i="29" s="1"/>
  <c r="T359" i="29" s="1"/>
  <c r="P339" i="29"/>
  <c r="R339" i="29" s="1"/>
  <c r="T339" i="29" s="1"/>
  <c r="O339" i="29"/>
  <c r="Q339" i="29" s="1"/>
  <c r="S339" i="29" s="1"/>
  <c r="I255" i="29"/>
  <c r="M254" i="29"/>
  <c r="G254" i="29"/>
  <c r="O481" i="29"/>
  <c r="Q481" i="29" s="1"/>
  <c r="S481" i="29" s="1"/>
  <c r="P481" i="29"/>
  <c r="R481" i="29" s="1"/>
  <c r="T481" i="29" s="1"/>
  <c r="G402" i="29"/>
  <c r="J402" i="29" s="1"/>
  <c r="L402" i="29" s="1"/>
  <c r="F403" i="29"/>
  <c r="O379" i="29"/>
  <c r="Q379" i="29" s="1"/>
  <c r="S379" i="29" s="1"/>
  <c r="P379" i="29"/>
  <c r="R379" i="29" s="1"/>
  <c r="T379" i="29" s="1"/>
  <c r="T309" i="29"/>
  <c r="I384" i="29"/>
  <c r="M383" i="29"/>
  <c r="N383" i="29" s="1"/>
  <c r="H323" i="29"/>
  <c r="K323" i="29" s="1"/>
  <c r="K322" i="29"/>
  <c r="P312" i="29"/>
  <c r="R312" i="29" s="1"/>
  <c r="T312" i="29" s="1"/>
  <c r="O312" i="29"/>
  <c r="Q312" i="29" s="1"/>
  <c r="S312" i="29" s="1"/>
  <c r="P267" i="29"/>
  <c r="R267" i="29" s="1"/>
  <c r="T267" i="29" s="1"/>
  <c r="O267" i="29"/>
  <c r="Q267" i="29" s="1"/>
  <c r="S267" i="29" s="1"/>
  <c r="T217" i="29"/>
  <c r="I208" i="29"/>
  <c r="M207" i="29"/>
  <c r="G207" i="29"/>
  <c r="N198" i="29"/>
  <c r="P198" i="29" s="1"/>
  <c r="R198" i="29" s="1"/>
  <c r="T198" i="29" s="1"/>
  <c r="O198" i="29"/>
  <c r="Q198" i="29" s="1"/>
  <c r="S198" i="29" s="1"/>
  <c r="N134" i="29"/>
  <c r="P134" i="29" s="1"/>
  <c r="R134" i="29" s="1"/>
  <c r="T134" i="29" s="1"/>
  <c r="O134" i="29"/>
  <c r="Q134" i="29" s="1"/>
  <c r="S134" i="29" s="1"/>
  <c r="P91" i="29"/>
  <c r="R91" i="29" s="1"/>
  <c r="T91" i="29" s="1"/>
  <c r="O91" i="29"/>
  <c r="Q91" i="29" s="1"/>
  <c r="S91" i="29" s="1"/>
  <c r="O179" i="29"/>
  <c r="Q179" i="29" s="1"/>
  <c r="S179" i="29" s="1"/>
  <c r="P110" i="29"/>
  <c r="R110" i="29" s="1"/>
  <c r="O110" i="29"/>
  <c r="Q110" i="29" s="1"/>
  <c r="S110" i="29" s="1"/>
  <c r="P95" i="29"/>
  <c r="R95" i="29" s="1"/>
  <c r="T95" i="29" s="1"/>
  <c r="O95" i="29"/>
  <c r="Q95" i="29" s="1"/>
  <c r="S95" i="29" s="1"/>
  <c r="F464" i="29"/>
  <c r="F465" i="29" s="1"/>
  <c r="F466" i="29" s="1"/>
  <c r="F467" i="29" s="1"/>
  <c r="F468" i="29" s="1"/>
  <c r="F469" i="29" s="1"/>
  <c r="G463" i="29"/>
  <c r="J463" i="29" s="1"/>
  <c r="L463" i="29" s="1"/>
  <c r="L369" i="29"/>
  <c r="O368" i="29"/>
  <c r="Q368" i="29" s="1"/>
  <c r="S368" i="29" s="1"/>
  <c r="P368" i="29"/>
  <c r="R368" i="29" s="1"/>
  <c r="T368" i="29" s="1"/>
  <c r="G320" i="29"/>
  <c r="J320" i="29" s="1"/>
  <c r="L320" i="29" s="1"/>
  <c r="F321" i="29"/>
  <c r="F322" i="29" s="1"/>
  <c r="G502" i="29"/>
  <c r="J502" i="29" s="1"/>
  <c r="L502" i="29" s="1"/>
  <c r="F503" i="29"/>
  <c r="T347" i="29"/>
  <c r="P295" i="29"/>
  <c r="R295" i="29" s="1"/>
  <c r="T295" i="29" s="1"/>
  <c r="O295" i="29"/>
  <c r="Q295" i="29" s="1"/>
  <c r="S295" i="29" s="1"/>
  <c r="P244" i="29"/>
  <c r="R244" i="29" s="1"/>
  <c r="T244" i="29" s="1"/>
  <c r="O244" i="29"/>
  <c r="Q244" i="29" s="1"/>
  <c r="S244" i="29" s="1"/>
  <c r="O152" i="29"/>
  <c r="Q152" i="29" s="1"/>
  <c r="S152" i="29" s="1"/>
  <c r="P152" i="29"/>
  <c r="R152" i="29" s="1"/>
  <c r="O290" i="29"/>
  <c r="Q290" i="29" s="1"/>
  <c r="S290" i="29" s="1"/>
  <c r="T287" i="29"/>
  <c r="O245" i="29"/>
  <c r="Q245" i="29" s="1"/>
  <c r="S245" i="29" s="1"/>
  <c r="O223" i="29"/>
  <c r="Q223" i="29" s="1"/>
  <c r="S223" i="29" s="1"/>
  <c r="P223" i="29"/>
  <c r="R223" i="29" s="1"/>
  <c r="T223" i="29" s="1"/>
  <c r="M184" i="29"/>
  <c r="N184" i="29" s="1"/>
  <c r="I185" i="29"/>
  <c r="F254" i="29"/>
  <c r="F255" i="29" s="1"/>
  <c r="G253" i="29"/>
  <c r="J253" i="29" s="1"/>
  <c r="L253" i="29" s="1"/>
  <c r="P15" i="29"/>
  <c r="R15" i="29" s="1"/>
  <c r="T15" i="29" s="1"/>
  <c r="O15" i="29"/>
  <c r="Q15" i="29" s="1"/>
  <c r="S15" i="29" s="1"/>
  <c r="O32" i="29"/>
  <c r="Q32" i="29" s="1"/>
  <c r="S32" i="29" s="1"/>
  <c r="S7" i="29"/>
  <c r="F101" i="29"/>
  <c r="G100" i="29"/>
  <c r="J100" i="29" s="1"/>
  <c r="L100" i="29" s="1"/>
  <c r="G40" i="29"/>
  <c r="J40" i="29" s="1"/>
  <c r="L40" i="29" s="1"/>
  <c r="F41" i="29"/>
  <c r="G229" i="29"/>
  <c r="I230" i="29"/>
  <c r="M229" i="29"/>
  <c r="T238" i="29"/>
  <c r="K120" i="29"/>
  <c r="H121" i="29"/>
  <c r="P92" i="29"/>
  <c r="R92" i="29" s="1"/>
  <c r="T92" i="29" s="1"/>
  <c r="O92" i="29"/>
  <c r="Q92" i="29" s="1"/>
  <c r="S92" i="29" s="1"/>
  <c r="P129" i="29"/>
  <c r="R129" i="29" s="1"/>
  <c r="T129" i="29" s="1"/>
  <c r="O129" i="29"/>
  <c r="Q129" i="29" s="1"/>
  <c r="S129" i="29" s="1"/>
  <c r="O183" i="29"/>
  <c r="Q183" i="29" s="1"/>
  <c r="S183" i="29" s="1"/>
  <c r="P183" i="29"/>
  <c r="R183" i="29" s="1"/>
  <c r="T183" i="29" s="1"/>
  <c r="G142" i="29"/>
  <c r="J142" i="29" s="1"/>
  <c r="L142" i="29" s="1"/>
  <c r="F143" i="29"/>
  <c r="P628" i="29"/>
  <c r="R628" i="29" s="1"/>
  <c r="T628" i="29" s="1"/>
  <c r="O628" i="29"/>
  <c r="Q628" i="29" s="1"/>
  <c r="S628" i="29" s="1"/>
  <c r="O652" i="29"/>
  <c r="Q652" i="29" s="1"/>
  <c r="S652" i="29" s="1"/>
  <c r="P652" i="29"/>
  <c r="R652" i="29" s="1"/>
  <c r="T652" i="29" s="1"/>
  <c r="K639" i="29"/>
  <c r="H640" i="29"/>
  <c r="K640" i="29" s="1"/>
  <c r="O624" i="29"/>
  <c r="Q624" i="29" s="1"/>
  <c r="S624" i="29" s="1"/>
  <c r="L625" i="29"/>
  <c r="P624" i="29"/>
  <c r="R624" i="29" s="1"/>
  <c r="H584" i="29"/>
  <c r="K584" i="29" s="1"/>
  <c r="K583" i="29"/>
  <c r="P574" i="29"/>
  <c r="R574" i="29" s="1"/>
  <c r="T574" i="29" s="1"/>
  <c r="O574" i="29"/>
  <c r="Q574" i="29" s="1"/>
  <c r="S574" i="29" s="1"/>
  <c r="P581" i="29"/>
  <c r="R581" i="29" s="1"/>
  <c r="T581" i="29" s="1"/>
  <c r="O581" i="29"/>
  <c r="Q581" i="29" s="1"/>
  <c r="S581" i="29" s="1"/>
  <c r="O561" i="29"/>
  <c r="Q561" i="29" s="1"/>
  <c r="S561" i="29" s="1"/>
  <c r="P459" i="29"/>
  <c r="R459" i="29" s="1"/>
  <c r="T459" i="29" s="1"/>
  <c r="O459" i="29"/>
  <c r="Q459" i="29" s="1"/>
  <c r="S459" i="29" s="1"/>
  <c r="T451" i="29"/>
  <c r="P353" i="29"/>
  <c r="R353" i="29" s="1"/>
  <c r="T353" i="29" s="1"/>
  <c r="O353" i="29"/>
  <c r="Q353" i="29" s="1"/>
  <c r="S353" i="29" s="1"/>
  <c r="I344" i="29"/>
  <c r="M343" i="29"/>
  <c r="N343" i="29" s="1"/>
  <c r="P332" i="29"/>
  <c r="R332" i="29" s="1"/>
  <c r="T332" i="29" s="1"/>
  <c r="O332" i="29"/>
  <c r="Q332" i="29" s="1"/>
  <c r="S332" i="29" s="1"/>
  <c r="O434" i="29"/>
  <c r="Q434" i="29" s="1"/>
  <c r="S434" i="29" s="1"/>
  <c r="P401" i="29"/>
  <c r="R401" i="29" s="1"/>
  <c r="T401" i="29" s="1"/>
  <c r="O401" i="29"/>
  <c r="Q401" i="29" s="1"/>
  <c r="S401" i="29" s="1"/>
  <c r="P373" i="29"/>
  <c r="R373" i="29" s="1"/>
  <c r="T373" i="29" s="1"/>
  <c r="O373" i="29"/>
  <c r="Q373" i="29" s="1"/>
  <c r="S373" i="29" s="1"/>
  <c r="P329" i="29"/>
  <c r="R329" i="29" s="1"/>
  <c r="T329" i="29" s="1"/>
  <c r="O329" i="29"/>
  <c r="Q329" i="29" s="1"/>
  <c r="S329" i="29" s="1"/>
  <c r="L307" i="29"/>
  <c r="O306" i="29"/>
  <c r="Q306" i="29" s="1"/>
  <c r="S306" i="29" s="1"/>
  <c r="P306" i="29"/>
  <c r="R306" i="29" s="1"/>
  <c r="T306" i="29" s="1"/>
  <c r="O264" i="29"/>
  <c r="Q264" i="29" s="1"/>
  <c r="S264" i="29" s="1"/>
  <c r="P264" i="29"/>
  <c r="R264" i="29" s="1"/>
  <c r="T260" i="29"/>
  <c r="L215" i="29"/>
  <c r="P214" i="29"/>
  <c r="R214" i="29" s="1"/>
  <c r="O214" i="29"/>
  <c r="Q214" i="29" s="1"/>
  <c r="S214" i="29" s="1"/>
  <c r="N197" i="29"/>
  <c r="P197" i="29" s="1"/>
  <c r="R197" i="29" s="1"/>
  <c r="T197" i="29" s="1"/>
  <c r="O197" i="29"/>
  <c r="Q197" i="29" s="1"/>
  <c r="S197" i="29" s="1"/>
  <c r="T191" i="29"/>
  <c r="U190" i="29"/>
  <c r="N133" i="29"/>
  <c r="P133" i="29" s="1"/>
  <c r="R133" i="29" s="1"/>
  <c r="T133" i="29" s="1"/>
  <c r="O133" i="29"/>
  <c r="Q133" i="29" s="1"/>
  <c r="S133" i="29" s="1"/>
  <c r="P319" i="29"/>
  <c r="R319" i="29" s="1"/>
  <c r="T319" i="29" s="1"/>
  <c r="O319" i="29"/>
  <c r="Q319" i="29" s="1"/>
  <c r="S319" i="29" s="1"/>
  <c r="O409" i="29"/>
  <c r="Q409" i="29" s="1"/>
  <c r="S409" i="29" s="1"/>
  <c r="P409" i="29"/>
  <c r="R409" i="29" s="1"/>
  <c r="T409" i="29" s="1"/>
  <c r="P266" i="29"/>
  <c r="R266" i="29" s="1"/>
  <c r="T266" i="29" s="1"/>
  <c r="O266" i="29"/>
  <c r="Q266" i="29" s="1"/>
  <c r="S266" i="29" s="1"/>
  <c r="L265" i="29"/>
  <c r="P240" i="29"/>
  <c r="R240" i="29" s="1"/>
  <c r="T240" i="29" s="1"/>
  <c r="O240" i="29"/>
  <c r="Q240" i="29" s="1"/>
  <c r="S240" i="29" s="1"/>
  <c r="L284" i="29"/>
  <c r="P268" i="29"/>
  <c r="R268" i="29" s="1"/>
  <c r="T268" i="29" s="1"/>
  <c r="O268" i="29"/>
  <c r="Q268" i="29" s="1"/>
  <c r="S268" i="29" s="1"/>
  <c r="H256" i="29"/>
  <c r="K256" i="29" s="1"/>
  <c r="K255" i="29"/>
  <c r="P252" i="29"/>
  <c r="R252" i="29" s="1"/>
  <c r="T252" i="29" s="1"/>
  <c r="O252" i="29"/>
  <c r="Q252" i="29" s="1"/>
  <c r="S252" i="29" s="1"/>
  <c r="L87" i="29"/>
  <c r="P86" i="29"/>
  <c r="R86" i="29" s="1"/>
  <c r="O86" i="29"/>
  <c r="Q86" i="29" s="1"/>
  <c r="S86" i="29" s="1"/>
  <c r="O70" i="29"/>
  <c r="Q70" i="29" s="1"/>
  <c r="S70" i="29" s="1"/>
  <c r="P26" i="29"/>
  <c r="R26" i="29" s="1"/>
  <c r="T26" i="29" s="1"/>
  <c r="L27" i="29"/>
  <c r="O26" i="29"/>
  <c r="Q26" i="29" s="1"/>
  <c r="S26" i="29" s="1"/>
  <c r="K80" i="29"/>
  <c r="H81" i="29"/>
  <c r="P65" i="29"/>
  <c r="R65" i="29" s="1"/>
  <c r="O65" i="29"/>
  <c r="Q65" i="29" s="1"/>
  <c r="S65" i="29" s="1"/>
  <c r="O39" i="29"/>
  <c r="Q39" i="29" s="1"/>
  <c r="S39" i="29" s="1"/>
  <c r="P39" i="29"/>
  <c r="R39" i="29" s="1"/>
  <c r="T39" i="29" s="1"/>
  <c r="O122" i="29"/>
  <c r="Q122" i="29" s="1"/>
  <c r="S122" i="29" s="1"/>
  <c r="P52" i="29"/>
  <c r="R52" i="29" s="1"/>
  <c r="T52" i="29" s="1"/>
  <c r="O52" i="29"/>
  <c r="Q52" i="29" s="1"/>
  <c r="S52" i="29" s="1"/>
  <c r="P47" i="29"/>
  <c r="R47" i="29" s="1"/>
  <c r="T47" i="29" s="1"/>
  <c r="O47" i="29"/>
  <c r="Q47" i="29" s="1"/>
  <c r="S47" i="29" s="1"/>
  <c r="T25" i="29"/>
  <c r="P8" i="29"/>
  <c r="R8" i="29" s="1"/>
  <c r="T8" i="29" s="1"/>
  <c r="O8" i="29"/>
  <c r="O44" i="29"/>
  <c r="Q44" i="29" s="1"/>
  <c r="S44" i="29" s="1"/>
  <c r="N44" i="29"/>
  <c r="P44" i="29" s="1"/>
  <c r="R44" i="29" s="1"/>
  <c r="T44" i="29" s="1"/>
  <c r="P274" i="29"/>
  <c r="R274" i="29" s="1"/>
  <c r="T274" i="29" s="1"/>
  <c r="O274" i="29"/>
  <c r="Q274" i="29" s="1"/>
  <c r="S274" i="29" s="1"/>
  <c r="H209" i="29"/>
  <c r="K209" i="29" s="1"/>
  <c r="K208" i="29"/>
  <c r="P205" i="29"/>
  <c r="R205" i="29" s="1"/>
  <c r="T205" i="29" s="1"/>
  <c r="O205" i="29"/>
  <c r="Q205" i="29" s="1"/>
  <c r="S205" i="29" s="1"/>
  <c r="O174" i="29"/>
  <c r="Q174" i="29" s="1"/>
  <c r="S174" i="29" s="1"/>
  <c r="P17" i="29"/>
  <c r="R17" i="29" s="1"/>
  <c r="T17" i="29" s="1"/>
  <c r="O17" i="29"/>
  <c r="Q17" i="29" s="1"/>
  <c r="S17" i="29" s="1"/>
  <c r="G162" i="29"/>
  <c r="J162" i="29" s="1"/>
  <c r="L162" i="29" s="1"/>
  <c r="F163" i="29"/>
  <c r="G60" i="29"/>
  <c r="J60" i="29" s="1"/>
  <c r="L60" i="29" s="1"/>
  <c r="F61" i="29"/>
  <c r="S28" i="15" l="1"/>
  <c r="B10" i="15"/>
  <c r="P65" i="15"/>
  <c r="S6" i="15"/>
  <c r="U642" i="29"/>
  <c r="U327" i="29"/>
  <c r="U45" i="29"/>
  <c r="O321" i="29"/>
  <c r="Q321" i="29" s="1"/>
  <c r="S321" i="29" s="1"/>
  <c r="P60" i="29"/>
  <c r="R60" i="29" s="1"/>
  <c r="T60" i="29" s="1"/>
  <c r="O60" i="29"/>
  <c r="Q60" i="29" s="1"/>
  <c r="S60" i="29" s="1"/>
  <c r="O215" i="29"/>
  <c r="Q215" i="29" s="1"/>
  <c r="S215" i="29" s="1"/>
  <c r="P215" i="29"/>
  <c r="R215" i="29" s="1"/>
  <c r="T215" i="29" s="1"/>
  <c r="U238" i="29"/>
  <c r="F102" i="29"/>
  <c r="F103" i="29" s="1"/>
  <c r="F104" i="29" s="1"/>
  <c r="F105" i="29" s="1"/>
  <c r="F106" i="29" s="1"/>
  <c r="F107" i="29" s="1"/>
  <c r="G101" i="29"/>
  <c r="J101" i="29" s="1"/>
  <c r="L101" i="29" s="1"/>
  <c r="G185" i="29"/>
  <c r="M185" i="29"/>
  <c r="I186" i="29"/>
  <c r="U427" i="29"/>
  <c r="T427" i="29"/>
  <c r="B657" i="29"/>
  <c r="B661" i="29" s="1"/>
  <c r="B665" i="29" s="1"/>
  <c r="B660" i="29"/>
  <c r="B664" i="29" s="1"/>
  <c r="T132" i="29"/>
  <c r="T407" i="29"/>
  <c r="U407" i="29"/>
  <c r="P343" i="29"/>
  <c r="R343" i="29" s="1"/>
  <c r="T343" i="29" s="1"/>
  <c r="O343" i="29"/>
  <c r="Q343" i="29" s="1"/>
  <c r="S343" i="29" s="1"/>
  <c r="F484" i="29"/>
  <c r="F485" i="29" s="1"/>
  <c r="F486" i="29" s="1"/>
  <c r="F487" i="29" s="1"/>
  <c r="F488" i="29" s="1"/>
  <c r="F489" i="29" s="1"/>
  <c r="G483" i="29"/>
  <c r="J483" i="29" s="1"/>
  <c r="L483" i="29" s="1"/>
  <c r="F384" i="29"/>
  <c r="F385" i="29" s="1"/>
  <c r="F386" i="29" s="1"/>
  <c r="F387" i="29" s="1"/>
  <c r="F388" i="29" s="1"/>
  <c r="F389" i="29" s="1"/>
  <c r="G383" i="29"/>
  <c r="J383" i="29" s="1"/>
  <c r="L383" i="29" s="1"/>
  <c r="O442" i="29"/>
  <c r="Q442" i="29" s="1"/>
  <c r="S442" i="29" s="1"/>
  <c r="P442" i="29"/>
  <c r="R442" i="29" s="1"/>
  <c r="T442" i="29" s="1"/>
  <c r="G230" i="29"/>
  <c r="J230" i="29" s="1"/>
  <c r="L230" i="29" s="1"/>
  <c r="F231" i="29"/>
  <c r="F232" i="29" s="1"/>
  <c r="F233" i="29" s="1"/>
  <c r="K300" i="29"/>
  <c r="H301" i="29"/>
  <c r="K301" i="29" s="1"/>
  <c r="P582" i="29"/>
  <c r="R582" i="29" s="1"/>
  <c r="T582" i="29" s="1"/>
  <c r="O582" i="29"/>
  <c r="Q582" i="29" s="1"/>
  <c r="S582" i="29" s="1"/>
  <c r="F640" i="29"/>
  <c r="F641" i="29" s="1"/>
  <c r="F642" i="29" s="1"/>
  <c r="F643" i="29" s="1"/>
  <c r="G639" i="29"/>
  <c r="J639" i="29" s="1"/>
  <c r="L639" i="29" s="1"/>
  <c r="T243" i="29"/>
  <c r="G163" i="29"/>
  <c r="J163" i="29" s="1"/>
  <c r="L163" i="29" s="1"/>
  <c r="F164" i="29"/>
  <c r="F165" i="29" s="1"/>
  <c r="F166" i="29" s="1"/>
  <c r="P265" i="29"/>
  <c r="R265" i="29" s="1"/>
  <c r="T265" i="29" s="1"/>
  <c r="O265" i="29"/>
  <c r="Q265" i="29" s="1"/>
  <c r="S265" i="29" s="1"/>
  <c r="T624" i="29"/>
  <c r="G41" i="29"/>
  <c r="J41" i="29" s="1"/>
  <c r="L41" i="29" s="1"/>
  <c r="F42" i="29"/>
  <c r="F43" i="29" s="1"/>
  <c r="F44" i="29" s="1"/>
  <c r="F45" i="29" s="1"/>
  <c r="F46" i="29" s="1"/>
  <c r="F47" i="29" s="1"/>
  <c r="O482" i="29"/>
  <c r="Q482" i="29" s="1"/>
  <c r="S482" i="29" s="1"/>
  <c r="P482" i="29"/>
  <c r="R482" i="29" s="1"/>
  <c r="T482" i="29" s="1"/>
  <c r="T352" i="29"/>
  <c r="F584" i="29"/>
  <c r="F585" i="29" s="1"/>
  <c r="F586" i="29" s="1"/>
  <c r="F587" i="29" s="1"/>
  <c r="F588" i="29" s="1"/>
  <c r="F589" i="29" s="1"/>
  <c r="G583" i="29"/>
  <c r="J583" i="29" s="1"/>
  <c r="L583" i="29" s="1"/>
  <c r="U606" i="29"/>
  <c r="P162" i="29"/>
  <c r="R162" i="29" s="1"/>
  <c r="T162" i="29" s="1"/>
  <c r="O162" i="29"/>
  <c r="Q162" i="29" s="1"/>
  <c r="S162" i="29" s="1"/>
  <c r="Q8" i="29"/>
  <c r="T65" i="29"/>
  <c r="O27" i="29"/>
  <c r="Q27" i="29" s="1"/>
  <c r="S27" i="29" s="1"/>
  <c r="P27" i="29"/>
  <c r="R27" i="29" s="1"/>
  <c r="T86" i="29"/>
  <c r="P284" i="29"/>
  <c r="R284" i="29" s="1"/>
  <c r="L285" i="29"/>
  <c r="O284" i="29"/>
  <c r="Q284" i="29" s="1"/>
  <c r="S284" i="29" s="1"/>
  <c r="P625" i="29"/>
  <c r="R625" i="29" s="1"/>
  <c r="T625" i="29" s="1"/>
  <c r="O625" i="29"/>
  <c r="Q625" i="29" s="1"/>
  <c r="S625" i="29" s="1"/>
  <c r="G143" i="29"/>
  <c r="J143" i="29" s="1"/>
  <c r="L143" i="29" s="1"/>
  <c r="F144" i="29"/>
  <c r="F145" i="29" s="1"/>
  <c r="F146" i="29" s="1"/>
  <c r="F147" i="29" s="1"/>
  <c r="F148" i="29" s="1"/>
  <c r="F149" i="29" s="1"/>
  <c r="N229" i="29"/>
  <c r="P229" i="29" s="1"/>
  <c r="R229" i="29" s="1"/>
  <c r="T229" i="29" s="1"/>
  <c r="O229" i="29"/>
  <c r="Q229" i="29" s="1"/>
  <c r="S229" i="29" s="1"/>
  <c r="P253" i="29"/>
  <c r="R253" i="29" s="1"/>
  <c r="T253" i="29" s="1"/>
  <c r="O253" i="29"/>
  <c r="Q253" i="29" s="1"/>
  <c r="S253" i="29" s="1"/>
  <c r="P402" i="29"/>
  <c r="R402" i="29" s="1"/>
  <c r="T402" i="29" s="1"/>
  <c r="O402" i="29"/>
  <c r="Q402" i="29" s="1"/>
  <c r="S402" i="29" s="1"/>
  <c r="P67" i="29"/>
  <c r="R67" i="29" s="1"/>
  <c r="T67" i="29" s="1"/>
  <c r="O67" i="29"/>
  <c r="Q67" i="29" s="1"/>
  <c r="S67" i="29" s="1"/>
  <c r="M144" i="29"/>
  <c r="G144" i="29"/>
  <c r="N299" i="29"/>
  <c r="P299" i="29" s="1"/>
  <c r="R299" i="29" s="1"/>
  <c r="T299" i="29" s="1"/>
  <c r="O299" i="29"/>
  <c r="Q299" i="29" s="1"/>
  <c r="S299" i="29" s="1"/>
  <c r="U387" i="29"/>
  <c r="T387" i="29"/>
  <c r="O542" i="29"/>
  <c r="Q542" i="29" s="1"/>
  <c r="S542" i="29" s="1"/>
  <c r="P542" i="29"/>
  <c r="R542" i="29" s="1"/>
  <c r="T542" i="29" s="1"/>
  <c r="F122" i="29"/>
  <c r="F123" i="29" s="1"/>
  <c r="F124" i="29" s="1"/>
  <c r="G121" i="29"/>
  <c r="J121" i="29" s="1"/>
  <c r="L121" i="29" s="1"/>
  <c r="O184" i="29"/>
  <c r="Q184" i="29" s="1"/>
  <c r="S184" i="29" s="1"/>
  <c r="P184" i="29"/>
  <c r="R184" i="29" s="1"/>
  <c r="T184" i="29" s="1"/>
  <c r="T7" i="29"/>
  <c r="G404" i="29"/>
  <c r="M404" i="29"/>
  <c r="O349" i="29"/>
  <c r="Q349" i="29" s="1"/>
  <c r="S349" i="29" s="1"/>
  <c r="P349" i="29"/>
  <c r="R349" i="29" s="1"/>
  <c r="T349" i="29" s="1"/>
  <c r="G621" i="29"/>
  <c r="J621" i="29" s="1"/>
  <c r="L621" i="29" s="1"/>
  <c r="F622" i="29"/>
  <c r="F623" i="29" s="1"/>
  <c r="F624" i="29" s="1"/>
  <c r="F625" i="29" s="1"/>
  <c r="P18" i="29"/>
  <c r="R18" i="29" s="1"/>
  <c r="T18" i="29" s="1"/>
  <c r="O18" i="29"/>
  <c r="Q18" i="29" s="1"/>
  <c r="S18" i="29" s="1"/>
  <c r="P275" i="29"/>
  <c r="R275" i="29" s="1"/>
  <c r="T275" i="29" s="1"/>
  <c r="O275" i="29"/>
  <c r="Q275" i="29" s="1"/>
  <c r="S275" i="29" s="1"/>
  <c r="G363" i="29"/>
  <c r="J363" i="29" s="1"/>
  <c r="L363" i="29" s="1"/>
  <c r="F364" i="29"/>
  <c r="F365" i="29" s="1"/>
  <c r="F366" i="29" s="1"/>
  <c r="F367" i="29" s="1"/>
  <c r="F368" i="29" s="1"/>
  <c r="F369" i="29" s="1"/>
  <c r="M278" i="29"/>
  <c r="G278" i="29"/>
  <c r="O262" i="29"/>
  <c r="Q262" i="29" s="1"/>
  <c r="S262" i="29" s="1"/>
  <c r="P262" i="29"/>
  <c r="R262" i="29" s="1"/>
  <c r="T262" i="29" s="1"/>
  <c r="M322" i="29"/>
  <c r="N322" i="29" s="1"/>
  <c r="I323" i="29"/>
  <c r="K186" i="29"/>
  <c r="H187" i="29"/>
  <c r="K187" i="29" s="1"/>
  <c r="G423" i="29"/>
  <c r="J423" i="29" s="1"/>
  <c r="L423" i="29" s="1"/>
  <c r="F424" i="29"/>
  <c r="F425" i="29" s="1"/>
  <c r="F426" i="29" s="1"/>
  <c r="F427" i="29" s="1"/>
  <c r="F428" i="29" s="1"/>
  <c r="F429" i="29" s="1"/>
  <c r="K543" i="29"/>
  <c r="H544" i="29"/>
  <c r="K544" i="29" s="1"/>
  <c r="P509" i="29"/>
  <c r="R509" i="29" s="1"/>
  <c r="T509" i="29" s="1"/>
  <c r="O509" i="29"/>
  <c r="Q509" i="29" s="1"/>
  <c r="S509" i="29" s="1"/>
  <c r="T587" i="29"/>
  <c r="U587" i="29"/>
  <c r="T152" i="29"/>
  <c r="G503" i="29"/>
  <c r="J503" i="29" s="1"/>
  <c r="L503" i="29" s="1"/>
  <c r="F504" i="29"/>
  <c r="F505" i="29" s="1"/>
  <c r="F506" i="29" s="1"/>
  <c r="F507" i="29" s="1"/>
  <c r="F508" i="29" s="1"/>
  <c r="F509" i="29" s="1"/>
  <c r="T110" i="29"/>
  <c r="M384" i="29"/>
  <c r="G384" i="29"/>
  <c r="K483" i="29"/>
  <c r="H484" i="29"/>
  <c r="K484" i="29" s="1"/>
  <c r="M164" i="29"/>
  <c r="G164" i="29"/>
  <c r="H655" i="29"/>
  <c r="K655" i="29" s="1"/>
  <c r="K654" i="29"/>
  <c r="T90" i="29"/>
  <c r="T149" i="29"/>
  <c r="U147" i="29"/>
  <c r="P80" i="29"/>
  <c r="R80" i="29" s="1"/>
  <c r="T80" i="29" s="1"/>
  <c r="O80" i="29"/>
  <c r="Q80" i="29" s="1"/>
  <c r="S80" i="29" s="1"/>
  <c r="T467" i="29"/>
  <c r="G523" i="29"/>
  <c r="J523" i="29" s="1"/>
  <c r="L523" i="29" s="1"/>
  <c r="F524" i="29"/>
  <c r="F525" i="29" s="1"/>
  <c r="F526" i="29" s="1"/>
  <c r="F527" i="29" s="1"/>
  <c r="F528" i="29" s="1"/>
  <c r="F529" i="29" s="1"/>
  <c r="G208" i="29"/>
  <c r="J208" i="29" s="1"/>
  <c r="L208" i="29" s="1"/>
  <c r="F209" i="29"/>
  <c r="F210" i="29" s="1"/>
  <c r="F211" i="29" s="1"/>
  <c r="F212" i="29" s="1"/>
  <c r="F213" i="29" s="1"/>
  <c r="F214" i="29" s="1"/>
  <c r="F215" i="29" s="1"/>
  <c r="T127" i="29"/>
  <c r="U127" i="29"/>
  <c r="P276" i="29"/>
  <c r="R276" i="29" s="1"/>
  <c r="T276" i="29" s="1"/>
  <c r="O276" i="29"/>
  <c r="Q276" i="29" s="1"/>
  <c r="S276" i="29" s="1"/>
  <c r="O469" i="29"/>
  <c r="Q469" i="29" s="1"/>
  <c r="S469" i="29" s="1"/>
  <c r="P469" i="29"/>
  <c r="R469" i="29" s="1"/>
  <c r="T469" i="29" s="1"/>
  <c r="G544" i="29"/>
  <c r="M544" i="29"/>
  <c r="T547" i="29"/>
  <c r="P502" i="29"/>
  <c r="R502" i="29" s="1"/>
  <c r="T502" i="29" s="1"/>
  <c r="O502" i="29"/>
  <c r="Q502" i="29" s="1"/>
  <c r="S502" i="29" s="1"/>
  <c r="N207" i="29"/>
  <c r="P207" i="29" s="1"/>
  <c r="R207" i="29" s="1"/>
  <c r="T207" i="29" s="1"/>
  <c r="O207" i="29"/>
  <c r="Q207" i="29" s="1"/>
  <c r="S207" i="29" s="1"/>
  <c r="G403" i="29"/>
  <c r="J403" i="29" s="1"/>
  <c r="L403" i="29" s="1"/>
  <c r="F404" i="29"/>
  <c r="F405" i="29" s="1"/>
  <c r="F406" i="29" s="1"/>
  <c r="F407" i="29" s="1"/>
  <c r="F408" i="29" s="1"/>
  <c r="F409" i="29" s="1"/>
  <c r="O549" i="29"/>
  <c r="Q549" i="29" s="1"/>
  <c r="S549" i="29" s="1"/>
  <c r="P549" i="29"/>
  <c r="R549" i="29" s="1"/>
  <c r="T549" i="29" s="1"/>
  <c r="P569" i="29"/>
  <c r="R569" i="29" s="1"/>
  <c r="T569" i="29" s="1"/>
  <c r="O569" i="29"/>
  <c r="Q569" i="29" s="1"/>
  <c r="S569" i="29" s="1"/>
  <c r="K277" i="29"/>
  <c r="H278" i="29"/>
  <c r="K278" i="29" s="1"/>
  <c r="P489" i="29"/>
  <c r="R489" i="29" s="1"/>
  <c r="O489" i="29"/>
  <c r="Q489" i="29" s="1"/>
  <c r="S489" i="29" s="1"/>
  <c r="G543" i="29"/>
  <c r="J543" i="29" s="1"/>
  <c r="L543" i="29" s="1"/>
  <c r="F544" i="29"/>
  <c r="F545" i="29" s="1"/>
  <c r="F546" i="29" s="1"/>
  <c r="F547" i="29" s="1"/>
  <c r="F548" i="29" s="1"/>
  <c r="F549" i="29" s="1"/>
  <c r="P120" i="29"/>
  <c r="R120" i="29" s="1"/>
  <c r="T120" i="29" s="1"/>
  <c r="O120" i="29"/>
  <c r="Q120" i="29" s="1"/>
  <c r="S120" i="29" s="1"/>
  <c r="G186" i="29"/>
  <c r="J186" i="29" s="1"/>
  <c r="L186" i="29" s="1"/>
  <c r="F187" i="29"/>
  <c r="F188" i="29" s="1"/>
  <c r="F189" i="29" s="1"/>
  <c r="F190" i="29" s="1"/>
  <c r="F191" i="29" s="1"/>
  <c r="F192" i="29" s="1"/>
  <c r="F193" i="29" s="1"/>
  <c r="F82" i="29"/>
  <c r="F83" i="29" s="1"/>
  <c r="F84" i="29" s="1"/>
  <c r="F85" i="29" s="1"/>
  <c r="F86" i="29" s="1"/>
  <c r="F87" i="29" s="1"/>
  <c r="G81" i="29"/>
  <c r="J81" i="29" s="1"/>
  <c r="L81" i="29" s="1"/>
  <c r="M364" i="29"/>
  <c r="G364" i="29"/>
  <c r="P522" i="29"/>
  <c r="R522" i="29" s="1"/>
  <c r="T522" i="29" s="1"/>
  <c r="O522" i="29"/>
  <c r="Q522" i="29" s="1"/>
  <c r="S522" i="29" s="1"/>
  <c r="P206" i="29"/>
  <c r="R206" i="29" s="1"/>
  <c r="T206" i="29" s="1"/>
  <c r="O206" i="29"/>
  <c r="Q206" i="29" s="1"/>
  <c r="S206" i="29" s="1"/>
  <c r="O228" i="29"/>
  <c r="Q228" i="29" s="1"/>
  <c r="S228" i="29" s="1"/>
  <c r="P228" i="29"/>
  <c r="R228" i="29" s="1"/>
  <c r="T228" i="29" s="1"/>
  <c r="T492" i="29"/>
  <c r="O638" i="29"/>
  <c r="Q638" i="29" s="1"/>
  <c r="S638" i="29" s="1"/>
  <c r="P638" i="29"/>
  <c r="R638" i="29" s="1"/>
  <c r="T638" i="29" s="1"/>
  <c r="U447" i="29"/>
  <c r="K121" i="29"/>
  <c r="H122" i="29"/>
  <c r="K122" i="29" s="1"/>
  <c r="O40" i="29"/>
  <c r="Q40" i="29" s="1"/>
  <c r="S40" i="29" s="1"/>
  <c r="P40" i="29"/>
  <c r="R40" i="29" s="1"/>
  <c r="G322" i="29"/>
  <c r="J322" i="29" s="1"/>
  <c r="L322" i="29" s="1"/>
  <c r="F323" i="29"/>
  <c r="F324" i="29" s="1"/>
  <c r="F325" i="29" s="1"/>
  <c r="F326" i="29" s="1"/>
  <c r="F327" i="29" s="1"/>
  <c r="F328" i="29" s="1"/>
  <c r="F329" i="29" s="1"/>
  <c r="P369" i="29"/>
  <c r="R369" i="29" s="1"/>
  <c r="T369" i="29" s="1"/>
  <c r="O369" i="29"/>
  <c r="Q369" i="29" s="1"/>
  <c r="S369" i="29" s="1"/>
  <c r="I209" i="29"/>
  <c r="M208" i="29"/>
  <c r="N208" i="29" s="1"/>
  <c r="N254" i="29"/>
  <c r="P254" i="29" s="1"/>
  <c r="R254" i="29" s="1"/>
  <c r="T254" i="29" s="1"/>
  <c r="O254" i="29"/>
  <c r="Q254" i="29" s="1"/>
  <c r="S254" i="29" s="1"/>
  <c r="T512" i="29"/>
  <c r="O653" i="29"/>
  <c r="Q653" i="29" s="1"/>
  <c r="S653" i="29" s="1"/>
  <c r="P653" i="29"/>
  <c r="R653" i="29" s="1"/>
  <c r="T653" i="29" s="1"/>
  <c r="G61" i="29"/>
  <c r="J61" i="29" s="1"/>
  <c r="L61" i="29" s="1"/>
  <c r="F62" i="29"/>
  <c r="F63" i="29" s="1"/>
  <c r="F64" i="29" s="1"/>
  <c r="F65" i="29" s="1"/>
  <c r="F66" i="29" s="1"/>
  <c r="F67" i="29" s="1"/>
  <c r="K81" i="29"/>
  <c r="H82" i="29"/>
  <c r="K82" i="29" s="1"/>
  <c r="P87" i="29"/>
  <c r="R87" i="29" s="1"/>
  <c r="T87" i="29" s="1"/>
  <c r="O87" i="29"/>
  <c r="Q87" i="29" s="1"/>
  <c r="S87" i="29" s="1"/>
  <c r="T214" i="29"/>
  <c r="T264" i="29"/>
  <c r="P307" i="29"/>
  <c r="R307" i="29" s="1"/>
  <c r="O307" i="29"/>
  <c r="Q307" i="29" s="1"/>
  <c r="S307" i="29" s="1"/>
  <c r="M344" i="29"/>
  <c r="G344" i="29"/>
  <c r="P142" i="29"/>
  <c r="R142" i="29" s="1"/>
  <c r="T142" i="29" s="1"/>
  <c r="O142" i="29"/>
  <c r="Q142" i="29" s="1"/>
  <c r="S142" i="29" s="1"/>
  <c r="I231" i="29"/>
  <c r="M230" i="29"/>
  <c r="N230" i="29" s="1"/>
  <c r="O100" i="29"/>
  <c r="Q100" i="29" s="1"/>
  <c r="S100" i="29" s="1"/>
  <c r="P100" i="29"/>
  <c r="R100" i="29" s="1"/>
  <c r="T100" i="29" s="1"/>
  <c r="F256" i="29"/>
  <c r="F257" i="29" s="1"/>
  <c r="F258" i="29" s="1"/>
  <c r="F259" i="29" s="1"/>
  <c r="F260" i="29" s="1"/>
  <c r="F261" i="29" s="1"/>
  <c r="F262" i="29" s="1"/>
  <c r="G255" i="29"/>
  <c r="J255" i="29" s="1"/>
  <c r="L255" i="29" s="1"/>
  <c r="P320" i="29"/>
  <c r="R320" i="29" s="1"/>
  <c r="T320" i="29" s="1"/>
  <c r="O320" i="29"/>
  <c r="Q320" i="29" s="1"/>
  <c r="S320" i="29" s="1"/>
  <c r="P463" i="29"/>
  <c r="R463" i="29" s="1"/>
  <c r="T463" i="29" s="1"/>
  <c r="O463" i="29"/>
  <c r="Q463" i="29" s="1"/>
  <c r="S463" i="29" s="1"/>
  <c r="I256" i="29"/>
  <c r="M255" i="29"/>
  <c r="N255" i="29" s="1"/>
  <c r="M444" i="29"/>
  <c r="G444" i="29"/>
  <c r="N584" i="29"/>
  <c r="P584" i="29" s="1"/>
  <c r="R584" i="29" s="1"/>
  <c r="T584" i="29" s="1"/>
  <c r="O584" i="29"/>
  <c r="Q584" i="29" s="1"/>
  <c r="S584" i="29" s="1"/>
  <c r="T568" i="29"/>
  <c r="M564" i="29"/>
  <c r="G564" i="29"/>
  <c r="H42" i="29"/>
  <c r="K42" i="29" s="1"/>
  <c r="K41" i="29"/>
  <c r="I301" i="29"/>
  <c r="M300" i="29"/>
  <c r="K423" i="29"/>
  <c r="H424" i="29"/>
  <c r="K424" i="29" s="1"/>
  <c r="K230" i="29"/>
  <c r="H231" i="29"/>
  <c r="K231" i="29" s="1"/>
  <c r="T169" i="29"/>
  <c r="U169" i="29"/>
  <c r="G424" i="29"/>
  <c r="M424" i="29"/>
  <c r="P382" i="29"/>
  <c r="R382" i="29" s="1"/>
  <c r="T382" i="29" s="1"/>
  <c r="O382" i="29"/>
  <c r="Q382" i="29" s="1"/>
  <c r="S382" i="29" s="1"/>
  <c r="G443" i="29"/>
  <c r="J443" i="29" s="1"/>
  <c r="L443" i="29" s="1"/>
  <c r="F444" i="29"/>
  <c r="F445" i="29" s="1"/>
  <c r="F446" i="29" s="1"/>
  <c r="F447" i="29" s="1"/>
  <c r="F448" i="29" s="1"/>
  <c r="F449" i="29" s="1"/>
  <c r="P563" i="29"/>
  <c r="R563" i="29" s="1"/>
  <c r="T563" i="29" s="1"/>
  <c r="O563" i="29"/>
  <c r="Q563" i="29" s="1"/>
  <c r="S563" i="29" s="1"/>
  <c r="T527" i="29"/>
  <c r="U527" i="29"/>
  <c r="P620" i="29"/>
  <c r="R620" i="29" s="1"/>
  <c r="T620" i="29" s="1"/>
  <c r="O620" i="29"/>
  <c r="Q620" i="29" s="1"/>
  <c r="S620" i="29" s="1"/>
  <c r="F20" i="29"/>
  <c r="F21" i="29" s="1"/>
  <c r="F22" i="29" s="1"/>
  <c r="G19" i="29"/>
  <c r="J19" i="29" s="1"/>
  <c r="L19" i="29" s="1"/>
  <c r="F278" i="29"/>
  <c r="F279" i="29" s="1"/>
  <c r="F280" i="29" s="1"/>
  <c r="F281" i="29" s="1"/>
  <c r="G277" i="29"/>
  <c r="J277" i="29" s="1"/>
  <c r="L277" i="29" s="1"/>
  <c r="O362" i="29"/>
  <c r="Q362" i="29" s="1"/>
  <c r="S362" i="29" s="1"/>
  <c r="P362" i="29"/>
  <c r="R362" i="29" s="1"/>
  <c r="T362" i="29" s="1"/>
  <c r="P273" i="29"/>
  <c r="R273" i="29" s="1"/>
  <c r="T273" i="29" s="1"/>
  <c r="O273" i="29"/>
  <c r="Q273" i="29" s="1"/>
  <c r="S273" i="29" s="1"/>
  <c r="T196" i="29"/>
  <c r="O422" i="29"/>
  <c r="Q422" i="29" s="1"/>
  <c r="S422" i="29" s="1"/>
  <c r="P422" i="29"/>
  <c r="R422" i="29" s="1"/>
  <c r="T422" i="29" s="1"/>
  <c r="M484" i="29"/>
  <c r="G484" i="29"/>
  <c r="M504" i="29"/>
  <c r="G504" i="29"/>
  <c r="T552" i="29"/>
  <c r="U347" i="29" l="1"/>
  <c r="B11" i="15"/>
  <c r="U507" i="29"/>
  <c r="U547" i="29"/>
  <c r="U85" i="29"/>
  <c r="N484" i="29"/>
  <c r="P484" i="29" s="1"/>
  <c r="R484" i="29" s="1"/>
  <c r="T484" i="29" s="1"/>
  <c r="O484" i="29"/>
  <c r="Q484" i="29" s="1"/>
  <c r="S484" i="29" s="1"/>
  <c r="M256" i="29"/>
  <c r="G256" i="29"/>
  <c r="T40" i="29"/>
  <c r="T489" i="29"/>
  <c r="U487" i="29"/>
  <c r="P503" i="29"/>
  <c r="R503" i="29" s="1"/>
  <c r="O503" i="29"/>
  <c r="Q503" i="29" s="1"/>
  <c r="S503" i="29" s="1"/>
  <c r="N278" i="29"/>
  <c r="P278" i="29" s="1"/>
  <c r="R278" i="29" s="1"/>
  <c r="T278" i="29" s="1"/>
  <c r="O278" i="29"/>
  <c r="Q278" i="29" s="1"/>
  <c r="S278" i="29" s="1"/>
  <c r="O230" i="29"/>
  <c r="Q230" i="29" s="1"/>
  <c r="S230" i="29" s="1"/>
  <c r="P230" i="29"/>
  <c r="R230" i="29" s="1"/>
  <c r="T230" i="29" s="1"/>
  <c r="P383" i="29"/>
  <c r="R383" i="29" s="1"/>
  <c r="T383" i="29" s="1"/>
  <c r="O383" i="29"/>
  <c r="Q383" i="29" s="1"/>
  <c r="S383" i="29" s="1"/>
  <c r="F25" i="29"/>
  <c r="F26" i="29" s="1"/>
  <c r="F27" i="29" s="1"/>
  <c r="F23" i="29"/>
  <c r="F24" i="29" s="1"/>
  <c r="N424" i="29"/>
  <c r="P424" i="29" s="1"/>
  <c r="R424" i="29" s="1"/>
  <c r="T424" i="29" s="1"/>
  <c r="O424" i="29"/>
  <c r="Q424" i="29" s="1"/>
  <c r="S424" i="29" s="1"/>
  <c r="M301" i="29"/>
  <c r="G301" i="29"/>
  <c r="U567" i="29"/>
  <c r="N344" i="29"/>
  <c r="P344" i="29" s="1"/>
  <c r="R344" i="29" s="1"/>
  <c r="O344" i="29"/>
  <c r="Q344" i="29" s="1"/>
  <c r="S344" i="29" s="1"/>
  <c r="P61" i="29"/>
  <c r="R61" i="29" s="1"/>
  <c r="O61" i="29"/>
  <c r="Q61" i="29" s="1"/>
  <c r="S61" i="29" s="1"/>
  <c r="P403" i="29"/>
  <c r="R403" i="29" s="1"/>
  <c r="T403" i="29" s="1"/>
  <c r="O403" i="29"/>
  <c r="Q403" i="29" s="1"/>
  <c r="S403" i="29" s="1"/>
  <c r="U65" i="29"/>
  <c r="U624" i="29"/>
  <c r="F167" i="29"/>
  <c r="F168" i="29" s="1"/>
  <c r="F169" i="29"/>
  <c r="F170" i="29" s="1"/>
  <c r="F171" i="29" s="1"/>
  <c r="P639" i="29"/>
  <c r="R639" i="29" s="1"/>
  <c r="T639" i="29" s="1"/>
  <c r="O639" i="29"/>
  <c r="Q639" i="29" s="1"/>
  <c r="S639" i="29" s="1"/>
  <c r="O101" i="29"/>
  <c r="Q101" i="29" s="1"/>
  <c r="S101" i="29" s="1"/>
  <c r="P101" i="29"/>
  <c r="R101" i="29" s="1"/>
  <c r="T101" i="29" s="1"/>
  <c r="O19" i="29"/>
  <c r="Q19" i="29" s="1"/>
  <c r="S19" i="29" s="1"/>
  <c r="P19" i="29"/>
  <c r="G231" i="29"/>
  <c r="M231" i="29"/>
  <c r="P208" i="29"/>
  <c r="R208" i="29" s="1"/>
  <c r="T208" i="29" s="1"/>
  <c r="O208" i="29"/>
  <c r="Q208" i="29" s="1"/>
  <c r="S208" i="29" s="1"/>
  <c r="O423" i="29"/>
  <c r="Q423" i="29" s="1"/>
  <c r="S423" i="29" s="1"/>
  <c r="P423" i="29"/>
  <c r="R423" i="29" s="1"/>
  <c r="N504" i="29"/>
  <c r="P504" i="29" s="1"/>
  <c r="R504" i="29" s="1"/>
  <c r="T504" i="29" s="1"/>
  <c r="O504" i="29"/>
  <c r="Q504" i="29" s="1"/>
  <c r="S504" i="29" s="1"/>
  <c r="O443" i="29"/>
  <c r="Q443" i="29" s="1"/>
  <c r="S443" i="29" s="1"/>
  <c r="P443" i="29"/>
  <c r="R443" i="29" s="1"/>
  <c r="N444" i="29"/>
  <c r="P444" i="29" s="1"/>
  <c r="R444" i="29" s="1"/>
  <c r="T444" i="29" s="1"/>
  <c r="O444" i="29"/>
  <c r="Q444" i="29" s="1"/>
  <c r="S444" i="29" s="1"/>
  <c r="U213" i="29"/>
  <c r="M209" i="29"/>
  <c r="G209" i="29"/>
  <c r="P322" i="29"/>
  <c r="R322" i="29" s="1"/>
  <c r="T322" i="29" s="1"/>
  <c r="O322" i="29"/>
  <c r="Q322" i="29" s="1"/>
  <c r="S322" i="29" s="1"/>
  <c r="U367" i="29"/>
  <c r="N364" i="29"/>
  <c r="P364" i="29" s="1"/>
  <c r="R364" i="29" s="1"/>
  <c r="T364" i="29" s="1"/>
  <c r="O364" i="29"/>
  <c r="Q364" i="29" s="1"/>
  <c r="S364" i="29" s="1"/>
  <c r="O543" i="29"/>
  <c r="Q543" i="29" s="1"/>
  <c r="S543" i="29" s="1"/>
  <c r="P543" i="29"/>
  <c r="R543" i="29" s="1"/>
  <c r="T543" i="29" s="1"/>
  <c r="N544" i="29"/>
  <c r="P544" i="29" s="1"/>
  <c r="R544" i="29" s="1"/>
  <c r="T544" i="29" s="1"/>
  <c r="O544" i="29"/>
  <c r="Q544" i="29" s="1"/>
  <c r="S544" i="29" s="1"/>
  <c r="P523" i="29"/>
  <c r="R523" i="29" s="1"/>
  <c r="O523" i="29"/>
  <c r="Q523" i="29" s="1"/>
  <c r="S523" i="29" s="1"/>
  <c r="N164" i="29"/>
  <c r="P164" i="29" s="1"/>
  <c r="R164" i="29" s="1"/>
  <c r="T164" i="29" s="1"/>
  <c r="O164" i="29"/>
  <c r="Q164" i="29" s="1"/>
  <c r="S164" i="29" s="1"/>
  <c r="O363" i="29"/>
  <c r="Q363" i="29" s="1"/>
  <c r="S363" i="29" s="1"/>
  <c r="P363" i="29"/>
  <c r="R363" i="29" s="1"/>
  <c r="T363" i="29" s="1"/>
  <c r="P121" i="29"/>
  <c r="R121" i="29" s="1"/>
  <c r="T121" i="29" s="1"/>
  <c r="O121" i="29"/>
  <c r="Q121" i="29" s="1"/>
  <c r="S121" i="29" s="1"/>
  <c r="P143" i="29"/>
  <c r="R143" i="29" s="1"/>
  <c r="O143" i="29"/>
  <c r="Q143" i="29" s="1"/>
  <c r="S143" i="29" s="1"/>
  <c r="P285" i="29"/>
  <c r="R285" i="29" s="1"/>
  <c r="T285" i="29" s="1"/>
  <c r="O285" i="29"/>
  <c r="Q285" i="29" s="1"/>
  <c r="S285" i="29" s="1"/>
  <c r="T27" i="29"/>
  <c r="U25" i="29"/>
  <c r="U260" i="29"/>
  <c r="P163" i="29"/>
  <c r="R163" i="29" s="1"/>
  <c r="O163" i="29"/>
  <c r="Q163" i="29" s="1"/>
  <c r="S163" i="29" s="1"/>
  <c r="O483" i="29"/>
  <c r="Q483" i="29" s="1"/>
  <c r="S483" i="29" s="1"/>
  <c r="P483" i="29"/>
  <c r="R483" i="29" s="1"/>
  <c r="T483" i="29" s="1"/>
  <c r="M186" i="29"/>
  <c r="N186" i="29" s="1"/>
  <c r="P186" i="29" s="1"/>
  <c r="R186" i="29" s="1"/>
  <c r="I187" i="29"/>
  <c r="N300" i="29"/>
  <c r="P300" i="29" s="1"/>
  <c r="R300" i="29" s="1"/>
  <c r="O300" i="29"/>
  <c r="Q300" i="29" s="1"/>
  <c r="S300" i="29" s="1"/>
  <c r="N384" i="29"/>
  <c r="P384" i="29" s="1"/>
  <c r="R384" i="29" s="1"/>
  <c r="T384" i="29" s="1"/>
  <c r="O384" i="29"/>
  <c r="Q384" i="29" s="1"/>
  <c r="S384" i="29" s="1"/>
  <c r="P621" i="29"/>
  <c r="R621" i="29" s="1"/>
  <c r="O621" i="29"/>
  <c r="Q621" i="29" s="1"/>
  <c r="S621" i="29" s="1"/>
  <c r="P277" i="29"/>
  <c r="R277" i="29" s="1"/>
  <c r="T277" i="29" s="1"/>
  <c r="O277" i="29"/>
  <c r="Q277" i="29" s="1"/>
  <c r="S277" i="29" s="1"/>
  <c r="F283" i="29"/>
  <c r="F284" i="29" s="1"/>
  <c r="F285" i="29" s="1"/>
  <c r="F282" i="29"/>
  <c r="N564" i="29"/>
  <c r="P564" i="29" s="1"/>
  <c r="R564" i="29" s="1"/>
  <c r="O564" i="29"/>
  <c r="Q564" i="29" s="1"/>
  <c r="S564" i="29" s="1"/>
  <c r="O255" i="29"/>
  <c r="Q255" i="29" s="1"/>
  <c r="S255" i="29" s="1"/>
  <c r="P255" i="29"/>
  <c r="R255" i="29" s="1"/>
  <c r="T255" i="29" s="1"/>
  <c r="U450" i="29"/>
  <c r="T307" i="29"/>
  <c r="U305" i="29"/>
  <c r="P81" i="29"/>
  <c r="R81" i="29" s="1"/>
  <c r="O81" i="29"/>
  <c r="Q81" i="29" s="1"/>
  <c r="S81" i="29" s="1"/>
  <c r="U467" i="29"/>
  <c r="G323" i="29"/>
  <c r="M323" i="29"/>
  <c r="N404" i="29"/>
  <c r="P404" i="29" s="1"/>
  <c r="R404" i="29" s="1"/>
  <c r="T404" i="29" s="1"/>
  <c r="O404" i="29"/>
  <c r="Q404" i="29" s="1"/>
  <c r="S404" i="29" s="1"/>
  <c r="F127" i="29"/>
  <c r="F128" i="29" s="1"/>
  <c r="F129" i="29" s="1"/>
  <c r="F125" i="29"/>
  <c r="F126" i="29" s="1"/>
  <c r="N144" i="29"/>
  <c r="P144" i="29" s="1"/>
  <c r="R144" i="29" s="1"/>
  <c r="T144" i="29" s="1"/>
  <c r="O144" i="29"/>
  <c r="Q144" i="29" s="1"/>
  <c r="S144" i="29" s="1"/>
  <c r="T284" i="29"/>
  <c r="U283" i="29"/>
  <c r="S8" i="29"/>
  <c r="P583" i="29"/>
  <c r="R583" i="29" s="1"/>
  <c r="O583" i="29"/>
  <c r="Q583" i="29" s="1"/>
  <c r="S583" i="29" s="1"/>
  <c r="P41" i="29"/>
  <c r="R41" i="29" s="1"/>
  <c r="T41" i="29" s="1"/>
  <c r="O41" i="29"/>
  <c r="Q41" i="29" s="1"/>
  <c r="S41" i="29" s="1"/>
  <c r="F235" i="29"/>
  <c r="F237" i="29" s="1"/>
  <c r="F239" i="29" s="1"/>
  <c r="F234" i="29"/>
  <c r="F236" i="29" s="1"/>
  <c r="F238" i="29" s="1"/>
  <c r="F240" i="29" s="1"/>
  <c r="N185" i="29"/>
  <c r="P185" i="29" s="1"/>
  <c r="R185" i="29" s="1"/>
  <c r="T185" i="29" s="1"/>
  <c r="O185" i="29"/>
  <c r="Q185" i="29" s="1"/>
  <c r="S185" i="29" s="1"/>
  <c r="B12" i="15" l="1"/>
  <c r="U530" i="29"/>
  <c r="U88" i="29"/>
  <c r="U390" i="29"/>
  <c r="T186" i="29"/>
  <c r="T163" i="29"/>
  <c r="T143" i="29"/>
  <c r="U130" i="29"/>
  <c r="T61" i="29"/>
  <c r="U48" i="29"/>
  <c r="N323" i="29"/>
  <c r="P323" i="29" s="1"/>
  <c r="R323" i="29" s="1"/>
  <c r="O323" i="29"/>
  <c r="Q323" i="29" s="1"/>
  <c r="S323" i="29" s="1"/>
  <c r="O186" i="29"/>
  <c r="Q186" i="29" s="1"/>
  <c r="S186" i="29" s="1"/>
  <c r="U470" i="29"/>
  <c r="T443" i="29"/>
  <c r="U430" i="29"/>
  <c r="T423" i="29"/>
  <c r="U410" i="29"/>
  <c r="N231" i="29"/>
  <c r="P231" i="29" s="1"/>
  <c r="R231" i="29" s="1"/>
  <c r="O231" i="29"/>
  <c r="Q231" i="29" s="1"/>
  <c r="S231" i="29" s="1"/>
  <c r="U350" i="29"/>
  <c r="N256" i="29"/>
  <c r="P256" i="29" s="1"/>
  <c r="R256" i="29" s="1"/>
  <c r="O256" i="29"/>
  <c r="Q256" i="29" s="1"/>
  <c r="S256" i="29" s="1"/>
  <c r="G187" i="29"/>
  <c r="M187" i="29"/>
  <c r="R19" i="29"/>
  <c r="N209" i="29"/>
  <c r="P209" i="29" s="1"/>
  <c r="R209" i="29" s="1"/>
  <c r="T209" i="29" s="1"/>
  <c r="O209" i="29"/>
  <c r="Q209" i="29" s="1"/>
  <c r="S209" i="29" s="1"/>
  <c r="T583" i="29"/>
  <c r="U570" i="29"/>
  <c r="T564" i="29"/>
  <c r="U550" i="29"/>
  <c r="T81" i="29"/>
  <c r="U68" i="29"/>
  <c r="U370" i="29"/>
  <c r="T621" i="29"/>
  <c r="T300" i="29"/>
  <c r="T523" i="29"/>
  <c r="U510" i="29"/>
  <c r="U28" i="29"/>
  <c r="T344" i="29"/>
  <c r="U330" i="29"/>
  <c r="N301" i="29"/>
  <c r="P301" i="29" s="1"/>
  <c r="R301" i="29" s="1"/>
  <c r="T301" i="29" s="1"/>
  <c r="O301" i="29"/>
  <c r="Q301" i="29" s="1"/>
  <c r="S301" i="29" s="1"/>
  <c r="T503" i="29"/>
  <c r="U490" i="29"/>
  <c r="B13" i="15" l="1"/>
  <c r="V681" i="29"/>
  <c r="W681" i="29" s="1"/>
  <c r="N187" i="29"/>
  <c r="P187" i="29" s="1"/>
  <c r="O187" i="29"/>
  <c r="T256" i="29"/>
  <c r="T323" i="29"/>
  <c r="T19" i="29"/>
  <c r="T231" i="29"/>
  <c r="B14" i="15" l="1"/>
  <c r="M673" i="29"/>
  <c r="M655" i="29"/>
  <c r="M326" i="29"/>
  <c r="G302" i="29" a="1"/>
  <c r="G302" i="29" s="1"/>
  <c r="M302" i="29" s="1"/>
  <c r="M259" i="29"/>
  <c r="M212" i="29"/>
  <c r="M304" i="29"/>
  <c r="M281" i="29"/>
  <c r="M675" i="29"/>
  <c r="M674" i="29"/>
  <c r="M658" i="29"/>
  <c r="M679" i="29"/>
  <c r="M667" i="29"/>
  <c r="M235" i="29"/>
  <c r="M671" i="29"/>
  <c r="M656" i="29"/>
  <c r="G303" i="29" a="1"/>
  <c r="G303" i="29" s="1"/>
  <c r="M303" i="29" s="1"/>
  <c r="M680" i="29"/>
  <c r="M672" i="29"/>
  <c r="M657" i="29"/>
  <c r="M190" i="29"/>
  <c r="M324" i="29"/>
  <c r="M280" i="29"/>
  <c r="M325" i="29"/>
  <c r="M614" i="29"/>
  <c r="M168" i="29"/>
  <c r="M257" i="29"/>
  <c r="M24" i="29"/>
  <c r="M279" i="29"/>
  <c r="M632" i="29"/>
  <c r="M605" i="29"/>
  <c r="M126" i="29"/>
  <c r="M634" i="29"/>
  <c r="M258" i="29"/>
  <c r="M635" i="29"/>
  <c r="M616" i="29"/>
  <c r="M615" i="29"/>
  <c r="M633" i="29"/>
  <c r="M617" i="29"/>
  <c r="Q187" i="29"/>
  <c r="R187" i="29"/>
  <c r="B15" i="15" l="1"/>
  <c r="O302" i="29"/>
  <c r="Q302" i="29" s="1"/>
  <c r="S302" i="29" s="1"/>
  <c r="N302" i="29"/>
  <c r="P302" i="29" s="1"/>
  <c r="R302" i="29" s="1"/>
  <c r="O615" i="29"/>
  <c r="Q615" i="29" s="1"/>
  <c r="S615" i="29" s="1"/>
  <c r="N615" i="29"/>
  <c r="P615" i="29" s="1"/>
  <c r="R615" i="29" s="1"/>
  <c r="T615" i="29" s="1"/>
  <c r="O634" i="29"/>
  <c r="Q634" i="29" s="1"/>
  <c r="S634" i="29" s="1"/>
  <c r="N634" i="29"/>
  <c r="P634" i="29" s="1"/>
  <c r="R634" i="29" s="1"/>
  <c r="T634" i="29" s="1"/>
  <c r="N279" i="29"/>
  <c r="P279" i="29" s="1"/>
  <c r="R279" i="29" s="1"/>
  <c r="O279" i="29"/>
  <c r="Q279" i="29" s="1"/>
  <c r="S279" i="29" s="1"/>
  <c r="N614" i="29"/>
  <c r="P614" i="29" s="1"/>
  <c r="R614" i="29" s="1"/>
  <c r="O614" i="29"/>
  <c r="Q614" i="29" s="1"/>
  <c r="S614" i="29" s="1"/>
  <c r="N190" i="29"/>
  <c r="P190" i="29" s="1"/>
  <c r="R190" i="29" s="1"/>
  <c r="T190" i="29" s="1"/>
  <c r="O190" i="29"/>
  <c r="Q190" i="29" s="1"/>
  <c r="S190" i="29" s="1"/>
  <c r="N675" i="29"/>
  <c r="P675" i="29" s="1"/>
  <c r="R675" i="29" s="1"/>
  <c r="T675" i="29" s="1"/>
  <c r="O675" i="29"/>
  <c r="Q675" i="29" s="1"/>
  <c r="S675" i="29" s="1"/>
  <c r="N126" i="29"/>
  <c r="P126" i="29" s="1"/>
  <c r="R126" i="29" s="1"/>
  <c r="O126" i="29"/>
  <c r="Q126" i="29" s="1"/>
  <c r="S126" i="29" s="1"/>
  <c r="N325" i="29"/>
  <c r="P325" i="29" s="1"/>
  <c r="R325" i="29" s="1"/>
  <c r="T325" i="29" s="1"/>
  <c r="O325" i="29"/>
  <c r="Q325" i="29" s="1"/>
  <c r="S325" i="29" s="1"/>
  <c r="N656" i="29"/>
  <c r="P656" i="29" s="1"/>
  <c r="R656" i="29" s="1"/>
  <c r="T656" i="29" s="1"/>
  <c r="O656" i="29"/>
  <c r="Q656" i="29" s="1"/>
  <c r="S656" i="29" s="1"/>
  <c r="N281" i="29"/>
  <c r="P281" i="29" s="1"/>
  <c r="R281" i="29" s="1"/>
  <c r="T281" i="29" s="1"/>
  <c r="O281" i="29"/>
  <c r="Q281" i="29" s="1"/>
  <c r="S281" i="29" s="1"/>
  <c r="N617" i="29"/>
  <c r="P617" i="29" s="1"/>
  <c r="R617" i="29" s="1"/>
  <c r="T617" i="29" s="1"/>
  <c r="O617" i="29"/>
  <c r="Q617" i="29" s="1"/>
  <c r="S617" i="29" s="1"/>
  <c r="N635" i="29"/>
  <c r="P635" i="29" s="1"/>
  <c r="R635" i="29" s="1"/>
  <c r="T635" i="29" s="1"/>
  <c r="O635" i="29"/>
  <c r="Q635" i="29" s="1"/>
  <c r="S635" i="29" s="1"/>
  <c r="O605" i="29"/>
  <c r="Q605" i="29" s="1"/>
  <c r="S605" i="29" s="1"/>
  <c r="N605" i="29"/>
  <c r="P605" i="29" s="1"/>
  <c r="R605" i="29" s="1"/>
  <c r="O257" i="29"/>
  <c r="Q257" i="29" s="1"/>
  <c r="S257" i="29" s="1"/>
  <c r="N257" i="29"/>
  <c r="P257" i="29" s="1"/>
  <c r="R257" i="29" s="1"/>
  <c r="O280" i="29"/>
  <c r="Q280" i="29" s="1"/>
  <c r="S280" i="29" s="1"/>
  <c r="N280" i="29"/>
  <c r="P280" i="29" s="1"/>
  <c r="R280" i="29" s="1"/>
  <c r="T280" i="29" s="1"/>
  <c r="O672" i="29"/>
  <c r="Q672" i="29" s="1"/>
  <c r="S672" i="29" s="1"/>
  <c r="N672" i="29"/>
  <c r="P672" i="29" s="1"/>
  <c r="R672" i="29" s="1"/>
  <c r="T672" i="29" s="1"/>
  <c r="N671" i="29"/>
  <c r="P671" i="29" s="1"/>
  <c r="R671" i="29" s="1"/>
  <c r="O671" i="29"/>
  <c r="Q671" i="29" s="1"/>
  <c r="S671" i="29" s="1"/>
  <c r="N658" i="29"/>
  <c r="P658" i="29" s="1"/>
  <c r="R658" i="29" s="1"/>
  <c r="T658" i="29" s="1"/>
  <c r="O658" i="29"/>
  <c r="Q658" i="29" s="1"/>
  <c r="S658" i="29" s="1"/>
  <c r="O304" i="29"/>
  <c r="Q304" i="29" s="1"/>
  <c r="S304" i="29" s="1"/>
  <c r="N304" i="29"/>
  <c r="P304" i="29" s="1"/>
  <c r="R304" i="29" s="1"/>
  <c r="T304" i="29" s="1"/>
  <c r="O326" i="29"/>
  <c r="Q326" i="29" s="1"/>
  <c r="S326" i="29" s="1"/>
  <c r="N326" i="29"/>
  <c r="P326" i="29" s="1"/>
  <c r="R326" i="29" s="1"/>
  <c r="T326" i="29" s="1"/>
  <c r="N303" i="29"/>
  <c r="P303" i="29" s="1"/>
  <c r="R303" i="29" s="1"/>
  <c r="T303" i="29" s="1"/>
  <c r="O303" i="29"/>
  <c r="Q303" i="29" s="1"/>
  <c r="S303" i="29" s="1"/>
  <c r="O667" i="29"/>
  <c r="Q667" i="29" s="1"/>
  <c r="S667" i="29" s="1"/>
  <c r="N667" i="29"/>
  <c r="P667" i="29" s="1"/>
  <c r="R667" i="29" s="1"/>
  <c r="T667" i="29" s="1"/>
  <c r="N616" i="29"/>
  <c r="P616" i="29" s="1"/>
  <c r="R616" i="29" s="1"/>
  <c r="T616" i="29" s="1"/>
  <c r="O616" i="29"/>
  <c r="Q616" i="29" s="1"/>
  <c r="S616" i="29" s="1"/>
  <c r="O24" i="29"/>
  <c r="N24" i="29"/>
  <c r="P24" i="29" s="1"/>
  <c r="N657" i="29"/>
  <c r="P657" i="29" s="1"/>
  <c r="R657" i="29" s="1"/>
  <c r="T657" i="29" s="1"/>
  <c r="O657" i="29"/>
  <c r="Q657" i="29" s="1"/>
  <c r="S657" i="29" s="1"/>
  <c r="O679" i="29"/>
  <c r="Q679" i="29" s="1"/>
  <c r="S679" i="29" s="1"/>
  <c r="N679" i="29"/>
  <c r="P679" i="29" s="1"/>
  <c r="R679" i="29" s="1"/>
  <c r="N633" i="29"/>
  <c r="P633" i="29" s="1"/>
  <c r="R633" i="29" s="1"/>
  <c r="T633" i="29" s="1"/>
  <c r="O633" i="29"/>
  <c r="Q633" i="29" s="1"/>
  <c r="S633" i="29" s="1"/>
  <c r="O258" i="29"/>
  <c r="Q258" i="29" s="1"/>
  <c r="S258" i="29" s="1"/>
  <c r="N258" i="29"/>
  <c r="P258" i="29" s="1"/>
  <c r="R258" i="29" s="1"/>
  <c r="T258" i="29" s="1"/>
  <c r="N632" i="29"/>
  <c r="P632" i="29" s="1"/>
  <c r="R632" i="29" s="1"/>
  <c r="O632" i="29"/>
  <c r="Q632" i="29" s="1"/>
  <c r="S632" i="29" s="1"/>
  <c r="O168" i="29"/>
  <c r="Q168" i="29" s="1"/>
  <c r="S168" i="29" s="1"/>
  <c r="N168" i="29"/>
  <c r="P168" i="29" s="1"/>
  <c r="R168" i="29" s="1"/>
  <c r="O324" i="29"/>
  <c r="Q324" i="29" s="1"/>
  <c r="S324" i="29" s="1"/>
  <c r="N324" i="29"/>
  <c r="P324" i="29" s="1"/>
  <c r="R324" i="29" s="1"/>
  <c r="N680" i="29"/>
  <c r="P680" i="29" s="1"/>
  <c r="R680" i="29" s="1"/>
  <c r="T680" i="29" s="1"/>
  <c r="O680" i="29"/>
  <c r="Q680" i="29" s="1"/>
  <c r="S680" i="29" s="1"/>
  <c r="O235" i="29"/>
  <c r="Q235" i="29" s="1"/>
  <c r="S235" i="29" s="1"/>
  <c r="N235" i="29"/>
  <c r="P235" i="29" s="1"/>
  <c r="R235" i="29" s="1"/>
  <c r="O674" i="29"/>
  <c r="Q674" i="29" s="1"/>
  <c r="S674" i="29" s="1"/>
  <c r="N674" i="29"/>
  <c r="P674" i="29" s="1"/>
  <c r="R674" i="29" s="1"/>
  <c r="T674" i="29" s="1"/>
  <c r="O212" i="29"/>
  <c r="Q212" i="29" s="1"/>
  <c r="S212" i="29" s="1"/>
  <c r="N212" i="29"/>
  <c r="P212" i="29" s="1"/>
  <c r="R212" i="29" s="1"/>
  <c r="N655" i="29"/>
  <c r="P655" i="29" s="1"/>
  <c r="R655" i="29" s="1"/>
  <c r="O655" i="29"/>
  <c r="Q655" i="29" s="1"/>
  <c r="S655" i="29" s="1"/>
  <c r="O259" i="29"/>
  <c r="Q259" i="29" s="1"/>
  <c r="S259" i="29" s="1"/>
  <c r="N259" i="29"/>
  <c r="P259" i="29" s="1"/>
  <c r="R259" i="29" s="1"/>
  <c r="T259" i="29" s="1"/>
  <c r="O673" i="29"/>
  <c r="Q673" i="29" s="1"/>
  <c r="S673" i="29" s="1"/>
  <c r="N673" i="29"/>
  <c r="P673" i="29" s="1"/>
  <c r="R673" i="29" s="1"/>
  <c r="T673" i="29" s="1"/>
  <c r="T187" i="29"/>
  <c r="U172" i="29"/>
  <c r="S187" i="29"/>
  <c r="B16" i="15" l="1"/>
  <c r="T235" i="29"/>
  <c r="U216" i="29"/>
  <c r="R24" i="29"/>
  <c r="P691" i="29"/>
  <c r="T632" i="29"/>
  <c r="U626" i="29"/>
  <c r="Q24" i="29"/>
  <c r="O691" i="29"/>
  <c r="T671" i="29"/>
  <c r="U668" i="29"/>
  <c r="T126" i="29"/>
  <c r="U108" i="29"/>
  <c r="T614" i="29"/>
  <c r="U608" i="29"/>
  <c r="T324" i="29"/>
  <c r="U308" i="29"/>
  <c r="T168" i="29"/>
  <c r="U150" i="29"/>
  <c r="T257" i="29"/>
  <c r="U241" i="29"/>
  <c r="T302" i="29"/>
  <c r="U286" i="29"/>
  <c r="T212" i="29"/>
  <c r="U194" i="29"/>
  <c r="T679" i="29"/>
  <c r="U676" i="29"/>
  <c r="T605" i="29"/>
  <c r="U590" i="29"/>
  <c r="T655" i="29"/>
  <c r="U644" i="29"/>
  <c r="T279" i="29"/>
  <c r="U263" i="29"/>
  <c r="B17" i="15" l="1"/>
  <c r="S24" i="29"/>
  <c r="Q691" i="29"/>
  <c r="O693" i="29" s="1"/>
  <c r="O695" i="29" s="1"/>
  <c r="T24" i="29"/>
  <c r="U6" i="29"/>
  <c r="W6" i="29" s="1"/>
  <c r="R691" i="29"/>
  <c r="P693" i="29" s="1"/>
  <c r="P695" i="29" s="1"/>
  <c r="P696" i="29" s="1"/>
  <c r="P697" i="29" s="1"/>
  <c r="Q699" i="29" s="1"/>
  <c r="Q700" i="29" s="1"/>
  <c r="V676" i="29"/>
  <c r="W676" i="29" s="1"/>
  <c r="V668" i="29"/>
  <c r="W668" i="29" s="1"/>
  <c r="B18" i="15" l="1"/>
  <c r="O696" i="29"/>
  <c r="O697" i="29"/>
  <c r="B19" i="15" l="1"/>
  <c r="V642" i="29"/>
  <c r="W642" i="29" s="1"/>
  <c r="B20" i="15" l="1"/>
  <c r="V626" i="29"/>
  <c r="W626" i="29" s="1"/>
  <c r="B21" i="15" l="1"/>
  <c r="V327" i="29"/>
  <c r="W327" i="29" s="1"/>
  <c r="B22" i="15" l="1"/>
  <c r="V190" i="29"/>
  <c r="W190" i="29" s="1"/>
  <c r="V447" i="29"/>
  <c r="W447" i="29" s="1"/>
  <c r="V487" i="29"/>
  <c r="W487" i="29" s="1"/>
  <c r="V387" i="29"/>
  <c r="W387" i="29" s="1"/>
  <c r="V105" i="29"/>
  <c r="W105" i="29" s="1"/>
  <c r="V624" i="29"/>
  <c r="W624" i="29" s="1"/>
  <c r="V587" i="29"/>
  <c r="W587" i="29" s="1"/>
  <c r="V85" i="29"/>
  <c r="W85" i="29" s="1"/>
  <c r="V407" i="29"/>
  <c r="W407" i="29" s="1"/>
  <c r="V507" i="29"/>
  <c r="W507" i="29" s="1"/>
  <c r="V427" i="29"/>
  <c r="W427" i="29" s="1"/>
  <c r="V305" i="29"/>
  <c r="W305" i="29" s="1"/>
  <c r="V567" i="29"/>
  <c r="W567" i="29" s="1"/>
  <c r="V169" i="29"/>
  <c r="W169" i="29" s="1"/>
  <c r="V238" i="29"/>
  <c r="W238" i="29" s="1"/>
  <c r="V527" i="29"/>
  <c r="W527" i="29" s="1"/>
  <c r="V367" i="29"/>
  <c r="W367" i="29" s="1"/>
  <c r="V547" i="29"/>
  <c r="W547" i="29" s="1"/>
  <c r="V213" i="29"/>
  <c r="W213" i="29" s="1"/>
  <c r="V147" i="29"/>
  <c r="W147" i="29" s="1"/>
  <c r="V127" i="29"/>
  <c r="W127" i="29" s="1"/>
  <c r="V347" i="29"/>
  <c r="W347" i="29" s="1"/>
  <c r="V467" i="29"/>
  <c r="W467" i="29" s="1"/>
  <c r="V260" i="29"/>
  <c r="W260" i="29" s="1"/>
  <c r="B23" i="15" l="1"/>
  <c r="V45" i="29"/>
  <c r="W45" i="29" s="1"/>
  <c r="V65" i="29"/>
  <c r="W65" i="29" s="1"/>
  <c r="V216" i="29"/>
  <c r="W216" i="29" s="1"/>
  <c r="B24" i="15" l="1"/>
  <c r="V194" i="29"/>
  <c r="W194" i="29" s="1"/>
  <c r="V283" i="29"/>
  <c r="W283" i="29" s="1"/>
  <c r="V550" i="29"/>
  <c r="W550" i="29" s="1"/>
  <c r="B25" i="15" l="1"/>
  <c r="V48" i="29"/>
  <c r="W48" i="29" s="1"/>
  <c r="V172" i="29"/>
  <c r="W172" i="29" s="1"/>
  <c r="V470" i="29"/>
  <c r="W470" i="29" s="1"/>
  <c r="V308" i="29"/>
  <c r="W308" i="29" s="1"/>
  <c r="V330" i="29"/>
  <c r="W330" i="29" s="1"/>
  <c r="V570" i="29"/>
  <c r="W570" i="29" s="1"/>
  <c r="V490" i="29"/>
  <c r="W490" i="29" s="1"/>
  <c r="V241" i="29"/>
  <c r="W241" i="29" s="1"/>
  <c r="V350" i="29"/>
  <c r="W350" i="29" s="1"/>
  <c r="V88" i="29"/>
  <c r="W88" i="29" s="1"/>
  <c r="V430" i="29"/>
  <c r="W430" i="29" s="1"/>
  <c r="V108" i="29"/>
  <c r="W108" i="29" s="1"/>
  <c r="V450" i="29"/>
  <c r="W450" i="29" s="1"/>
  <c r="V286" i="29"/>
  <c r="W286" i="29" s="1"/>
  <c r="V130" i="29"/>
  <c r="W130" i="29" s="1"/>
  <c r="V410" i="29"/>
  <c r="W410" i="29" s="1"/>
  <c r="V608" i="29"/>
  <c r="W608" i="29" s="1"/>
  <c r="V68" i="29"/>
  <c r="W68" i="29" s="1"/>
  <c r="V370" i="29"/>
  <c r="W370" i="29" s="1"/>
  <c r="V530" i="29"/>
  <c r="W530" i="29" s="1"/>
  <c r="V390" i="29"/>
  <c r="W390" i="29" s="1"/>
  <c r="V150" i="29"/>
  <c r="W150" i="29" s="1"/>
  <c r="V510" i="29"/>
  <c r="W510" i="29" s="1"/>
  <c r="B26" i="15" l="1"/>
  <c r="V263" i="29"/>
  <c r="W263" i="29" s="1"/>
  <c r="B27" i="15" l="1"/>
  <c r="V606" i="29"/>
  <c r="W606" i="29" s="1"/>
  <c r="B28" i="15" l="1"/>
  <c r="V590" i="29"/>
  <c r="W590" i="29" s="1"/>
  <c r="B29" i="15" l="1"/>
  <c r="V644" i="29"/>
  <c r="W644" i="29" s="1"/>
  <c r="B30" i="15" l="1"/>
  <c r="H257" i="27"/>
  <c r="I257" i="27" s="1"/>
  <c r="H258" i="27"/>
  <c r="I258" i="27" s="1"/>
  <c r="H259" i="27"/>
  <c r="I259" i="27" s="1"/>
  <c r="H182" i="27"/>
  <c r="I182" i="27" s="1"/>
  <c r="H181" i="27"/>
  <c r="I181" i="27" s="1"/>
  <c r="H254" i="27"/>
  <c r="I254" i="27" s="1"/>
  <c r="H253" i="27"/>
  <c r="I253" i="27" s="1"/>
  <c r="H252" i="27"/>
  <c r="I252" i="27" s="1"/>
  <c r="B31" i="15" l="1"/>
  <c r="H265" i="27"/>
  <c r="I265" i="27" s="1"/>
  <c r="H267" i="27"/>
  <c r="I267" i="27" s="1"/>
  <c r="B32" i="15" l="1"/>
  <c r="H280" i="27"/>
  <c r="I280" i="27" s="1"/>
  <c r="H281" i="27"/>
  <c r="I281" i="27" s="1"/>
  <c r="H282" i="27"/>
  <c r="I282" i="27" s="1"/>
  <c r="H283" i="27"/>
  <c r="I283" i="27" s="1"/>
  <c r="H284" i="27"/>
  <c r="I284" i="27" s="1"/>
  <c r="H285" i="27"/>
  <c r="I285" i="27" s="1"/>
  <c r="H286" i="27"/>
  <c r="I286" i="27" s="1"/>
  <c r="H287" i="27"/>
  <c r="I287" i="27" s="1"/>
  <c r="H288" i="27"/>
  <c r="I288" i="27" s="1"/>
  <c r="H289" i="27"/>
  <c r="I289" i="27" s="1"/>
  <c r="H290" i="27"/>
  <c r="I290" i="27" s="1"/>
  <c r="H291" i="27"/>
  <c r="I291" i="27" s="1"/>
  <c r="H292" i="27"/>
  <c r="I292" i="27" s="1"/>
  <c r="H293" i="27"/>
  <c r="I293" i="27" s="1"/>
  <c r="H294" i="27"/>
  <c r="I294" i="27" s="1"/>
  <c r="H295" i="27"/>
  <c r="I295" i="27" s="1"/>
  <c r="H296" i="27"/>
  <c r="I296" i="27" s="1"/>
  <c r="H297" i="27"/>
  <c r="I297" i="27" s="1"/>
  <c r="H298" i="27"/>
  <c r="I298" i="27" s="1"/>
  <c r="H299" i="27"/>
  <c r="I299" i="27" s="1"/>
  <c r="H300" i="27"/>
  <c r="I300" i="27" s="1"/>
  <c r="H301" i="27"/>
  <c r="I301" i="27" s="1"/>
  <c r="H302" i="27"/>
  <c r="I302" i="27" s="1"/>
  <c r="H303" i="27"/>
  <c r="I303" i="27" s="1"/>
  <c r="H304" i="27"/>
  <c r="I304" i="27" s="1"/>
  <c r="H305" i="27"/>
  <c r="I305" i="27" s="1"/>
  <c r="H306" i="27"/>
  <c r="I306" i="27" s="1"/>
  <c r="H307" i="27"/>
  <c r="I307" i="27" s="1"/>
  <c r="H308" i="27"/>
  <c r="I308" i="27" s="1"/>
  <c r="H309" i="27"/>
  <c r="I309" i="27" s="1"/>
  <c r="H310" i="27"/>
  <c r="I310" i="27" s="1"/>
  <c r="H311" i="27"/>
  <c r="I311" i="27" s="1"/>
  <c r="H312" i="27"/>
  <c r="I312" i="27" s="1"/>
  <c r="H313" i="27"/>
  <c r="I313" i="27" s="1"/>
  <c r="H314" i="27"/>
  <c r="I314" i="27" s="1"/>
  <c r="H315" i="27"/>
  <c r="I315" i="27" s="1"/>
  <c r="H316" i="27"/>
  <c r="I316" i="27" s="1"/>
  <c r="H317" i="27"/>
  <c r="I317" i="27" s="1"/>
  <c r="H318" i="27"/>
  <c r="I318" i="27" s="1"/>
  <c r="H319" i="27"/>
  <c r="I319" i="27" s="1"/>
  <c r="H320" i="27"/>
  <c r="I320" i="27" s="1"/>
  <c r="H321" i="27"/>
  <c r="I321" i="27" s="1"/>
  <c r="H322" i="27"/>
  <c r="I322" i="27" s="1"/>
  <c r="H323" i="27"/>
  <c r="I323" i="27" s="1"/>
  <c r="H324" i="27"/>
  <c r="I324" i="27" s="1"/>
  <c r="H325" i="27"/>
  <c r="I325" i="27" s="1"/>
  <c r="H326" i="27"/>
  <c r="I326" i="27" s="1"/>
  <c r="H327" i="27"/>
  <c r="I327" i="27" s="1"/>
  <c r="H328" i="27"/>
  <c r="I328" i="27" s="1"/>
  <c r="H329" i="27"/>
  <c r="I329" i="27" s="1"/>
  <c r="H330" i="27"/>
  <c r="I330" i="27" s="1"/>
  <c r="H331" i="27"/>
  <c r="I331" i="27" s="1"/>
  <c r="H332" i="27"/>
  <c r="I332" i="27" s="1"/>
  <c r="H333" i="27"/>
  <c r="I333" i="27" s="1"/>
  <c r="H334" i="27"/>
  <c r="I334" i="27" s="1"/>
  <c r="H335" i="27"/>
  <c r="I335" i="27" s="1"/>
  <c r="H336" i="27"/>
  <c r="I336" i="27" s="1"/>
  <c r="H337" i="27"/>
  <c r="I337" i="27" s="1"/>
  <c r="H338" i="27"/>
  <c r="I338" i="27" s="1"/>
  <c r="H339" i="27"/>
  <c r="I339" i="27" s="1"/>
  <c r="H340" i="27"/>
  <c r="I340" i="27" s="1"/>
  <c r="H341" i="27"/>
  <c r="I341" i="27" s="1"/>
  <c r="H342" i="27"/>
  <c r="I342" i="27" s="1"/>
  <c r="H343" i="27"/>
  <c r="I343" i="27" s="1"/>
  <c r="H344" i="27"/>
  <c r="I344" i="27" s="1"/>
  <c r="H345" i="27"/>
  <c r="I345" i="27" s="1"/>
  <c r="H346" i="27"/>
  <c r="I346" i="27" s="1"/>
  <c r="H347" i="27"/>
  <c r="I347" i="27" s="1"/>
  <c r="H348" i="27"/>
  <c r="I348" i="27" s="1"/>
  <c r="H349" i="27"/>
  <c r="I349" i="27" s="1"/>
  <c r="H350" i="27"/>
  <c r="I350" i="27" s="1"/>
  <c r="H351" i="27"/>
  <c r="I351" i="27" s="1"/>
  <c r="H352" i="27"/>
  <c r="I352" i="27" s="1"/>
  <c r="H353" i="27"/>
  <c r="I353" i="27" s="1"/>
  <c r="H354" i="27"/>
  <c r="I354" i="27" s="1"/>
  <c r="H355" i="27"/>
  <c r="I355" i="27" s="1"/>
  <c r="H356" i="27"/>
  <c r="I356" i="27" s="1"/>
  <c r="H357" i="27"/>
  <c r="I357" i="27" s="1"/>
  <c r="H358" i="27"/>
  <c r="I358" i="27" s="1"/>
  <c r="H359" i="27"/>
  <c r="I359" i="27" s="1"/>
  <c r="H360" i="27"/>
  <c r="I360" i="27" s="1"/>
  <c r="H361" i="27"/>
  <c r="I361" i="27" s="1"/>
  <c r="H362" i="27"/>
  <c r="I362" i="27" s="1"/>
  <c r="H363" i="27"/>
  <c r="I363" i="27" s="1"/>
  <c r="H364" i="27"/>
  <c r="I364" i="27" s="1"/>
  <c r="H365" i="27"/>
  <c r="I365" i="27" s="1"/>
  <c r="H366" i="27"/>
  <c r="I366" i="27" s="1"/>
  <c r="H367" i="27"/>
  <c r="I367" i="27" s="1"/>
  <c r="H368" i="27"/>
  <c r="I368" i="27" s="1"/>
  <c r="H369" i="27"/>
  <c r="I369" i="27" s="1"/>
  <c r="H370" i="27"/>
  <c r="I370" i="27" s="1"/>
  <c r="H371" i="27"/>
  <c r="I371" i="27" s="1"/>
  <c r="H372" i="27"/>
  <c r="I372" i="27" s="1"/>
  <c r="H373" i="27"/>
  <c r="I373" i="27" s="1"/>
  <c r="H374" i="27"/>
  <c r="I374" i="27" s="1"/>
  <c r="H375" i="27"/>
  <c r="I375" i="27" s="1"/>
  <c r="H376" i="27"/>
  <c r="I376" i="27" s="1"/>
  <c r="H377" i="27"/>
  <c r="I377" i="27" s="1"/>
  <c r="H378" i="27"/>
  <c r="I378" i="27" s="1"/>
  <c r="H379" i="27"/>
  <c r="I379" i="27" s="1"/>
  <c r="H380" i="27"/>
  <c r="I380" i="27" s="1"/>
  <c r="H381" i="27"/>
  <c r="I381" i="27" s="1"/>
  <c r="H382" i="27"/>
  <c r="I382" i="27" s="1"/>
  <c r="H383" i="27"/>
  <c r="I383" i="27" s="1"/>
  <c r="H384" i="27"/>
  <c r="I384" i="27" s="1"/>
  <c r="H385" i="27"/>
  <c r="I385" i="27" s="1"/>
  <c r="H386" i="27"/>
  <c r="I386" i="27" s="1"/>
  <c r="H387" i="27"/>
  <c r="I387" i="27" s="1"/>
  <c r="H388" i="27"/>
  <c r="I388" i="27" s="1"/>
  <c r="H389" i="27"/>
  <c r="I389" i="27" s="1"/>
  <c r="H390" i="27"/>
  <c r="I390" i="27" s="1"/>
  <c r="H391" i="27"/>
  <c r="I391" i="27" s="1"/>
  <c r="H392" i="27"/>
  <c r="I392" i="27" s="1"/>
  <c r="H393" i="27"/>
  <c r="I393" i="27" s="1"/>
  <c r="H394" i="27"/>
  <c r="I394" i="27" s="1"/>
  <c r="H395" i="27"/>
  <c r="I395" i="27" s="1"/>
  <c r="H396" i="27"/>
  <c r="I396" i="27" s="1"/>
  <c r="H397" i="27"/>
  <c r="I397" i="27" s="1"/>
  <c r="H398" i="27"/>
  <c r="I398" i="27" s="1"/>
  <c r="H399" i="27"/>
  <c r="I399" i="27" s="1"/>
  <c r="H400" i="27"/>
  <c r="I400" i="27" s="1"/>
  <c r="H401" i="27"/>
  <c r="I401" i="27" s="1"/>
  <c r="H402" i="27"/>
  <c r="I402" i="27" s="1"/>
  <c r="H403" i="27"/>
  <c r="I403" i="27" s="1"/>
  <c r="H404" i="27"/>
  <c r="I404" i="27" s="1"/>
  <c r="H405" i="27"/>
  <c r="I405" i="27" s="1"/>
  <c r="H406" i="27"/>
  <c r="I406" i="27" s="1"/>
  <c r="H407" i="27"/>
  <c r="I407" i="27" s="1"/>
  <c r="H408" i="27"/>
  <c r="I408" i="27" s="1"/>
  <c r="H409" i="27"/>
  <c r="I409" i="27" s="1"/>
  <c r="H410" i="27"/>
  <c r="I410" i="27" s="1"/>
  <c r="H411" i="27"/>
  <c r="I411" i="27" s="1"/>
  <c r="H412" i="27"/>
  <c r="I412" i="27" s="1"/>
  <c r="H413" i="27"/>
  <c r="I413" i="27" s="1"/>
  <c r="H414" i="27"/>
  <c r="I414" i="27" s="1"/>
  <c r="H415" i="27"/>
  <c r="I415" i="27" s="1"/>
  <c r="H416" i="27"/>
  <c r="I416" i="27" s="1"/>
  <c r="H417" i="27"/>
  <c r="I417" i="27" s="1"/>
  <c r="H418" i="27"/>
  <c r="I418" i="27" s="1"/>
  <c r="H419" i="27"/>
  <c r="I419" i="27" s="1"/>
  <c r="H420" i="27"/>
  <c r="I420" i="27" s="1"/>
  <c r="H421" i="27"/>
  <c r="I421" i="27" s="1"/>
  <c r="H422" i="27"/>
  <c r="I422" i="27" s="1"/>
  <c r="H423" i="27"/>
  <c r="I423" i="27" s="1"/>
  <c r="H424" i="27"/>
  <c r="I424" i="27" s="1"/>
  <c r="H425" i="27"/>
  <c r="I425" i="27" s="1"/>
  <c r="H426" i="27"/>
  <c r="I426" i="27" s="1"/>
  <c r="H427" i="27"/>
  <c r="I427" i="27" s="1"/>
  <c r="H428" i="27"/>
  <c r="I428" i="27" s="1"/>
  <c r="H429" i="27"/>
  <c r="I429" i="27" s="1"/>
  <c r="H430" i="27"/>
  <c r="I430" i="27" s="1"/>
  <c r="H431" i="27"/>
  <c r="I431" i="27" s="1"/>
  <c r="H432" i="27"/>
  <c r="I432" i="27" s="1"/>
  <c r="H433" i="27"/>
  <c r="I433" i="27" s="1"/>
  <c r="H434" i="27"/>
  <c r="I434" i="27" s="1"/>
  <c r="H435" i="27"/>
  <c r="I435" i="27" s="1"/>
  <c r="H436" i="27"/>
  <c r="I436" i="27" s="1"/>
  <c r="H437" i="27"/>
  <c r="I437" i="27" s="1"/>
  <c r="H438" i="27"/>
  <c r="I438" i="27" s="1"/>
  <c r="H439" i="27"/>
  <c r="I439" i="27" s="1"/>
  <c r="H440" i="27"/>
  <c r="I440" i="27" s="1"/>
  <c r="H441" i="27"/>
  <c r="I441" i="27" s="1"/>
  <c r="H442" i="27"/>
  <c r="I442" i="27" s="1"/>
  <c r="H443" i="27"/>
  <c r="I443" i="27" s="1"/>
  <c r="H444" i="27"/>
  <c r="I444" i="27" s="1"/>
  <c r="H445" i="27"/>
  <c r="I445" i="27" s="1"/>
  <c r="H446" i="27"/>
  <c r="I446" i="27" s="1"/>
  <c r="H447" i="27"/>
  <c r="I447" i="27" s="1"/>
  <c r="H448" i="27"/>
  <c r="I448" i="27" s="1"/>
  <c r="H449" i="27"/>
  <c r="I449" i="27" s="1"/>
  <c r="H450" i="27"/>
  <c r="I450" i="27" s="1"/>
  <c r="H451" i="27"/>
  <c r="I451" i="27" s="1"/>
  <c r="H266" i="27"/>
  <c r="I266" i="27" s="1"/>
  <c r="H268" i="27"/>
  <c r="I268" i="27" s="1"/>
  <c r="H269" i="27"/>
  <c r="I269" i="27" s="1"/>
  <c r="H270" i="27"/>
  <c r="I270" i="27" s="1"/>
  <c r="H271" i="27"/>
  <c r="I271" i="27" s="1"/>
  <c r="H278" i="27"/>
  <c r="I278" i="27" s="1"/>
  <c r="H279" i="27"/>
  <c r="I279" i="27" s="1"/>
  <c r="G180" i="27"/>
  <c r="H180" i="27" s="1"/>
  <c r="H211" i="27"/>
  <c r="I211" i="27" s="1"/>
  <c r="B33" i="15" l="1"/>
  <c r="I180" i="27"/>
  <c r="H178" i="27"/>
  <c r="I178" i="27" s="1"/>
  <c r="H136" i="27"/>
  <c r="I136" i="27" s="1"/>
  <c r="H212" i="27"/>
  <c r="I212" i="27" s="1"/>
  <c r="H213" i="27"/>
  <c r="I213" i="27" s="1"/>
  <c r="H214" i="27"/>
  <c r="I214" i="27" s="1"/>
  <c r="H264" i="27" l="1"/>
  <c r="I264" i="27" s="1"/>
  <c r="H263" i="27"/>
  <c r="I263" i="27" s="1"/>
  <c r="H262" i="27"/>
  <c r="I262" i="27" s="1"/>
  <c r="G261" i="27"/>
  <c r="H261" i="27" s="1"/>
  <c r="I261" i="27" s="1"/>
  <c r="H251" i="27"/>
  <c r="I251" i="27" s="1"/>
  <c r="H250" i="27"/>
  <c r="I250" i="27" s="1"/>
  <c r="H249" i="27"/>
  <c r="I249" i="27" s="1"/>
  <c r="H248" i="27"/>
  <c r="I248" i="27" s="1"/>
  <c r="H247" i="27"/>
  <c r="I247" i="27" s="1"/>
  <c r="H246" i="27"/>
  <c r="I246" i="27" s="1"/>
  <c r="H245" i="27"/>
  <c r="I245" i="27" s="1"/>
  <c r="H240" i="27"/>
  <c r="I240" i="27" s="1"/>
  <c r="H239" i="27"/>
  <c r="I239" i="27" s="1"/>
  <c r="H238" i="27"/>
  <c r="I238" i="27" s="1"/>
  <c r="H237" i="27"/>
  <c r="I237" i="27" s="1"/>
  <c r="H236" i="27"/>
  <c r="I236" i="27" s="1"/>
  <c r="H235" i="27"/>
  <c r="I235" i="27" s="1"/>
  <c r="H234" i="27"/>
  <c r="I234" i="27" s="1"/>
  <c r="H233" i="27"/>
  <c r="I233" i="27" s="1"/>
  <c r="H232" i="27"/>
  <c r="I232" i="27" s="1"/>
  <c r="H231" i="27"/>
  <c r="I231" i="27" s="1"/>
  <c r="H230" i="27"/>
  <c r="I230" i="27" s="1"/>
  <c r="H229" i="27"/>
  <c r="I229" i="27" s="1"/>
  <c r="H228" i="27"/>
  <c r="I228" i="27" s="1"/>
  <c r="H227" i="27"/>
  <c r="I227" i="27" s="1"/>
  <c r="H226" i="27"/>
  <c r="I226" i="27" s="1"/>
  <c r="H225" i="27"/>
  <c r="I225" i="27" s="1"/>
  <c r="H224" i="27"/>
  <c r="I224" i="27" s="1"/>
  <c r="H223" i="27"/>
  <c r="I223" i="27" s="1"/>
  <c r="H222" i="27"/>
  <c r="I222" i="27" s="1"/>
  <c r="H220" i="27"/>
  <c r="I220" i="27" s="1"/>
  <c r="H219" i="27"/>
  <c r="I219" i="27" s="1"/>
  <c r="H218" i="27"/>
  <c r="I218" i="27" s="1"/>
  <c r="H217" i="27"/>
  <c r="I217" i="27" s="1"/>
  <c r="H216" i="27"/>
  <c r="I216" i="27" s="1"/>
  <c r="H215" i="27"/>
  <c r="I215" i="27" s="1"/>
  <c r="M210" i="27"/>
  <c r="N210" i="27" s="1"/>
  <c r="H210" i="27"/>
  <c r="I210" i="27" s="1"/>
  <c r="M209" i="27"/>
  <c r="N209" i="27" s="1"/>
  <c r="H209" i="27"/>
  <c r="I209" i="27" s="1"/>
  <c r="M208" i="27"/>
  <c r="N208" i="27" s="1"/>
  <c r="H208" i="27"/>
  <c r="I208" i="27" s="1"/>
  <c r="M207" i="27"/>
  <c r="N207" i="27" s="1"/>
  <c r="H207" i="27"/>
  <c r="I207" i="27" s="1"/>
  <c r="H206" i="27"/>
  <c r="I206" i="27" s="1"/>
  <c r="H205" i="27"/>
  <c r="I205" i="27" s="1"/>
  <c r="H204" i="27"/>
  <c r="I204" i="27" s="1"/>
  <c r="H203" i="27"/>
  <c r="I203" i="27" s="1"/>
  <c r="H202" i="27"/>
  <c r="I202" i="27" s="1"/>
  <c r="H201" i="27"/>
  <c r="I201" i="27" s="1"/>
  <c r="H200" i="27"/>
  <c r="I200" i="27" s="1"/>
  <c r="H199" i="27"/>
  <c r="I199" i="27" s="1"/>
  <c r="H197" i="27"/>
  <c r="I197" i="27" s="1"/>
  <c r="H196" i="27"/>
  <c r="I196" i="27" s="1"/>
  <c r="H195" i="27"/>
  <c r="I195" i="27" s="1"/>
  <c r="H194" i="27"/>
  <c r="I194" i="27" s="1"/>
  <c r="H191" i="27"/>
  <c r="I191" i="27" s="1"/>
  <c r="H190" i="27"/>
  <c r="I190" i="27" s="1"/>
  <c r="H189" i="27"/>
  <c r="I189" i="27" s="1"/>
  <c r="H188" i="27"/>
  <c r="I188" i="27" s="1"/>
  <c r="H187" i="27"/>
  <c r="I187" i="27" s="1"/>
  <c r="H186" i="27"/>
  <c r="I186" i="27" s="1"/>
  <c r="G185" i="27"/>
  <c r="H184" i="27"/>
  <c r="I184" i="27" s="1"/>
  <c r="H174" i="27"/>
  <c r="I174" i="27" s="1"/>
  <c r="H173" i="27"/>
  <c r="I173" i="27" s="1"/>
  <c r="H172" i="27"/>
  <c r="I172" i="27" s="1"/>
  <c r="H171" i="27"/>
  <c r="I171" i="27" s="1"/>
  <c r="H170" i="27"/>
  <c r="I170" i="27" s="1"/>
  <c r="H169" i="27"/>
  <c r="I169" i="27" s="1"/>
  <c r="H168" i="27"/>
  <c r="I168" i="27" s="1"/>
  <c r="H167" i="27"/>
  <c r="I167" i="27" s="1"/>
  <c r="H166" i="27"/>
  <c r="I166" i="27" s="1"/>
  <c r="H165" i="27"/>
  <c r="I165" i="27" s="1"/>
  <c r="H164" i="27"/>
  <c r="I164" i="27" s="1"/>
  <c r="H163" i="27"/>
  <c r="I163" i="27" s="1"/>
  <c r="H162" i="27"/>
  <c r="I162" i="27" s="1"/>
  <c r="H161" i="27"/>
  <c r="I161" i="27" s="1"/>
  <c r="H160" i="27"/>
  <c r="I160" i="27" s="1"/>
  <c r="H159" i="27"/>
  <c r="I159" i="27" s="1"/>
  <c r="H158" i="27"/>
  <c r="I158" i="27" s="1"/>
  <c r="H157" i="27"/>
  <c r="I157" i="27" s="1"/>
  <c r="H156" i="27"/>
  <c r="I156" i="27" s="1"/>
  <c r="H155" i="27"/>
  <c r="I155" i="27" s="1"/>
  <c r="H154" i="27"/>
  <c r="I154" i="27" s="1"/>
  <c r="H153" i="27"/>
  <c r="I153" i="27" s="1"/>
  <c r="H152" i="27"/>
  <c r="I152" i="27" s="1"/>
  <c r="H151" i="27"/>
  <c r="I151" i="27" s="1"/>
  <c r="H150" i="27"/>
  <c r="I150" i="27" s="1"/>
  <c r="H149" i="27"/>
  <c r="I149" i="27" s="1"/>
  <c r="H148" i="27"/>
  <c r="I148" i="27" s="1"/>
  <c r="H147" i="27"/>
  <c r="I147" i="27" s="1"/>
  <c r="H146" i="27"/>
  <c r="I146" i="27" s="1"/>
  <c r="H145" i="27"/>
  <c r="I145" i="27" s="1"/>
  <c r="H144" i="27"/>
  <c r="I144" i="27" s="1"/>
  <c r="H143" i="27"/>
  <c r="I143" i="27" s="1"/>
  <c r="H141" i="27"/>
  <c r="I141" i="27" s="1"/>
  <c r="H140" i="27"/>
  <c r="I140" i="27" s="1"/>
  <c r="H139" i="27"/>
  <c r="I139" i="27" s="1"/>
  <c r="H138" i="27"/>
  <c r="I138" i="27" s="1"/>
  <c r="H137" i="27"/>
  <c r="I137" i="27" s="1"/>
  <c r="H124" i="27"/>
  <c r="I124" i="27" s="1"/>
  <c r="H123" i="27"/>
  <c r="I123" i="27" s="1"/>
  <c r="H122" i="27"/>
  <c r="I122" i="27" s="1"/>
  <c r="H121" i="27"/>
  <c r="I121" i="27" s="1"/>
  <c r="H119" i="27"/>
  <c r="I119" i="27" s="1"/>
  <c r="H118" i="27"/>
  <c r="I118" i="27" s="1"/>
  <c r="H117" i="27"/>
  <c r="I117" i="27" s="1"/>
  <c r="H116" i="27"/>
  <c r="I116" i="27" s="1"/>
  <c r="H115" i="27"/>
  <c r="I115" i="27" s="1"/>
  <c r="H114" i="27"/>
  <c r="I114" i="27" s="1"/>
  <c r="H113" i="27"/>
  <c r="I113" i="27" s="1"/>
  <c r="H112" i="27"/>
  <c r="I112" i="27" s="1"/>
  <c r="H111" i="27"/>
  <c r="I111" i="27" s="1"/>
  <c r="H110" i="27"/>
  <c r="I110" i="27" s="1"/>
  <c r="H109" i="27"/>
  <c r="I109" i="27" s="1"/>
  <c r="H108" i="27"/>
  <c r="I108" i="27" s="1"/>
  <c r="H107" i="27"/>
  <c r="I107" i="27" s="1"/>
  <c r="H106" i="27"/>
  <c r="I106" i="27" s="1"/>
  <c r="H105" i="27"/>
  <c r="I105" i="27" s="1"/>
  <c r="H104" i="27"/>
  <c r="I104" i="27" s="1"/>
  <c r="H103" i="27"/>
  <c r="I103" i="27" s="1"/>
  <c r="H102" i="27"/>
  <c r="I102" i="27" s="1"/>
  <c r="H101" i="27"/>
  <c r="I101" i="27" s="1"/>
  <c r="H100" i="27"/>
  <c r="I100" i="27" s="1"/>
  <c r="H99" i="27"/>
  <c r="I99" i="27" s="1"/>
  <c r="H98" i="27"/>
  <c r="I98" i="27" s="1"/>
  <c r="H97" i="27"/>
  <c r="I97" i="27" s="1"/>
  <c r="H96" i="27"/>
  <c r="I96" i="27" s="1"/>
  <c r="H95" i="27"/>
  <c r="I95" i="27" s="1"/>
  <c r="H94" i="27"/>
  <c r="I94" i="27" s="1"/>
  <c r="H93" i="27"/>
  <c r="I93" i="27" s="1"/>
  <c r="H92" i="27"/>
  <c r="I92" i="27" s="1"/>
  <c r="H91" i="27"/>
  <c r="I91" i="27" s="1"/>
  <c r="H90" i="27"/>
  <c r="I90" i="27" s="1"/>
  <c r="H89" i="27"/>
  <c r="I89" i="27" s="1"/>
  <c r="H88" i="27"/>
  <c r="I88" i="27" s="1"/>
  <c r="H87" i="27"/>
  <c r="I87" i="27" s="1"/>
  <c r="H86" i="27"/>
  <c r="I86" i="27" s="1"/>
  <c r="H85" i="27"/>
  <c r="I85" i="27" s="1"/>
  <c r="H84" i="27"/>
  <c r="I84" i="27" s="1"/>
  <c r="H83" i="27"/>
  <c r="I83" i="27" s="1"/>
  <c r="H82" i="27"/>
  <c r="I82" i="27" s="1"/>
  <c r="H81" i="27"/>
  <c r="I81" i="27" s="1"/>
  <c r="H80" i="27"/>
  <c r="I80" i="27" s="1"/>
  <c r="H79" i="27"/>
  <c r="I79" i="27" s="1"/>
  <c r="H78" i="27"/>
  <c r="I78" i="27" s="1"/>
  <c r="H77" i="27"/>
  <c r="I77" i="27" s="1"/>
  <c r="H76" i="27"/>
  <c r="I76" i="27" s="1"/>
  <c r="H75" i="27"/>
  <c r="I75" i="27" s="1"/>
  <c r="H74" i="27"/>
  <c r="I74" i="27" s="1"/>
  <c r="H73" i="27"/>
  <c r="I73" i="27" s="1"/>
  <c r="H72" i="27"/>
  <c r="I72" i="27" s="1"/>
  <c r="H71" i="27"/>
  <c r="I71" i="27" s="1"/>
  <c r="H70" i="27"/>
  <c r="I70" i="27" s="1"/>
  <c r="H69" i="27"/>
  <c r="I69" i="27" s="1"/>
  <c r="H68" i="27"/>
  <c r="I68" i="27" s="1"/>
  <c r="H67" i="27"/>
  <c r="I67" i="27" s="1"/>
  <c r="H66" i="27"/>
  <c r="I66" i="27" s="1"/>
  <c r="H65" i="27"/>
  <c r="I65" i="27" s="1"/>
  <c r="H64" i="27"/>
  <c r="I64" i="27" s="1"/>
  <c r="H63" i="27"/>
  <c r="I63" i="27" s="1"/>
  <c r="H62" i="27"/>
  <c r="I62" i="27" s="1"/>
  <c r="H61" i="27"/>
  <c r="I61" i="27" s="1"/>
  <c r="H60" i="27"/>
  <c r="I60" i="27" s="1"/>
  <c r="H59" i="27"/>
  <c r="I59" i="27" s="1"/>
  <c r="H58" i="27"/>
  <c r="I58" i="27" s="1"/>
  <c r="H57" i="27"/>
  <c r="I57" i="27" s="1"/>
  <c r="H56" i="27"/>
  <c r="I56" i="27" s="1"/>
  <c r="H55" i="27"/>
  <c r="I55" i="27" s="1"/>
  <c r="H54" i="27"/>
  <c r="I54" i="27" s="1"/>
  <c r="H53" i="27"/>
  <c r="I53" i="27" s="1"/>
  <c r="H52" i="27"/>
  <c r="I52" i="27" s="1"/>
  <c r="H51" i="27"/>
  <c r="I51" i="27" s="1"/>
  <c r="H50" i="27"/>
  <c r="I50" i="27" s="1"/>
  <c r="H49" i="27"/>
  <c r="I49" i="27" s="1"/>
  <c r="H48" i="27"/>
  <c r="I48" i="27" s="1"/>
  <c r="H47" i="27"/>
  <c r="I47" i="27" s="1"/>
  <c r="H46" i="27"/>
  <c r="I46" i="27" s="1"/>
  <c r="H45" i="27"/>
  <c r="I45" i="27" s="1"/>
  <c r="H44" i="27"/>
  <c r="I44" i="27" s="1"/>
  <c r="H43" i="27"/>
  <c r="I43" i="27" s="1"/>
  <c r="H42" i="27"/>
  <c r="I42" i="27" s="1"/>
  <c r="H41" i="27"/>
  <c r="I41" i="27" s="1"/>
  <c r="H40" i="27"/>
  <c r="I40" i="27" s="1"/>
  <c r="H39" i="27"/>
  <c r="I39" i="27" s="1"/>
  <c r="H38" i="27"/>
  <c r="I38" i="27" s="1"/>
  <c r="H37" i="27"/>
  <c r="I37" i="27" s="1"/>
  <c r="H36" i="27"/>
  <c r="I36" i="27" s="1"/>
  <c r="H35" i="27"/>
  <c r="I35" i="27" s="1"/>
  <c r="H34" i="27"/>
  <c r="I34" i="27" s="1"/>
  <c r="H33" i="27"/>
  <c r="I33" i="27" s="1"/>
  <c r="H32" i="27"/>
  <c r="I32" i="27" s="1"/>
  <c r="H31" i="27"/>
  <c r="I31" i="27" s="1"/>
  <c r="H30" i="27"/>
  <c r="I30" i="27" s="1"/>
  <c r="H29" i="27"/>
  <c r="I29" i="27" s="1"/>
  <c r="H28" i="27"/>
  <c r="I28" i="27" s="1"/>
  <c r="H27" i="27"/>
  <c r="I27" i="27" s="1"/>
  <c r="H26" i="27"/>
  <c r="I26" i="27" s="1"/>
  <c r="H25" i="27"/>
  <c r="I25" i="27" s="1"/>
  <c r="H24" i="27"/>
  <c r="I24" i="27" s="1"/>
  <c r="H23" i="27"/>
  <c r="I23" i="27" s="1"/>
  <c r="H22" i="27"/>
  <c r="I22" i="27" s="1"/>
  <c r="H21" i="27"/>
  <c r="I21" i="27" s="1"/>
  <c r="H20" i="27"/>
  <c r="I20" i="27" s="1"/>
  <c r="H19" i="27"/>
  <c r="I19" i="27" s="1"/>
  <c r="H18" i="27"/>
  <c r="I18" i="27" s="1"/>
  <c r="H17" i="27"/>
  <c r="I17" i="27" s="1"/>
  <c r="H16" i="27"/>
  <c r="I16" i="27" s="1"/>
  <c r="H15" i="27"/>
  <c r="I15" i="27" s="1"/>
  <c r="H14" i="27"/>
  <c r="I14" i="27" s="1"/>
  <c r="H13" i="27"/>
  <c r="I13" i="27" s="1"/>
  <c r="H12" i="27"/>
  <c r="I12" i="27" s="1"/>
  <c r="H11" i="27"/>
  <c r="I11" i="27" s="1"/>
  <c r="H10" i="27"/>
  <c r="I10" i="27" s="1"/>
  <c r="H9" i="27"/>
  <c r="I9" i="27" s="1"/>
  <c r="H8" i="27"/>
  <c r="I8" i="27" s="1"/>
  <c r="H7" i="27"/>
  <c r="I7" i="27" s="1"/>
  <c r="H6" i="27"/>
  <c r="I6" i="27" s="1"/>
  <c r="H5" i="27"/>
  <c r="I5" i="27" s="1"/>
  <c r="H185" i="27" l="1"/>
  <c r="I185" i="27" s="1"/>
  <c r="H131" i="20" l="1"/>
  <c r="E112" i="5"/>
  <c r="O65" i="15" l="1"/>
  <c r="O67" i="15" s="1"/>
  <c r="P67" i="15"/>
  <c r="P68" i="15" l="1"/>
  <c r="P69" i="15" s="1"/>
  <c r="O68" i="15"/>
  <c r="O69" i="15" s="1"/>
  <c r="O71" i="15" s="1"/>
  <c r="Q71" i="15" l="1"/>
  <c r="Q72" i="15" s="1"/>
  <c r="B74" i="20"/>
  <c r="V6" i="15" l="1"/>
  <c r="W6" i="15" s="1"/>
  <c r="C49" i="20" l="1"/>
  <c r="C48" i="20"/>
  <c r="C47" i="20"/>
  <c r="C46" i="20"/>
  <c r="C45" i="20"/>
  <c r="C44" i="20"/>
  <c r="J28" i="21" l="1"/>
  <c r="B28" i="21"/>
  <c r="I6" i="21"/>
  <c r="I5" i="21"/>
  <c r="I4" i="21"/>
  <c r="E4" i="21"/>
  <c r="I3" i="21"/>
  <c r="F3" i="21"/>
  <c r="F150" i="5"/>
  <c r="E144" i="5"/>
  <c r="E143" i="5"/>
  <c r="E142" i="5"/>
  <c r="E141" i="5"/>
  <c r="F134" i="5"/>
  <c r="E128" i="5"/>
  <c r="E127" i="5"/>
  <c r="E126" i="5"/>
  <c r="E125" i="5"/>
  <c r="E124" i="5"/>
  <c r="E129" i="5" s="1"/>
  <c r="F118" i="5"/>
  <c r="E111" i="5"/>
  <c r="E110" i="5"/>
  <c r="E109" i="5"/>
  <c r="E108" i="5"/>
  <c r="E107" i="5"/>
  <c r="E106" i="5"/>
  <c r="E105" i="5"/>
  <c r="E104" i="5"/>
  <c r="E103" i="5"/>
  <c r="F58" i="5"/>
  <c r="M55" i="5"/>
  <c r="E52" i="5"/>
  <c r="E51" i="5"/>
  <c r="E50" i="5"/>
  <c r="E49" i="5"/>
  <c r="E48" i="5"/>
  <c r="E47" i="5"/>
  <c r="E46" i="5"/>
  <c r="E45" i="5"/>
  <c r="E44" i="5"/>
  <c r="E43" i="5"/>
  <c r="E42" i="5"/>
  <c r="E41" i="5"/>
  <c r="E40" i="5"/>
  <c r="E39" i="5"/>
  <c r="E38" i="5"/>
  <c r="A38" i="5"/>
  <c r="A39" i="5" s="1"/>
  <c r="A40" i="5" s="1"/>
  <c r="A41" i="5" s="1"/>
  <c r="A42" i="5" s="1"/>
  <c r="A43" i="5" s="1"/>
  <c r="A44" i="5" s="1"/>
  <c r="A45" i="5" s="1"/>
  <c r="A46" i="5" s="1"/>
  <c r="A47" i="5" s="1"/>
  <c r="A48" i="5" s="1"/>
  <c r="A49" i="5" s="1"/>
  <c r="A50" i="5" s="1"/>
  <c r="A51" i="5" s="1"/>
  <c r="A52" i="5" s="1"/>
  <c r="E37" i="5"/>
  <c r="F96" i="5"/>
  <c r="F90" i="5"/>
  <c r="F89" i="5"/>
  <c r="F88" i="5"/>
  <c r="F87" i="5"/>
  <c r="F86" i="5"/>
  <c r="F80" i="5"/>
  <c r="F74" i="5"/>
  <c r="F72" i="5"/>
  <c r="F71" i="5"/>
  <c r="F70" i="5"/>
  <c r="D124" i="5" s="1"/>
  <c r="D140" i="5" s="1"/>
  <c r="E140" i="5" s="1"/>
  <c r="E145" i="5" s="1"/>
  <c r="O31" i="5"/>
  <c r="F27" i="5"/>
  <c r="C27" i="5"/>
  <c r="C28" i="5" s="1"/>
  <c r="C29" i="5" s="1"/>
  <c r="L23" i="5"/>
  <c r="M23" i="5" s="1"/>
  <c r="O23" i="5" s="1"/>
  <c r="L22" i="5"/>
  <c r="M22" i="5" s="1"/>
  <c r="O22" i="5" s="1"/>
  <c r="L21" i="5"/>
  <c r="M21" i="5" s="1"/>
  <c r="O21" i="5" s="1"/>
  <c r="L20" i="5"/>
  <c r="M20" i="5" s="1"/>
  <c r="O20" i="5" s="1"/>
  <c r="L19" i="5"/>
  <c r="M19" i="5" s="1"/>
  <c r="O19" i="5" s="1"/>
  <c r="L18" i="5"/>
  <c r="M18" i="5" s="1"/>
  <c r="O18" i="5" s="1"/>
  <c r="L17" i="5"/>
  <c r="M17" i="5" s="1"/>
  <c r="O17" i="5" s="1"/>
  <c r="L15" i="5"/>
  <c r="M15" i="5" s="1"/>
  <c r="O15" i="5" s="1"/>
  <c r="D8" i="5"/>
  <c r="D7" i="5"/>
  <c r="D6" i="5"/>
  <c r="D3" i="5"/>
  <c r="D5" i="5"/>
  <c r="D4" i="5"/>
  <c r="D2" i="5"/>
  <c r="N1" i="5"/>
  <c r="G134" i="20"/>
  <c r="G135" i="20" s="1"/>
  <c r="G16" i="5" l="1"/>
  <c r="H16" i="5"/>
  <c r="C14" i="5"/>
  <c r="L14" i="5" s="1"/>
  <c r="M14" i="5" s="1"/>
  <c r="O14" i="5" s="1"/>
  <c r="C16" i="5"/>
  <c r="F91" i="5"/>
  <c r="F151" i="5"/>
  <c r="F152" i="5" s="1"/>
  <c r="F135" i="5"/>
  <c r="F136" i="5" s="1"/>
  <c r="E53" i="5"/>
  <c r="F59" i="5" s="1"/>
  <c r="F61" i="5" s="1"/>
  <c r="E35" i="5" s="1"/>
  <c r="E113" i="5"/>
  <c r="F119" i="5" s="1"/>
  <c r="F120" i="5" s="1"/>
  <c r="F97" i="5"/>
  <c r="F98" i="5" s="1"/>
  <c r="F75" i="5"/>
  <c r="F81" i="5" s="1"/>
  <c r="F82" i="5" s="1"/>
  <c r="F112" i="5"/>
  <c r="F45" i="5"/>
  <c r="F41" i="5"/>
  <c r="F141" i="5"/>
  <c r="F37" i="5"/>
  <c r="F49" i="5"/>
  <c r="F143" i="5"/>
  <c r="F40" i="5"/>
  <c r="F44" i="5"/>
  <c r="F48" i="5"/>
  <c r="F52" i="5"/>
  <c r="F104" i="5"/>
  <c r="F106" i="5"/>
  <c r="F108" i="5"/>
  <c r="F110" i="5"/>
  <c r="F124" i="5"/>
  <c r="F126" i="5"/>
  <c r="F128" i="5"/>
  <c r="F39" i="5"/>
  <c r="F43" i="5"/>
  <c r="F47" i="5"/>
  <c r="F51" i="5"/>
  <c r="F140" i="5"/>
  <c r="F142" i="5"/>
  <c r="F144" i="5"/>
  <c r="F38" i="5"/>
  <c r="F42" i="5"/>
  <c r="F46" i="5"/>
  <c r="F50" i="5"/>
  <c r="F103" i="5"/>
  <c r="F105" i="5"/>
  <c r="F107" i="5"/>
  <c r="F109" i="5"/>
  <c r="F111" i="5"/>
  <c r="F125" i="5"/>
  <c r="F127" i="5"/>
  <c r="C25" i="5" l="1"/>
  <c r="M16" i="5"/>
  <c r="O16" i="5" s="1"/>
  <c r="O24" i="5" s="1"/>
  <c r="O26" i="5" s="1"/>
  <c r="O32" i="5" s="1"/>
  <c r="O33" i="5" s="1"/>
  <c r="E12" i="5" s="1"/>
  <c r="E138" i="5"/>
  <c r="G152" i="5"/>
  <c r="E8" i="5" s="1"/>
  <c r="E122" i="5"/>
  <c r="G136" i="5"/>
  <c r="E7" i="5" s="1"/>
  <c r="G61" i="5"/>
  <c r="E3" i="5" s="1"/>
  <c r="E101" i="5"/>
  <c r="G120" i="5"/>
  <c r="E6" i="5" s="1"/>
  <c r="E84" i="5"/>
  <c r="G98" i="5"/>
  <c r="E5" i="5" s="1"/>
  <c r="E67" i="5"/>
  <c r="G82" i="5"/>
  <c r="E4" i="5" s="1"/>
  <c r="F53" i="5"/>
  <c r="F145" i="5"/>
  <c r="F113" i="5"/>
  <c r="F129" i="5"/>
  <c r="P33" i="5" l="1"/>
  <c r="E2" i="5" s="1"/>
  <c r="E10" i="5"/>
  <c r="E1" i="5" s="1"/>
  <c r="V25" i="29" l="1"/>
  <c r="W25" i="29" s="1"/>
  <c r="V28" i="29"/>
  <c r="W28" i="29" s="1"/>
  <c r="G132" i="20" l="1"/>
  <c r="H132" i="20" s="1"/>
  <c r="H133" i="20" s="1"/>
  <c r="H134" i="20" l="1"/>
  <c r="H135"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Mayerlin Guapuriche</author>
  </authors>
  <commentList>
    <comment ref="A35" authorId="0" shapeId="0" xr:uid="{8965AB11-3325-4D06-A42A-9F9B3824700E}">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JEAU</author>
  </authors>
  <commentList>
    <comment ref="C13" authorId="0" shapeId="0" xr:uid="{62C1EA51-148B-4EEF-867C-2B41B12E8E47}">
      <text>
        <r>
          <rPr>
            <b/>
            <sz val="9"/>
            <color rgb="FF000000"/>
            <rFont val="Tahoma"/>
            <family val="2"/>
          </rPr>
          <t>Ingresos Salariales:</t>
        </r>
        <r>
          <rPr>
            <sz val="9"/>
            <color rgb="FF000000"/>
            <rFont val="Tahoma"/>
            <family val="2"/>
          </rPr>
          <t xml:space="preserve">
</t>
        </r>
        <r>
          <rPr>
            <sz val="9"/>
            <color rgb="FF000000"/>
            <rFont val="Tahoma"/>
            <family val="2"/>
          </rPr>
          <t xml:space="preserve">-Sueldo 
</t>
        </r>
        <r>
          <rPr>
            <sz val="9"/>
            <color rgb="FF000000"/>
            <rFont val="Tahoma"/>
            <family val="2"/>
          </rPr>
          <t xml:space="preserve">-Comisiones
</t>
        </r>
        <r>
          <rPr>
            <sz val="9"/>
            <color rgb="FF000000"/>
            <rFont val="Tahoma"/>
            <family val="2"/>
          </rPr>
          <t xml:space="preserve">-Bonificaciones
</t>
        </r>
        <r>
          <rPr>
            <sz val="9"/>
            <color rgb="FF000000"/>
            <rFont val="Tahoma"/>
            <family val="2"/>
          </rPr>
          <t xml:space="preserve">-Horas Extras
</t>
        </r>
        <r>
          <rPr>
            <sz val="9"/>
            <color rgb="FF000000"/>
            <rFont val="Tahoma"/>
            <family val="2"/>
          </rPr>
          <t xml:space="preserve">-Vacaciones
</t>
        </r>
        <r>
          <rPr>
            <sz val="9"/>
            <color rgb="FF000000"/>
            <rFont val="Tahoma"/>
            <family val="2"/>
          </rPr>
          <t xml:space="preserve"> </t>
        </r>
      </text>
    </comment>
    <comment ref="D13" authorId="0" shapeId="0" xr:uid="{D894565E-7CE6-4B23-ACCF-7F777F09A32C}">
      <text>
        <r>
          <rPr>
            <b/>
            <sz val="9"/>
            <color rgb="FF000000"/>
            <rFont val="Tahoma"/>
            <family val="2"/>
          </rPr>
          <t>Otros Ingresos:</t>
        </r>
        <r>
          <rPr>
            <sz val="9"/>
            <color rgb="FF000000"/>
            <rFont val="Tahoma"/>
            <family val="2"/>
          </rPr>
          <t xml:space="preserve">
</t>
        </r>
        <r>
          <rPr>
            <sz val="9"/>
            <color rgb="FF000000"/>
            <rFont val="Tahoma"/>
            <family val="2"/>
          </rPr>
          <t xml:space="preserve">- Bonificaciones Ocasionales
</t>
        </r>
        <r>
          <rPr>
            <sz val="9"/>
            <color rgb="FF000000"/>
            <rFont val="Tahoma"/>
            <family val="2"/>
          </rPr>
          <t xml:space="preserve">- Participacion de Utilidades.
</t>
        </r>
        <r>
          <rPr>
            <b/>
            <sz val="9"/>
            <color rgb="FF000000"/>
            <rFont val="Tahoma"/>
            <family val="2"/>
          </rPr>
          <t>*Estos pagos deben estipularse como no salariales.</t>
        </r>
        <r>
          <rPr>
            <sz val="9"/>
            <color rgb="FF000000"/>
            <rFont val="Tahoma"/>
            <family val="2"/>
          </rPr>
          <t xml:space="preserve"> </t>
        </r>
      </text>
    </comment>
    <comment ref="E13" authorId="0" shapeId="0" xr:uid="{229A33CB-0D90-4EE1-BC94-B3826C16C314}">
      <text>
        <r>
          <rPr>
            <b/>
            <sz val="9"/>
            <color rgb="FF000000"/>
            <rFont val="Tahoma"/>
            <family val="2"/>
          </rPr>
          <t>Beneficios no gravables:</t>
        </r>
        <r>
          <rPr>
            <sz val="9"/>
            <color rgb="FF000000"/>
            <rFont val="Tahoma"/>
            <family val="2"/>
          </rPr>
          <t xml:space="preserve">
</t>
        </r>
        <r>
          <rPr>
            <sz val="9"/>
            <color rgb="FF000000"/>
            <rFont val="Tahoma"/>
            <family val="2"/>
          </rPr>
          <t xml:space="preserve">- Combustible.
</t>
        </r>
        <r>
          <rPr>
            <sz val="9"/>
            <color rgb="FF000000"/>
            <rFont val="Tahoma"/>
            <family val="2"/>
          </rPr>
          <t xml:space="preserve">- Teléfonos
</t>
        </r>
        <r>
          <rPr>
            <sz val="9"/>
            <color rgb="FF000000"/>
            <rFont val="Tahoma"/>
            <family val="2"/>
          </rPr>
          <t xml:space="preserve">- Transporte
</t>
        </r>
      </text>
    </comment>
    <comment ref="K13" authorId="0" shapeId="0" xr:uid="{147E5DAB-3C46-4376-B590-50093C4AB2A0}">
      <text>
        <r>
          <rPr>
            <b/>
            <sz val="9"/>
            <color indexed="81"/>
            <rFont val="Tahoma"/>
            <family val="2"/>
          </rPr>
          <t>Provisiones:</t>
        </r>
        <r>
          <rPr>
            <sz val="9"/>
            <color indexed="81"/>
            <rFont val="Tahoma"/>
            <family val="2"/>
          </rPr>
          <t xml:space="preserve">
- Vacaciones: </t>
        </r>
        <r>
          <rPr>
            <sz val="8"/>
            <color indexed="81"/>
            <rFont val="Tahoma"/>
            <family val="2"/>
          </rPr>
          <t xml:space="preserve">(Se toman como base para la provisión de vacaciones 15 días de calendario, es decir el 4.167%). </t>
        </r>
        <r>
          <rPr>
            <sz val="9"/>
            <color indexed="81"/>
            <rFont val="Tahoma"/>
            <family val="2"/>
          </rPr>
          <t xml:space="preserve">
- Aguinaldo  
- Cesantías 
</t>
        </r>
      </text>
    </comment>
    <comment ref="D68" authorId="0" shapeId="0" xr:uid="{29A91E20-1119-4651-973A-353BC60AECD5}">
      <text>
        <r>
          <rPr>
            <b/>
            <sz val="9"/>
            <color indexed="81"/>
            <rFont val="Tahoma"/>
            <family val="2"/>
          </rPr>
          <t>JEAU:</t>
        </r>
        <r>
          <rPr>
            <sz val="9"/>
            <color indexed="81"/>
            <rFont val="Tahoma"/>
            <family val="2"/>
          </rPr>
          <t xml:space="preserve">
Un valor promediando carros de 1 a 5 años viejos que trabajan con Grupo ABC y según la CGR
</t>
        </r>
      </text>
    </comment>
    <comment ref="E85" authorId="0" shapeId="0" xr:uid="{804B36DF-1936-417E-9086-E69A9ED3EA9B}">
      <text>
        <r>
          <rPr>
            <b/>
            <sz val="9"/>
            <color indexed="81"/>
            <rFont val="Tahoma"/>
            <family val="2"/>
          </rPr>
          <t>JEAU:</t>
        </r>
        <r>
          <rPr>
            <sz val="9"/>
            <color indexed="81"/>
            <rFont val="Tahoma"/>
            <family val="2"/>
          </rPr>
          <t xml:space="preserve">
Según CGR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Gabriel</author>
  </authors>
  <commentList>
    <comment ref="G8" authorId="0" shapeId="0" xr:uid="{F746D2B9-B595-BE4B-9645-EEBC25109C78}">
      <text>
        <r>
          <rPr>
            <b/>
            <sz val="9"/>
            <color indexed="81"/>
            <rFont val="Tahoma"/>
            <family val="2"/>
          </rPr>
          <t>Gabriel:</t>
        </r>
        <r>
          <rPr>
            <sz val="9"/>
            <color indexed="81"/>
            <rFont val="Tahoma"/>
            <family val="2"/>
          </rPr>
          <t xml:space="preserve">
Precio actualizado americana 05/05/2018</t>
        </r>
      </text>
    </comment>
    <comment ref="G9" authorId="0" shapeId="0" xr:uid="{4EFC5886-90D2-0F47-A97C-C57DA7033324}">
      <text>
        <r>
          <rPr>
            <b/>
            <sz val="9"/>
            <color indexed="81"/>
            <rFont val="Tahoma"/>
            <family val="2"/>
          </rPr>
          <t>Gabriel:</t>
        </r>
        <r>
          <rPr>
            <sz val="9"/>
            <color indexed="81"/>
            <rFont val="Tahoma"/>
            <family val="2"/>
          </rPr>
          <t xml:space="preserve">
Precio actualizado americana: 05/05/2018</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<sst xmlns="http://schemas.openxmlformats.org/spreadsheetml/2006/main" count="4031" uniqueCount="945">
  <si>
    <t>COTIZACION:</t>
  </si>
  <si>
    <t>-</t>
  </si>
  <si>
    <t>FECHA</t>
  </si>
  <si>
    <t>RNC: 131-66839-9</t>
  </si>
  <si>
    <t>NOMBRE:</t>
  </si>
  <si>
    <t>IBEROSTAR HOTEL BAVARO</t>
  </si>
  <si>
    <t>Alcance</t>
  </si>
  <si>
    <t>RNC:</t>
  </si>
  <si>
    <t>CLIENTE:</t>
  </si>
  <si>
    <t>DIRECCION</t>
  </si>
  <si>
    <t>CODIGO</t>
  </si>
  <si>
    <t>ATENCION:</t>
  </si>
  <si>
    <t>POSICION:</t>
  </si>
  <si>
    <t>ITEM</t>
  </si>
  <si>
    <t>DESCRIPCION</t>
  </si>
  <si>
    <t>UNIDAD</t>
  </si>
  <si>
    <t>CANTIDAD</t>
  </si>
  <si>
    <t>PRECIO UNITARIO</t>
  </si>
  <si>
    <t>TOTAL</t>
  </si>
  <si>
    <t>INSUMOS GASTABLES &amp; TRANSPORTE</t>
  </si>
  <si>
    <t>Und.</t>
  </si>
  <si>
    <t>MANO DE OBRA</t>
  </si>
  <si>
    <t>SUBTOTAL</t>
  </si>
  <si>
    <t>USD</t>
  </si>
  <si>
    <t xml:space="preserve">ITBIS (18 %) </t>
  </si>
  <si>
    <t>CONDICIONES GENERALES</t>
  </si>
  <si>
    <t>No se incluye ningún otro trabajo que no esté descrito en esta oferta, sin embargo, estamos con la mejor disposición de realizar modificaciones o trabajos adicionales, con previo acuerdo de ambas partes.</t>
  </si>
  <si>
    <t>Tiempo de Entrega:</t>
  </si>
  <si>
    <t>Forma de pago: contra entrega</t>
  </si>
  <si>
    <t xml:space="preserve">Se deberá programar una reunión para explicar el alcance del proyecto. </t>
  </si>
  <si>
    <t>La garantía es por 1 año.</t>
  </si>
  <si>
    <t>La garantía del fabricante no cubre daños físicos ni daños causados por mala manipulación de los dispositivos eléctricos.</t>
  </si>
  <si>
    <t>El trabajo tiene como garantía un 1 año, no nos hacemos responsables por daños por intervención por parte de terceros.</t>
  </si>
  <si>
    <t>Sin perjuicio de otras exclusiones, alcances o consideraciones establecidas en el presente documento, se deja expresa constancia que la presente Póliza de Garantía tiene las siguientes exclusiones:</t>
  </si>
  <si>
    <t>Si el mantenimiento correctivo o preventivo no ha sido realizado por Elemento Ingeniería.</t>
  </si>
  <si>
    <t>Si los defectos o daños son resultado del uso indebido del Equipo y/o sus accesorios, accidente o negligencia, por defectos o daños de pruebas erróneas, operación, mantención, ajustes o cualquier otra modificación o alteración o cuando el daño provenga de actos maliciosos, desastres naturales, impericia o mala utilización en general.</t>
  </si>
  <si>
    <t>Si el mal funcionamiento es producido por exposición del Equipo o sus accesorios a condiciones ambientales inadecuadas, tales como condiciones extremas de temperatura, humedad, fuego u otras similares.</t>
  </si>
  <si>
    <t>La oferta tiene una validez de 15 días.</t>
  </si>
  <si>
    <t>RESUMEN</t>
  </si>
  <si>
    <t>Costo Indirecto</t>
  </si>
  <si>
    <t>Tipo de Cambio</t>
  </si>
  <si>
    <t>Otro:</t>
  </si>
  <si>
    <t>TOTAL:</t>
  </si>
  <si>
    <t>Personal</t>
  </si>
  <si>
    <t>Item</t>
  </si>
  <si>
    <t>Empleado</t>
  </si>
  <si>
    <t>Salario Bruto y/o Comisiones</t>
  </si>
  <si>
    <t>Otros ingresos</t>
  </si>
  <si>
    <t>Beneficios no gravables</t>
  </si>
  <si>
    <t>Otros</t>
  </si>
  <si>
    <t>Provisiones</t>
  </si>
  <si>
    <t>Costo Real/Mes</t>
  </si>
  <si>
    <t>Costo Día</t>
  </si>
  <si>
    <t>Días</t>
  </si>
  <si>
    <t>Costo Real</t>
  </si>
  <si>
    <t>Gerencia</t>
  </si>
  <si>
    <t>Ingeniero de Proyecto</t>
  </si>
  <si>
    <t>Ingeniero Ayudante</t>
  </si>
  <si>
    <t>Electricista</t>
  </si>
  <si>
    <t>Electricista Ayudante</t>
  </si>
  <si>
    <t>Ayudante</t>
  </si>
  <si>
    <t>Administrativa</t>
  </si>
  <si>
    <t>Cargo Mensual</t>
  </si>
  <si>
    <t>Meses</t>
  </si>
  <si>
    <t>TOTAL (RD$)</t>
  </si>
  <si>
    <t>FINANCIAMIENTO</t>
  </si>
  <si>
    <t>%/mes</t>
  </si>
  <si>
    <t>Total %:</t>
  </si>
  <si>
    <t>Monto:</t>
  </si>
  <si>
    <t>Transporte</t>
  </si>
  <si>
    <t>Descripción</t>
  </si>
  <si>
    <t>Cantidad Viajes</t>
  </si>
  <si>
    <t>RD$/km:</t>
  </si>
  <si>
    <t>km ida-vuelta:</t>
  </si>
  <si>
    <t>SUBTOTAL (RD$)</t>
  </si>
  <si>
    <t>Costo de peajes</t>
  </si>
  <si>
    <t>Peajes</t>
  </si>
  <si>
    <t>Tipo de Vehículo</t>
  </si>
  <si>
    <t>Las Américas, Duarte, Sánchez, 6 de Noviembre y Coral I</t>
  </si>
  <si>
    <t>Coral II, Circunvalación Juan Bosch I y II, Circunvalación La Romana, Circunvalación Santiago</t>
  </si>
  <si>
    <t>Gasolina Colmado</t>
  </si>
  <si>
    <t>(Automóviles, Camionetas, SUV y Furgonetas)</t>
  </si>
  <si>
    <t>RD$60</t>
  </si>
  <si>
    <t>RD$100</t>
  </si>
  <si>
    <t>Gasolina Chinola</t>
  </si>
  <si>
    <t>Compra mat Colmado</t>
  </si>
  <si>
    <t>TOTAL $:</t>
  </si>
  <si>
    <t>Alimentación</t>
  </si>
  <si>
    <t>Cantidad (Días)</t>
  </si>
  <si>
    <t>Empleados</t>
  </si>
  <si>
    <t>P/Unitario (RD$)</t>
  </si>
  <si>
    <t>Desayuno</t>
  </si>
  <si>
    <t xml:space="preserve">Almuerzo </t>
  </si>
  <si>
    <t>Cena</t>
  </si>
  <si>
    <t>Hospedaje</t>
  </si>
  <si>
    <t>Tercerizado</t>
  </si>
  <si>
    <t>Cantidad</t>
  </si>
  <si>
    <t>SUBTOTAL($)</t>
  </si>
  <si>
    <t>Salidas de Luminaria</t>
  </si>
  <si>
    <t>* Salida de interruptor censillo----5x600=3000</t>
  </si>
  <si>
    <t>Canalizacion y Cableado</t>
  </si>
  <si>
    <t>*Z-4-TA-2 instalación de lámparas colgantes---350x16=5,600</t>
  </si>
  <si>
    <t xml:space="preserve">Mano de obra de Domingo </t>
  </si>
  <si>
    <t>Z-2 iluminaria de Colima</t>
  </si>
  <si>
    <t>*Reubicación de luz tiraled---300x8=2,400</t>
  </si>
  <si>
    <t>*Instalación de iluminaria tiraled----500x8=4,000</t>
  </si>
  <si>
    <t>Z-1 Salida iluninaria 14x600=8,400</t>
  </si>
  <si>
    <t>*Instalación de lámparas---14x350=4,900</t>
  </si>
  <si>
    <t>*Armado de lampara de sacaloy cable de acero---400x14=5,600</t>
  </si>
  <si>
    <t>Z-6 salida de iluminaria---4x600=2,400</t>
  </si>
  <si>
    <t>*Instalación de iluminaria---4x250=1,000</t>
  </si>
  <si>
    <t>Z-7,8 Salida de iluminaria---5x600=3,000</t>
  </si>
  <si>
    <t>*Instalación de iluminaria 5x250=1,250</t>
  </si>
  <si>
    <t>Z-9 Salida de iluminaria---24x200=4,800</t>
  </si>
  <si>
    <t>*Instalación de iluminaria---24x200=4,800</t>
  </si>
  <si>
    <t>*Salida para estenxion de bombillos---1x600=600</t>
  </si>
  <si>
    <t>*Instalación de extensión de bombillo 250 pies---2,500</t>
  </si>
  <si>
    <t>*Desmantelasion y canalización existente---3000</t>
  </si>
  <si>
    <t>Total= 56,750</t>
  </si>
  <si>
    <t>Depreciación:</t>
  </si>
  <si>
    <t>EPP</t>
  </si>
  <si>
    <t>SUBTOTAL ($)</t>
  </si>
  <si>
    <t>Uniformes</t>
  </si>
  <si>
    <t>Anteojos</t>
  </si>
  <si>
    <t>Chalecos</t>
  </si>
  <si>
    <t>Cascos</t>
  </si>
  <si>
    <t>Zapatos</t>
  </si>
  <si>
    <t>Guantes</t>
  </si>
  <si>
    <t>Guantes dielectricos</t>
  </si>
  <si>
    <t>Alfombra dieléctrica</t>
  </si>
  <si>
    <t>Chicharra</t>
  </si>
  <si>
    <t>Compra de equipo</t>
  </si>
  <si>
    <t>Alquileres de EE</t>
  </si>
  <si>
    <t>Capacitación Especial</t>
  </si>
  <si>
    <t>Aula Capacitación</t>
  </si>
  <si>
    <t>Instructor</t>
  </si>
  <si>
    <t>Euro</t>
  </si>
  <si>
    <t>DÓLAR</t>
  </si>
  <si>
    <t>PESO DOMINICANO</t>
  </si>
  <si>
    <t>Accesorios</t>
  </si>
  <si>
    <t>#</t>
  </si>
  <si>
    <t>Nombre del Circuito</t>
  </si>
  <si>
    <t># del Circuito</t>
  </si>
  <si>
    <t>Tipo</t>
  </si>
  <si>
    <t>UNIDAD (m)</t>
  </si>
  <si>
    <t>PRECIO TOTAL</t>
  </si>
  <si>
    <t xml:space="preserve">Total con Accesorios </t>
  </si>
  <si>
    <t>Material</t>
  </si>
  <si>
    <t>Dimensiones</t>
  </si>
  <si>
    <t>Distancia (m)</t>
  </si>
  <si>
    <t>PESOS</t>
  </si>
  <si>
    <t>DOLARES</t>
  </si>
  <si>
    <t>UND</t>
  </si>
  <si>
    <t>Conductor 10 AWG THHN</t>
  </si>
  <si>
    <t>Coupling EMT 3/4"</t>
  </si>
  <si>
    <t>Abrazadera EMT 3/4'' </t>
  </si>
  <si>
    <t>Coupling IMC 3/4"</t>
  </si>
  <si>
    <t>Conector Liquidtight Recto 3/4"</t>
  </si>
  <si>
    <t xml:space="preserve">Riel din </t>
  </si>
  <si>
    <t xml:space="preserve">Freno de riel din </t>
  </si>
  <si>
    <t>Diferencial 40AMP 4POLOS 30MA  Marca: SCHNEIDER</t>
  </si>
  <si>
    <t>Int. Modular 32AMP 4POLOS 6KA EASY9</t>
  </si>
  <si>
    <t>Caja Reg. 175X150X80MM</t>
  </si>
  <si>
    <t>Tornillo Tirafondo 10X1- 1/2</t>
  </si>
  <si>
    <t>Arandela acero inoxidable plana 1/4"</t>
  </si>
  <si>
    <t>Caja Reg. IP65 100X100</t>
  </si>
  <si>
    <t>Barrena 5/16 4x6</t>
  </si>
  <si>
    <t>Disco ultrafino 4. 1/2</t>
  </si>
  <si>
    <t>Tarugo Plástico 5/16 X 1 1/2 Azul</t>
  </si>
  <si>
    <t>Tubería Eléctrica EMT 3/4"</t>
  </si>
  <si>
    <t>Tuberia Liquidtight 3/4"</t>
  </si>
  <si>
    <t>Accessories</t>
  </si>
  <si>
    <t>VALOR BRUTO</t>
  </si>
  <si>
    <t>IMPUESTOS</t>
  </si>
  <si>
    <t>VALOR TOTAL</t>
  </si>
  <si>
    <t>NO TOCAR PARA REFERENCIA</t>
  </si>
  <si>
    <t>Medida</t>
  </si>
  <si>
    <t>Precio</t>
  </si>
  <si>
    <t>ITBIS</t>
  </si>
  <si>
    <t>Tipo Caja</t>
  </si>
  <si>
    <t>Tipo conductores</t>
  </si>
  <si>
    <t>Conductores Americanos</t>
  </si>
  <si>
    <t>Conductores Europeos</t>
  </si>
  <si>
    <t>Tuberia</t>
  </si>
  <si>
    <t>PVC</t>
  </si>
  <si>
    <t>100mm</t>
  </si>
  <si>
    <t>Tubería PVC SDR-26 4"</t>
  </si>
  <si>
    <t xml:space="preserve">Suplidores electricos </t>
  </si>
  <si>
    <t>Rectangular</t>
  </si>
  <si>
    <t>Conductor 12 AWG THHN</t>
  </si>
  <si>
    <t xml:space="preserve">Conductor RV-K 2.5mm2 </t>
  </si>
  <si>
    <t>75mm</t>
  </si>
  <si>
    <t>Tubería PVC SDR-26 3"</t>
  </si>
  <si>
    <t>EMT</t>
  </si>
  <si>
    <t>Octagonal</t>
  </si>
  <si>
    <t xml:space="preserve">Conductor RV-K 4mm2 </t>
  </si>
  <si>
    <t>50mm</t>
  </si>
  <si>
    <t>Tubería PVC SDR-26 2"</t>
  </si>
  <si>
    <t>IMC</t>
  </si>
  <si>
    <t>WP</t>
  </si>
  <si>
    <t>Conductor 8 AWG THHN</t>
  </si>
  <si>
    <t xml:space="preserve">Conductor RV-K 6mm2 </t>
  </si>
  <si>
    <t>38mm</t>
  </si>
  <si>
    <t>Tubería PVC SDR-26 1 1/2"</t>
  </si>
  <si>
    <t>LFNC</t>
  </si>
  <si>
    <t>5x5</t>
  </si>
  <si>
    <t>Conductor 6 AWG THHN</t>
  </si>
  <si>
    <t xml:space="preserve">Conductor RV-K 10mm2 </t>
  </si>
  <si>
    <t>25mm</t>
  </si>
  <si>
    <t>Tubería PVC SDR-26 1"</t>
  </si>
  <si>
    <t>Conductor 4 AWG THHN</t>
  </si>
  <si>
    <t xml:space="preserve">Conductor RV-K 16mm2 </t>
  </si>
  <si>
    <t>19mm</t>
  </si>
  <si>
    <t>Tubería PVC SDR-26 3/4"</t>
  </si>
  <si>
    <t xml:space="preserve">Conductor 2 AWG THHN </t>
  </si>
  <si>
    <t xml:space="preserve">Conductor RV-K 25mm2 </t>
  </si>
  <si>
    <t>13mm</t>
  </si>
  <si>
    <t>Tubería PVC SDR-26 1/2"</t>
  </si>
  <si>
    <t>Conductor 1/0 AWG THHN</t>
  </si>
  <si>
    <t xml:space="preserve">Conductor RV-K 35mm2 </t>
  </si>
  <si>
    <t>Coupling</t>
  </si>
  <si>
    <t>Coupling PVC 4"</t>
  </si>
  <si>
    <t>Conductor 2/0 AWG THHN</t>
  </si>
  <si>
    <t xml:space="preserve">Conductor RV-K 50mm2 </t>
  </si>
  <si>
    <t>Coupling PVC 3"</t>
  </si>
  <si>
    <t>Conductor 3/0 AWG THHN</t>
  </si>
  <si>
    <t xml:space="preserve">Conductor RV-K 70mm2 </t>
  </si>
  <si>
    <t>Coupling PVC 2"</t>
  </si>
  <si>
    <t>Conductor 4/0 AWG THHN</t>
  </si>
  <si>
    <t xml:space="preserve">Conductor RV-K 95mm2 </t>
  </si>
  <si>
    <t>Coupling PVC 1 1/2"</t>
  </si>
  <si>
    <t xml:space="preserve">Conductor RV-K 120mm2 </t>
  </si>
  <si>
    <t>Coupling PVC 1"</t>
  </si>
  <si>
    <t xml:space="preserve">Conductor RV-K 150mm2 </t>
  </si>
  <si>
    <t>Coupling PVC 3/4"</t>
  </si>
  <si>
    <t xml:space="preserve">Conductor RV-K 185mm2 </t>
  </si>
  <si>
    <t>Coupling PVC 1/2"</t>
  </si>
  <si>
    <t xml:space="preserve">Conductor RV-K 240mm2 </t>
  </si>
  <si>
    <t>Adaptador Macho</t>
  </si>
  <si>
    <t>Adaptador Macho PVC 4"</t>
  </si>
  <si>
    <t>Adaptador Macho PVC 3"</t>
  </si>
  <si>
    <t>Adaptador Macho PVC 2"</t>
  </si>
  <si>
    <t>Adaptador Macho PVC 1 1/2"</t>
  </si>
  <si>
    <t>Adaptador Macho PVC 1"</t>
  </si>
  <si>
    <t>Adaptador Macho PVC 3/4"</t>
  </si>
  <si>
    <t>Adaptador Macho PVC 1/2"</t>
  </si>
  <si>
    <t>Adaptador Hembra</t>
  </si>
  <si>
    <t>Adaptador Hembra PVC 4"</t>
  </si>
  <si>
    <t>Adaptador Hembra PVC 3"</t>
  </si>
  <si>
    <t>Adaptador Hembra PVC 2"</t>
  </si>
  <si>
    <t>Adaptador Hembra PVC 1 1/2"</t>
  </si>
  <si>
    <t>Adaptador Hembra PVC 1"</t>
  </si>
  <si>
    <t>Adaptador Hembra PVC 3/4"</t>
  </si>
  <si>
    <t>Adaptador Hembra PVC 1/2"</t>
  </si>
  <si>
    <t>Curvas</t>
  </si>
  <si>
    <t>Curva 90 PVC SDR 4"</t>
  </si>
  <si>
    <t>Curva 90 PVC SDR 3"</t>
  </si>
  <si>
    <t>Curva 90 PVC SDR 2"</t>
  </si>
  <si>
    <t>Curva 90 PVC SDR 1 1/2"</t>
  </si>
  <si>
    <t>Curva 90 PVC SDR 1"</t>
  </si>
  <si>
    <t>Curva 90 PVC SDR 3/4"</t>
  </si>
  <si>
    <t>Curva 90 PVC SDR 1/2"</t>
  </si>
  <si>
    <t>Tubería Eléctrica EMT 4"</t>
  </si>
  <si>
    <t>Tubería Eléctrica EMT 3"</t>
  </si>
  <si>
    <t>Tubería Eléctrica EMT 2"</t>
  </si>
  <si>
    <t>Tubería Eléctrica EMT 1 1/2"</t>
  </si>
  <si>
    <t>Tubería Eléctrica EMT 1"</t>
  </si>
  <si>
    <t>Tubería Eléctrica EMT 1/2"</t>
  </si>
  <si>
    <t>Coupling EMT 4"</t>
  </si>
  <si>
    <t>Coupling EMT 3"</t>
  </si>
  <si>
    <t>Coupling EMT 2"</t>
  </si>
  <si>
    <t>Coupling EMT 1 1/2"</t>
  </si>
  <si>
    <t>Coupling EMT 1"</t>
  </si>
  <si>
    <t>Coupling EMT 1/2"</t>
  </si>
  <si>
    <t>Conectores</t>
  </si>
  <si>
    <t>Conector EMT 4"</t>
  </si>
  <si>
    <t>Conector EMT 3"</t>
  </si>
  <si>
    <t>Conector EMT 2"</t>
  </si>
  <si>
    <t>Conector EMT 1 1/2"</t>
  </si>
  <si>
    <t>Conector EMT 1"</t>
  </si>
  <si>
    <t>Conector EMT 3/4"</t>
  </si>
  <si>
    <t>Conector EMT 1/2"</t>
  </si>
  <si>
    <t>Curva EMT 4"</t>
  </si>
  <si>
    <t>Curva EMT 3"</t>
  </si>
  <si>
    <t>Curva EMT 2"</t>
  </si>
  <si>
    <t>Curva EMT 1 1/2"</t>
  </si>
  <si>
    <t>Curva EMT 1"</t>
  </si>
  <si>
    <t>Curva EMT 3/4"</t>
  </si>
  <si>
    <t>Curva EMT 1/2"</t>
  </si>
  <si>
    <t>Abrazadera</t>
  </si>
  <si>
    <t>Abrazadera EMT 4'' </t>
  </si>
  <si>
    <t>Abrazadera EMT 3'' </t>
  </si>
  <si>
    <t>Abrazadera EMT 2'' </t>
  </si>
  <si>
    <t>Abrazadera EMT 1 1/2'' </t>
  </si>
  <si>
    <t>Abrazadera EMT 1'' </t>
  </si>
  <si>
    <t>Abrazadera EMT 1/2'' </t>
  </si>
  <si>
    <t>Abrazadera Strut</t>
  </si>
  <si>
    <t>Abrazadera Strut 4"</t>
  </si>
  <si>
    <t>Abrazadera Strut 3"</t>
  </si>
  <si>
    <t>Abrazadera Strut 2"</t>
  </si>
  <si>
    <t>Abrazadera Strut 1 1/2"</t>
  </si>
  <si>
    <t>Abrazadera Strut 1"</t>
  </si>
  <si>
    <t>Abrazadera Strut 3/4"</t>
  </si>
  <si>
    <t>Abrazadera Strut 1/2"</t>
  </si>
  <si>
    <t>Tubería Eléctrica IMC 4"</t>
  </si>
  <si>
    <t>Tubería Eléctrica IMC 3"</t>
  </si>
  <si>
    <t>Tubería Eléctrica IMC 2"</t>
  </si>
  <si>
    <t>Tubería Eléctrica IMC 1 1/2"</t>
  </si>
  <si>
    <t>Tubería Eléctrica IMC 1"</t>
  </si>
  <si>
    <t>Tubería Eléctrica IMC 3/4"</t>
  </si>
  <si>
    <t>Tubería Eléctrica IMC 1/2"</t>
  </si>
  <si>
    <t>Coupling IMC 4"</t>
  </si>
  <si>
    <t>Coupling IMC 3"</t>
  </si>
  <si>
    <t>Coupling IMC 2"</t>
  </si>
  <si>
    <t>Coupling IMC 1 1/2"</t>
  </si>
  <si>
    <t>Coupling IMC 1"</t>
  </si>
  <si>
    <t>Coupling IMC 1/2"</t>
  </si>
  <si>
    <t>Adaptador</t>
  </si>
  <si>
    <t>Conector HUB 4"</t>
  </si>
  <si>
    <t>Conector HUB 3"</t>
  </si>
  <si>
    <t>Conector HUB 2"</t>
  </si>
  <si>
    <t>Conector HUB 1 1/2"</t>
  </si>
  <si>
    <t>Conector HUB 1"</t>
  </si>
  <si>
    <t>Conector HUB 3/4"</t>
  </si>
  <si>
    <t>Conector HUB 1/2"</t>
  </si>
  <si>
    <t>Curva IMC 4"</t>
  </si>
  <si>
    <t>Curva IMC 3"</t>
  </si>
  <si>
    <t>Curva IMC 2"</t>
  </si>
  <si>
    <t>Curva IMC 1 1/2"</t>
  </si>
  <si>
    <t>Curva IMC 1"</t>
  </si>
  <si>
    <t>Curva IMC 3/4"</t>
  </si>
  <si>
    <t>Curva IMC 1/2"</t>
  </si>
  <si>
    <t>Tuberia Liquidtight 4"</t>
  </si>
  <si>
    <t>Tuberia Liquidtight 3"</t>
  </si>
  <si>
    <t>Tuberia Liquidtight 2"</t>
  </si>
  <si>
    <t>Tuberia Liquidtight 1 1/2"</t>
  </si>
  <si>
    <t>Tuberia Liquidtight 1"</t>
  </si>
  <si>
    <t>Tuberia Liquidtight 1/2"</t>
  </si>
  <si>
    <t>Conector Liquidtight Recto 4"</t>
  </si>
  <si>
    <t>Conector Liquidtight Recto 3"</t>
  </si>
  <si>
    <t>Conector Liquidtight Recto 2"</t>
  </si>
  <si>
    <t>Conector Liquidtight Recto 1 1/2"</t>
  </si>
  <si>
    <t>Conector Liquidtight Recto 1"</t>
  </si>
  <si>
    <t>Conector Liquidtight Recto 1/2"</t>
  </si>
  <si>
    <t>Caja</t>
  </si>
  <si>
    <t>Caja EMT 2x4 3/4" USA UL</t>
  </si>
  <si>
    <t>Caja EMT 2x4 1/2" USA UL</t>
  </si>
  <si>
    <t>Caja octagonal EMT 3/4" USA UL</t>
  </si>
  <si>
    <t>Caja octagonal EMT 1/2" USA UL</t>
  </si>
  <si>
    <t>Caja 2x4 waterproof 3/4"</t>
  </si>
  <si>
    <t>Caja 2x4 waterproof 1/2"</t>
  </si>
  <si>
    <t>Caja de metal 5x5 nk 1"</t>
  </si>
  <si>
    <t>Caja de metal 5x5 nk 3/4"</t>
  </si>
  <si>
    <t>Caja de metal 5x5 nk 1/2"</t>
  </si>
  <si>
    <t>Tapa caja EMT 2x4 Inoxidable.</t>
  </si>
  <si>
    <t>Tapa caja octagonal EMT USA UL</t>
  </si>
  <si>
    <t>Tapa caja waterproof 2x4</t>
  </si>
  <si>
    <t>Tapa caja caja de metal 5x5 USA UL</t>
  </si>
  <si>
    <t>Deposito ferretero</t>
  </si>
  <si>
    <t>DEposito ferretero</t>
  </si>
  <si>
    <t>1/0</t>
  </si>
  <si>
    <t>2/0</t>
  </si>
  <si>
    <t>3/0</t>
  </si>
  <si>
    <t>4/0</t>
  </si>
  <si>
    <t>2.5mm2</t>
  </si>
  <si>
    <t>4mm2</t>
  </si>
  <si>
    <t>6mm2</t>
  </si>
  <si>
    <t>10mm2</t>
  </si>
  <si>
    <t>16mm2</t>
  </si>
  <si>
    <t>25mm2</t>
  </si>
  <si>
    <t>35mm2</t>
  </si>
  <si>
    <t>50mm2</t>
  </si>
  <si>
    <t>70mm2</t>
  </si>
  <si>
    <t>95mm2</t>
  </si>
  <si>
    <t>120mm2</t>
  </si>
  <si>
    <t>150mm2</t>
  </si>
  <si>
    <t>185mm2</t>
  </si>
  <si>
    <t>240mm2</t>
  </si>
  <si>
    <t>Tomacorrientes</t>
  </si>
  <si>
    <t>LIVING-LIGHT</t>
  </si>
  <si>
    <t>120v/20A</t>
  </si>
  <si>
    <t>Tomacorriente 20A Livinglight</t>
  </si>
  <si>
    <t>MATIX</t>
  </si>
  <si>
    <t>Tomacorriente 15A Matix (AM5115D + 503SB/SA)</t>
  </si>
  <si>
    <t>120v/20A GFCI</t>
  </si>
  <si>
    <t>Tomacorriente GFCI 20A Matix (AM5028GFR)</t>
  </si>
  <si>
    <t>220V/20A</t>
  </si>
  <si>
    <t>Tomacorriente 20A 250V Matix</t>
  </si>
  <si>
    <t>LEVITON</t>
  </si>
  <si>
    <t>Tomacorriente 20A Leviton</t>
  </si>
  <si>
    <t>Tomacorriente GFCI 20A Leviton</t>
  </si>
  <si>
    <t>Tomacorriente 20A 250V Leviton 5821</t>
  </si>
  <si>
    <t>Tapa termoplástico</t>
  </si>
  <si>
    <t>Tapa para tomacorriente MATIX (AM503/3N)</t>
  </si>
  <si>
    <t>Tapa 220v</t>
  </si>
  <si>
    <t>Tapa para tomacorriente 20A 250V Leviton 5821, 80704</t>
  </si>
  <si>
    <t>Tapa GFCI</t>
  </si>
  <si>
    <t>Tapa para tomacorriente GFCI 20A Leviton</t>
  </si>
  <si>
    <t>Tapa Inox.</t>
  </si>
  <si>
    <t>Tapa inox. para tomacorriente 20A Leviton, 84003-40</t>
  </si>
  <si>
    <t>Tapa para tomacorriente 20A Leviton, PJ8</t>
  </si>
  <si>
    <t>Apagadores</t>
  </si>
  <si>
    <t>Sencillo</t>
  </si>
  <si>
    <t>Apagador Sencillo 20A Livinglight</t>
  </si>
  <si>
    <t>Doble</t>
  </si>
  <si>
    <t>Apagador Dobel 20A Livinglight</t>
  </si>
  <si>
    <t>Triple</t>
  </si>
  <si>
    <t>Apagador Triple 20A Livinglight</t>
  </si>
  <si>
    <t>3-way</t>
  </si>
  <si>
    <t>Apagador tres vías 20A Livinglight</t>
  </si>
  <si>
    <t>Apagador Sencillo 20A Matix (AM5001 + 503SB/SA+ AM503/1N)</t>
  </si>
  <si>
    <t>Apagador Doble 20A Matix (2xAM5001 + 503SB/SA+ AM503/2N)</t>
  </si>
  <si>
    <t>Apagador Triple 20A Matix  (3xAM5001 + 503SB/SA+ AM503/3N)</t>
  </si>
  <si>
    <t>Apagador tres vías 20A Matix (AM5003 + 503SB/SA+ AM503/1N)</t>
  </si>
  <si>
    <t>Apagador Sencillo 20A Leviton</t>
  </si>
  <si>
    <t>APAGADOR LIVING-LIGHT</t>
  </si>
  <si>
    <t>Apagador Doble 20A Leviton</t>
  </si>
  <si>
    <t>APAGADOR MATIX</t>
  </si>
  <si>
    <t>Apagador Triple 20A Leviton</t>
  </si>
  <si>
    <t>Switch senc+3vias leviton cien 2in3v-mar</t>
  </si>
  <si>
    <t>Apagador tres vías 20A Leviton</t>
  </si>
  <si>
    <t>Interruptor leviton 3v marfil int3v-mar</t>
  </si>
  <si>
    <t>Conectores Spring Amarillos 10-12</t>
  </si>
  <si>
    <t>Tornillos</t>
  </si>
  <si>
    <t>Tornillo Diablito 5X50(10X2X")</t>
  </si>
  <si>
    <t xml:space="preserve">Marba Dominicana </t>
  </si>
  <si>
    <t>Tarugos</t>
  </si>
  <si>
    <t>Tarugos 5/8"</t>
  </si>
  <si>
    <t>Arandelas</t>
  </si>
  <si>
    <t>Interruptor Orbis QRD 24h/120V</t>
  </si>
  <si>
    <t>Contactor Modular 25A 2NA 127V Schneider Electric</t>
  </si>
  <si>
    <t xml:space="preserve">Deposito ferretero </t>
  </si>
  <si>
    <t>Nivel 18 STHT42073</t>
  </si>
  <si>
    <t>Multicondcutores</t>
  </si>
  <si>
    <t xml:space="preserve">Multiconductor 3x12 AWG </t>
  </si>
  <si>
    <t>Detector color. Marca: Telemecanique Modelo: XUKOARCTL2</t>
  </si>
  <si>
    <t>Tecnielectric</t>
  </si>
  <si>
    <t>CIMELEC</t>
  </si>
  <si>
    <t xml:space="preserve">Monitor de fase a 480V  </t>
  </si>
  <si>
    <t>Monitor de fase a 480V  (GIC)</t>
  </si>
  <si>
    <t>ELECTROCONTROL</t>
  </si>
  <si>
    <t>Monitor de fase a 480V  (3UG46) Marca: Siemens</t>
  </si>
  <si>
    <t xml:space="preserve">WECH AUTOCONTROLES </t>
  </si>
  <si>
    <t>Conduleta Botagua</t>
  </si>
  <si>
    <t>Conduleta Botagua 4"</t>
  </si>
  <si>
    <t>Conduleta Botagua 3"</t>
  </si>
  <si>
    <t>Conduleta Botagua 2"</t>
  </si>
  <si>
    <t>Conduleta Botagua 1 1/2"</t>
  </si>
  <si>
    <t>Conduleta Botagua 1"</t>
  </si>
  <si>
    <t>Conduleta Botagua 3/4"</t>
  </si>
  <si>
    <t>Conduleta Botagua 1/2"</t>
  </si>
  <si>
    <t>Luminaria</t>
  </si>
  <si>
    <t>Cimelight</t>
  </si>
  <si>
    <t>Estanca</t>
  </si>
  <si>
    <t>Luminaria Marca: Cimelight Modelo: ASH-HY-236-2 + 2 TUBOS LED (T8-9W-6500K)</t>
  </si>
  <si>
    <t>Downlight</t>
  </si>
  <si>
    <t>Luminaria Marca: Cimelight LED 8" 100-265V 18W 6500K 1440LM D225/205 mm</t>
  </si>
  <si>
    <t>Interior Centro de Carga</t>
  </si>
  <si>
    <t>QO11224L125G</t>
  </si>
  <si>
    <t>QO11624L125G</t>
  </si>
  <si>
    <t>QO124L125G</t>
  </si>
  <si>
    <t>QO13040L200G</t>
  </si>
  <si>
    <t>QO142L225G</t>
  </si>
  <si>
    <t>Cubierta Centro de Carga</t>
  </si>
  <si>
    <t>QOC16U</t>
  </si>
  <si>
    <t>QOC24U</t>
  </si>
  <si>
    <t>QOC30U</t>
  </si>
  <si>
    <t>QOC42U</t>
  </si>
  <si>
    <t>Interruptor Principal</t>
  </si>
  <si>
    <t>N.A.</t>
  </si>
  <si>
    <t>QOM70VH</t>
  </si>
  <si>
    <t>QOM90VH</t>
  </si>
  <si>
    <t>QOM100VH</t>
  </si>
  <si>
    <t>QOM125VH</t>
  </si>
  <si>
    <t>QOM2100VH</t>
  </si>
  <si>
    <t>QOM2125VH</t>
  </si>
  <si>
    <t>QOM2150VH</t>
  </si>
  <si>
    <t>QOM2175VH</t>
  </si>
  <si>
    <t>QOM2200VH</t>
  </si>
  <si>
    <t>QOM2225VH</t>
  </si>
  <si>
    <t>Clase Medidor</t>
  </si>
  <si>
    <t>Indirecta</t>
  </si>
  <si>
    <t>Base Medidor Clase 100</t>
  </si>
  <si>
    <t>Con Prevista</t>
  </si>
  <si>
    <t>Base Medidor Clase 100 MS1254JCBM + HB125</t>
  </si>
  <si>
    <t>Base Medidor Clase 200</t>
  </si>
  <si>
    <t>Base Medidor Clase 200 RC200S</t>
  </si>
  <si>
    <t>base para medidor: ms1004j</t>
  </si>
  <si>
    <t>Base Medidor Clase 200 UTRS202B</t>
  </si>
  <si>
    <t>Base Interruptor 125A</t>
  </si>
  <si>
    <t>base para interruptor principal: qo2125bnrb</t>
  </si>
  <si>
    <t>LD22-2</t>
  </si>
  <si>
    <t>PK7GTA</t>
  </si>
  <si>
    <t>QO260VH</t>
  </si>
  <si>
    <t>QO270VH</t>
  </si>
  <si>
    <t>QO280VH</t>
  </si>
  <si>
    <t>QO290VH</t>
  </si>
  <si>
    <t>QO2100VH</t>
  </si>
  <si>
    <t>QO2125VH</t>
  </si>
  <si>
    <t>QO2150VH</t>
  </si>
  <si>
    <t>QO2175VH</t>
  </si>
  <si>
    <t>QO2200VH</t>
  </si>
  <si>
    <t>TGP</t>
  </si>
  <si>
    <t>TGP 3x12 AWG</t>
  </si>
  <si>
    <t>TGP 3x10 AWG</t>
  </si>
  <si>
    <t>Lámparas Marca: Sylvania Modelo: 408-EO-48-2 (2x4) + DIFUSOR 2x4 + 3 TUBOS</t>
  </si>
  <si>
    <t>Lámparas Marca: Sylvania Modelo: 408-EO-48-3 (2x4) + DIFUSOR 2x4 + 3 TUBOS</t>
  </si>
  <si>
    <t>Lampara fluorescente Modelo: 705-E0-48-2, Sylvania o similar, 120v,  64w, balastro electronico.</t>
  </si>
  <si>
    <t>Lámpara exterior sodio 2250-2-150 hps-240v cobra c/ Fotocelda</t>
  </si>
  <si>
    <t>Lampara fluorescente Modelo: 1415-1B tipo parche, Fluorescente de 26W.</t>
  </si>
  <si>
    <t>Lampara tipo toortuga, Modelo: TO008WH-L, Fluorescente de 26W.</t>
  </si>
  <si>
    <t>Lámpara de Emergencia, E40.</t>
  </si>
  <si>
    <t>Rotulo de Salida Modelo: E-50R-AC/DC</t>
  </si>
  <si>
    <t>Lamp 412-EO-96-2</t>
  </si>
  <si>
    <t>lámpara exterior sodio vacv-1-175met</t>
  </si>
  <si>
    <t>Tub fluor F96/865 T8 6500k</t>
  </si>
  <si>
    <t>dif cuad blanco</t>
  </si>
  <si>
    <t>Apagador</t>
  </si>
  <si>
    <t>Apagador sencillo, placa metalica, 120VAC, 15 A.</t>
  </si>
  <si>
    <t>Apagador doble, placa metalica, 120VAC, 15 A.</t>
  </si>
  <si>
    <t>Telefonico</t>
  </si>
  <si>
    <t>Salida Telefonica</t>
  </si>
  <si>
    <t>Tablero Telefonico 10x20 con regleta TC1184R Square D</t>
  </si>
  <si>
    <t>Tablero Telefonico 10x20 con regleta TC1184S Square D</t>
  </si>
  <si>
    <t>Cableado Voz y Datos</t>
  </si>
  <si>
    <t>Cable Telefonico para intemperie 10 pares 24 AWG</t>
  </si>
  <si>
    <t>Cable UTP CAT 6e</t>
  </si>
  <si>
    <t>Voz y Datos</t>
  </si>
  <si>
    <t>Salida de Datos, Placa + Jack</t>
  </si>
  <si>
    <t>Salida de Voz, Placa + Jack</t>
  </si>
  <si>
    <t>Patch Cords</t>
  </si>
  <si>
    <t>Patch Panel 24 Puertos</t>
  </si>
  <si>
    <t>Organizador de Cables Horizontal</t>
  </si>
  <si>
    <t>Gabinete de pared 11U</t>
  </si>
  <si>
    <t>Ventilador</t>
  </si>
  <si>
    <t>Supresor de picos para computo con regleta</t>
  </si>
  <si>
    <t>Switch</t>
  </si>
  <si>
    <t>Barra TMGB 2"x1/4x10"</t>
  </si>
  <si>
    <t>Canasta 100mmx50mm</t>
  </si>
  <si>
    <t>Timbre</t>
  </si>
  <si>
    <t>Timbre 120 V</t>
  </si>
  <si>
    <t>Boton Pulsador Para Timbre</t>
  </si>
  <si>
    <t>Timer Data Micro2+</t>
  </si>
  <si>
    <t>General Alarm Siren, Model A</t>
  </si>
  <si>
    <t>Sistema de Alarma</t>
  </si>
  <si>
    <t>Panel de Alarma Direccionable</t>
  </si>
  <si>
    <t>Bateria 12v, 12 amp</t>
  </si>
  <si>
    <t>Estacion manual de incendio direccionable + protectores</t>
  </si>
  <si>
    <t xml:space="preserve">Sirena con luz estroboscopica 12-24 V </t>
  </si>
  <si>
    <t>Sensor humo</t>
  </si>
  <si>
    <t>Sensor Temperatura</t>
  </si>
  <si>
    <t>Sensor de Gas Macurco GD-2a</t>
  </si>
  <si>
    <t>Modulo de Entrada</t>
  </si>
  <si>
    <t>Electrovalvula</t>
  </si>
  <si>
    <t>Extintor con agua de presión</t>
  </si>
  <si>
    <t>Extintor ABC de 4.5kg con Gabinete</t>
  </si>
  <si>
    <t>Extintor tipo K con Gabinete</t>
  </si>
  <si>
    <t>Cable de Alarma Blindado 2 x 18 AWG</t>
  </si>
  <si>
    <t>Cable de Alarma Blindado 2 x 16 AWG</t>
  </si>
  <si>
    <t>Ventiladores</t>
  </si>
  <si>
    <t>Abanico orbital TMT</t>
  </si>
  <si>
    <t>Interruptor Termomagnetico</t>
  </si>
  <si>
    <t xml:space="preserve">Interruptor Termomagnetico de 15 A 1P </t>
  </si>
  <si>
    <t>Interruptor Termomagnetico de 15 A 1P GFCI</t>
  </si>
  <si>
    <t xml:space="preserve">Interruptor Termomagnetico de 20 A 1P </t>
  </si>
  <si>
    <t>Interruptor Termomagnetico de 20 A 1P GFCI</t>
  </si>
  <si>
    <t xml:space="preserve">Interruptor Termomagnetico de 30 A 1P </t>
  </si>
  <si>
    <t xml:space="preserve">Interruptor Termomagnetico de 15 A 2P </t>
  </si>
  <si>
    <t xml:space="preserve">Interruptor Termomagnetico de 20 A 2P </t>
  </si>
  <si>
    <t xml:space="preserve">Interruptor Termomagnetico de 30 A 2P </t>
  </si>
  <si>
    <t xml:space="preserve">Interruptor Termomagnetico de 40 A 2P </t>
  </si>
  <si>
    <t xml:space="preserve">Interruptor Termomagnetico de 50 A 2P </t>
  </si>
  <si>
    <t xml:space="preserve">Interruptor Termomagnetico de 60 A 2P </t>
  </si>
  <si>
    <t xml:space="preserve">Interruptor Termomagnetico de 70 A 2P </t>
  </si>
  <si>
    <t xml:space="preserve">Interruptor Termomagnetico de 80 A 2P </t>
  </si>
  <si>
    <t xml:space="preserve">Interruptor Termomagnetico de 90 A 2P </t>
  </si>
  <si>
    <t>Canalizacion - zanja</t>
  </si>
  <si>
    <t xml:space="preserve">Cajas de registro </t>
  </si>
  <si>
    <t xml:space="preserve">Pedestal Electrico </t>
  </si>
  <si>
    <t>Soldadura Exotérmica</t>
  </si>
  <si>
    <t>Fondo Falso</t>
  </si>
  <si>
    <t>CH SPT2ULTRA Eaton</t>
  </si>
  <si>
    <t>Poste Tubo HG 3" 6 mts</t>
  </si>
  <si>
    <t xml:space="preserve">Transformador 25 KVA, 34,5/120/240 v auto potegido </t>
  </si>
  <si>
    <t xml:space="preserve">barra de tierra </t>
  </si>
  <si>
    <t>Sistema</t>
  </si>
  <si>
    <t>Marca Tomacorrientes</t>
  </si>
  <si>
    <t>Tipo Tomacorrientes</t>
  </si>
  <si>
    <t>Tipo Embecelledores</t>
  </si>
  <si>
    <t>Tipo Apagadores</t>
  </si>
  <si>
    <t>Tipo Luminaria</t>
  </si>
  <si>
    <t>Marca Luminaria</t>
  </si>
  <si>
    <r>
      <t>120V 1</t>
    </r>
    <r>
      <rPr>
        <sz val="11"/>
        <color theme="1"/>
        <rFont val="Calibri"/>
        <family val="2"/>
      </rPr>
      <t>Ø</t>
    </r>
  </si>
  <si>
    <t>ILUKON</t>
  </si>
  <si>
    <r>
      <t>240V 1</t>
    </r>
    <r>
      <rPr>
        <sz val="11"/>
        <color theme="1"/>
        <rFont val="Calibri"/>
        <family val="2"/>
      </rPr>
      <t>Ø</t>
    </r>
  </si>
  <si>
    <t>Spot</t>
  </si>
  <si>
    <t>Sylvania</t>
  </si>
  <si>
    <r>
      <t>240V 3</t>
    </r>
    <r>
      <rPr>
        <sz val="11"/>
        <color theme="1"/>
        <rFont val="Calibri"/>
        <family val="2"/>
      </rPr>
      <t>Ø</t>
    </r>
  </si>
  <si>
    <t>Cuadrada sobreponer</t>
  </si>
  <si>
    <t>Tecnolite</t>
  </si>
  <si>
    <r>
      <t>480V 3</t>
    </r>
    <r>
      <rPr>
        <sz val="11"/>
        <color theme="1"/>
        <rFont val="Calibri"/>
        <family val="2"/>
      </rPr>
      <t>Ø</t>
    </r>
  </si>
  <si>
    <t>Circular sobreponer</t>
  </si>
  <si>
    <r>
      <t>240V 1</t>
    </r>
    <r>
      <rPr>
        <sz val="11"/>
        <color theme="1"/>
        <rFont val="Calibri"/>
        <family val="2"/>
      </rPr>
      <t>Ø</t>
    </r>
    <r>
      <rPr>
        <sz val="11"/>
        <color theme="1"/>
        <rFont val="Calibri"/>
        <family val="2"/>
        <scheme val="minor"/>
      </rPr>
      <t xml:space="preserve"> Acom.</t>
    </r>
  </si>
  <si>
    <t>Int. Horario</t>
  </si>
  <si>
    <t>Cuadrada empotrar</t>
  </si>
  <si>
    <t>Circular empotrar</t>
  </si>
  <si>
    <t>Emergencia</t>
  </si>
  <si>
    <t>sistema</t>
  </si>
  <si>
    <t>Tipo_condut</t>
  </si>
  <si>
    <t>cond_am</t>
  </si>
  <si>
    <t>cond_eu</t>
  </si>
  <si>
    <t>Marca_tomas</t>
  </si>
  <si>
    <t>Tipo_tomas</t>
  </si>
  <si>
    <t>Tipo_embellecedores</t>
  </si>
  <si>
    <t>Tipo_apagadores</t>
  </si>
  <si>
    <t>Tipo_luminaria</t>
  </si>
  <si>
    <t>Marca_Luminaria</t>
  </si>
  <si>
    <t>Nomenclatura</t>
  </si>
  <si>
    <t>Descripcion</t>
  </si>
  <si>
    <t>Precio Unitario</t>
  </si>
  <si>
    <t>Precio Total</t>
  </si>
  <si>
    <t>Porcentaje</t>
  </si>
  <si>
    <t>L1</t>
  </si>
  <si>
    <t>D1</t>
  </si>
  <si>
    <t>D2</t>
  </si>
  <si>
    <t>FDJ</t>
  </si>
  <si>
    <t>Gestión Aduanal</t>
  </si>
  <si>
    <t>Enlace SIGA</t>
  </si>
  <si>
    <t>Gastos menores</t>
  </si>
  <si>
    <t>Flete MIA-SDQ: THC</t>
  </si>
  <si>
    <t>Transporte SDQ-PUJ</t>
  </si>
  <si>
    <t>Verificación y despacho</t>
  </si>
  <si>
    <t>DGA</t>
  </si>
  <si>
    <t>Tasa por servicio</t>
  </si>
  <si>
    <t>DUA</t>
  </si>
  <si>
    <t>Gravamen</t>
  </si>
  <si>
    <t>HBW</t>
  </si>
  <si>
    <t>Almacenaje estimado</t>
  </si>
  <si>
    <t>Hello</t>
  </si>
  <si>
    <t>Peso en onzas</t>
  </si>
  <si>
    <t>Peso Por Paquete</t>
  </si>
  <si>
    <t>Factor</t>
  </si>
  <si>
    <t>Precio Por Unidad</t>
  </si>
  <si>
    <t>Total</t>
  </si>
  <si>
    <t xml:space="preserve"> Valor MENOR a 200 dólares:</t>
  </si>
  <si>
    <t>Costo de transporte</t>
  </si>
  <si>
    <t>Impuesto DGA</t>
  </si>
  <si>
    <t>Seguro Basico</t>
  </si>
  <si>
    <t>Rango de Peso (Lbs)</t>
  </si>
  <si>
    <t>Desgloce de Tarifa por tipo de Cargo</t>
  </si>
  <si>
    <t>FACTOR por Libra</t>
  </si>
  <si>
    <t>Flete Aereo VIP</t>
  </si>
  <si>
    <t>Flete Terrestre</t>
  </si>
  <si>
    <t>Fuel Surcharge</t>
  </si>
  <si>
    <t>En Adelante</t>
  </si>
  <si>
    <t>IMPUESTOS Y TRANSPORTE</t>
  </si>
  <si>
    <t>L7</t>
  </si>
  <si>
    <t xml:space="preserve">Luces de cable, 'String Lights', para colocar en superficie. Marca American Lighting Modelo: LS-MS-24-100-BK. </t>
  </si>
  <si>
    <t>Lista de Clientes</t>
  </si>
  <si>
    <t>Nombre</t>
  </si>
  <si>
    <t>RNC</t>
  </si>
  <si>
    <t>Cliente</t>
  </si>
  <si>
    <t>Codigo</t>
  </si>
  <si>
    <t>Atencion</t>
  </si>
  <si>
    <t>Posicion</t>
  </si>
  <si>
    <t>Pais</t>
  </si>
  <si>
    <t>Direccion</t>
  </si>
  <si>
    <t>ALICAR</t>
  </si>
  <si>
    <t>RD</t>
  </si>
  <si>
    <t>BYB Construcción SRL</t>
  </si>
  <si>
    <t>COBRA INSTALACIONES Y SERVICIOS SXM</t>
  </si>
  <si>
    <t>EOLUX COOLING</t>
  </si>
  <si>
    <t>Ing. José Albert Yor</t>
  </si>
  <si>
    <t>irector técnico y proyectos</t>
  </si>
  <si>
    <t>GRUPO DOMINICO CATALÁN</t>
  </si>
  <si>
    <t>ANTONIO RAMIS</t>
  </si>
  <si>
    <t>Gerente General</t>
  </si>
  <si>
    <t>GRUPO PROAMSA REPUBLICA DOMINICANA</t>
  </si>
  <si>
    <t>1-30376697</t>
  </si>
  <si>
    <t>GRUPO PROAMSA</t>
  </si>
  <si>
    <t>Gustavo Cubero</t>
  </si>
  <si>
    <t>Coordinador regional</t>
  </si>
  <si>
    <t>HUMICLIMA 1</t>
  </si>
  <si>
    <t>Antoni Salom</t>
  </si>
  <si>
    <t>AV.GUAYACANES S/N 23000 BÁVARO</t>
  </si>
  <si>
    <t>HUMICLIMA 2</t>
  </si>
  <si>
    <t>Agustin Delfa</t>
  </si>
  <si>
    <t>IBEROSTAR</t>
  </si>
  <si>
    <t>INVERSIONES CORALILLO</t>
  </si>
  <si>
    <t>Linnette Nardi</t>
  </si>
  <si>
    <t>Decoración</t>
  </si>
  <si>
    <t>Carretera Arena Gorda, 23100 - Higüey, Playa Bávaro (La Altagracia)- República Dominicana</t>
  </si>
  <si>
    <t>IBEROSTAR BAYAHIBE DOMINICUS</t>
  </si>
  <si>
    <t>INVERSIONES PUNTA LAGUNA</t>
  </si>
  <si>
    <t>Jose Suarez</t>
  </si>
  <si>
    <t>Jefe de Mantenimiento de Iberostar Hacienda Dominicus</t>
  </si>
  <si>
    <t>Boulevard Dominicus, 23100 - Higüey_Bayahibe (La Altagracia)- República Dominicana</t>
  </si>
  <si>
    <t>IBEROSTAR GRAND</t>
  </si>
  <si>
    <t>Luis Berroa</t>
  </si>
  <si>
    <t>Jefe de Mantenimiento del Hotel Bavaro</t>
  </si>
  <si>
    <t>IBEROSTAR PUNTA CANA-DOMINICANA</t>
  </si>
  <si>
    <t>Jefe de mantenimiento Punta Cana-Dominicana</t>
  </si>
  <si>
    <t>Edwin Tavarez</t>
  </si>
  <si>
    <t>IBEROSTAR ZONAS COMUNES</t>
  </si>
  <si>
    <t>Ing. Richar Torres</t>
  </si>
  <si>
    <t>Jefe Mantenimiento Zonas comunes, Iberostate &amp; Golf</t>
  </si>
  <si>
    <t>IBEROSTAR ZONAS COMUNES 2</t>
  </si>
  <si>
    <t>Luis Blanco</t>
  </si>
  <si>
    <t>Director Zonas Comunes Iberoestar Hotel Bavaro</t>
  </si>
  <si>
    <t>INVERSIONES AZUL DEL ESTE DOMINICANO SRL</t>
  </si>
  <si>
    <t>PEARL BEACH CLUB</t>
  </si>
  <si>
    <t>Guillermo Garcia</t>
  </si>
  <si>
    <t>Director de Mantenimiento Complejo Catalinia Hotels &amp; Resorts</t>
  </si>
  <si>
    <t>BREATHLESS</t>
  </si>
  <si>
    <t>10174451-2</t>
  </si>
  <si>
    <t>INVERSIONES OCRE ROJO</t>
  </si>
  <si>
    <t xml:space="preserve">
Alex Burbano</t>
  </si>
  <si>
    <t>Gerente de Mantenimiento de Lavandería.</t>
  </si>
  <si>
    <t>Avda. Winston Churchill, Esq. Gustavo Mejia Ricart #93 Torre Empresarial Blue Mall, Piso 21
Santo Domingo, Rep. Dominicana</t>
  </si>
  <si>
    <t>PROAMSA RD 1</t>
  </si>
  <si>
    <t>Ing. Johan Castro Cordero</t>
  </si>
  <si>
    <t>Área de operación de PTARS</t>
  </si>
  <si>
    <t>PROAMSA RD 2</t>
  </si>
  <si>
    <t>Ing. Francisco Cordero Araya</t>
  </si>
  <si>
    <t>Ingeniero Proyectos PROAMSA</t>
  </si>
  <si>
    <t>PROMOTORA DOMINICANA DEL CARIBE</t>
  </si>
  <si>
    <t>Gerente Mantenimiento, Obras y Proyectos</t>
  </si>
  <si>
    <t>MIDICONSA</t>
  </si>
  <si>
    <t>Jorge Collado</t>
  </si>
  <si>
    <t>Gestión de proyectos</t>
  </si>
  <si>
    <t>CATALONIA SANTO DOMINGO</t>
  </si>
  <si>
    <t xml:space="preserve">Iván Vallejos </t>
  </si>
  <si>
    <t>Gerente de Mantenimiento</t>
  </si>
  <si>
    <t>FALCONBRIDGE</t>
  </si>
  <si>
    <t>FALCONDO</t>
  </si>
  <si>
    <t>Williams Restituyo</t>
  </si>
  <si>
    <t xml:space="preserve">Loma la peguera, bonao </t>
  </si>
  <si>
    <t>BORNERA DE CONEXION 4MM COLOR GRIS</t>
  </si>
  <si>
    <t>CONECTOR VARILLA TIERRA 5/8 R-22</t>
  </si>
  <si>
    <t>SELECTOR 3 POSICIONES SCHNEIDER</t>
  </si>
  <si>
    <t>VARILLA TIERRA COBRE 5/8'' X 8'</t>
  </si>
  <si>
    <t>Barra unistrup 3/4</t>
  </si>
  <si>
    <t>Breaker 250A 3P 600V HGM HYUNDAI</t>
  </si>
  <si>
    <t>TECNIELECTRIC</t>
  </si>
  <si>
    <t>Bobina de disparoP/EZC250 110VAC</t>
  </si>
  <si>
    <t>Barra de Tierra de 19 Circuitos</t>
  </si>
  <si>
    <t>ESTANDAR</t>
  </si>
  <si>
    <t>TARUGO DE PLOMO LARGA 3/8 X 2. 1/2"</t>
  </si>
  <si>
    <t xml:space="preserve">Tornillos para tarugo de plomo </t>
  </si>
  <si>
    <t>Arandelas para tarugo de plomo</t>
  </si>
  <si>
    <t xml:space="preserve">Caja reg. Famatel 310x240x125 superficie </t>
  </si>
  <si>
    <t>TRANSFORMADOR DE CONTROL ENTRADA 240-480/120-240 50VA WINSTON (YWBK50)</t>
  </si>
  <si>
    <t xml:space="preserve">Porta fusible 32AP/Riel con luz </t>
  </si>
  <si>
    <t>Fusible 02A 10X38MM</t>
  </si>
  <si>
    <t>varilla roscada 3/8</t>
  </si>
  <si>
    <t>Tuerca para varilla roscada 3/8</t>
  </si>
  <si>
    <t>Arandela plana Galv. 3/8</t>
  </si>
  <si>
    <t>CAJA REG. 12X12X4 N3R</t>
  </si>
  <si>
    <t>Terminal de ojo Cable #2 Topaz</t>
  </si>
  <si>
    <t>Tarugo para varilla roscada 3/8</t>
  </si>
  <si>
    <t>Terminal Tipo silla P/conductor 2 AWG</t>
  </si>
  <si>
    <t>HOTEL VIVA WYNDHAM DOMINICUS</t>
  </si>
  <si>
    <t>Ing. Manuel Contreras</t>
  </si>
  <si>
    <t>5 DIAS</t>
  </si>
  <si>
    <t>**Moneda: dólares estadounidenses</t>
  </si>
  <si>
    <t>CUADRO 220V 3F+N+T IP55 INTEGRADO   VILLA 36</t>
  </si>
  <si>
    <t>CUADRO 220V 3F+N+T IP55 INTEGRADO  VILLA 18</t>
  </si>
  <si>
    <t>CUADRO 220V 3F+N+T IP55 INTEGRADO  VILLA  5</t>
  </si>
  <si>
    <t>CUADRO 220V 3F+N+T IP55 INTEGRADO  VILLA 38</t>
  </si>
  <si>
    <t>CUADRO 220V 3F+N+T IP55 INTEGRADO  VILLA  46</t>
  </si>
  <si>
    <t>CUADRO 220V 3F+N+T IP55 INTEGRADO  VILLA 42</t>
  </si>
  <si>
    <t>CUADRO 220V 3F+N+T IP55 INTEGRADO VILLA 44</t>
  </si>
  <si>
    <t xml:space="preserve">CUADRO 220V 3F+N+T IP55 INTEGRADO  </t>
  </si>
  <si>
    <t>CUADRO 220V 3F+N+T IP55 INTEGRADO  VILLA 19</t>
  </si>
  <si>
    <t>Terminal tipo manguita para cable #2</t>
  </si>
  <si>
    <t>Tape de goma 3m</t>
  </si>
  <si>
    <t>Tape de vinil super 33</t>
  </si>
  <si>
    <t>Bandeja de 60x100mm PVC</t>
  </si>
  <si>
    <t>Tapa de bandeja 60x100 PVC</t>
  </si>
  <si>
    <t>Bandeja de 60x200mm PVC</t>
  </si>
  <si>
    <t>Tapa de bandeja 200mm  PVC</t>
  </si>
  <si>
    <t>Cocina</t>
  </si>
  <si>
    <t>PA</t>
  </si>
  <si>
    <t>120V 1Ø</t>
  </si>
  <si>
    <t>Unid.</t>
  </si>
  <si>
    <t>Nevera</t>
  </si>
  <si>
    <t>Lavadora / plancha (Secadora gas y Calentador gas)</t>
  </si>
  <si>
    <t>TC 1er nivel (5 salidas)</t>
  </si>
  <si>
    <t>PINV</t>
  </si>
  <si>
    <t>TC 1er nivel (7 salidas)</t>
  </si>
  <si>
    <t>TC 1er / 2do nivel (3 y 4 salidas)</t>
  </si>
  <si>
    <t>TC 2do nivel (8 salidas)</t>
  </si>
  <si>
    <t>TC 2do nivel (9 salidas)</t>
  </si>
  <si>
    <t>Luces 1er nivel</t>
  </si>
  <si>
    <t>Salidas de Luminarias</t>
  </si>
  <si>
    <t>Luces 2do nivel (10 salidas)</t>
  </si>
  <si>
    <t>Luces 2do Nivel</t>
  </si>
  <si>
    <t>Luces pared doble ilumin patio</t>
  </si>
  <si>
    <t>Luces Piscina</t>
  </si>
  <si>
    <t>Luz para alberca Intermatic PX100 de 100 voltios. Transformador de seguridad, color beige., PX100S</t>
  </si>
  <si>
    <t>Luces patio frontal</t>
  </si>
  <si>
    <t>Luces Fachada Acera</t>
  </si>
  <si>
    <t>Bomba Cascada</t>
  </si>
  <si>
    <t>Futuro portón marquesina</t>
  </si>
  <si>
    <t>Porton eléctrico puerta 1 de 2</t>
  </si>
  <si>
    <t>Porton Eléctrico</t>
  </si>
  <si>
    <t>Intercomunicador</t>
  </si>
  <si>
    <t>Cisterna</t>
  </si>
  <si>
    <t>6,8</t>
  </si>
  <si>
    <t>240V 1Ø</t>
  </si>
  <si>
    <t>A/A 1er nivel (1 Ton)</t>
  </si>
  <si>
    <t>9,11</t>
  </si>
  <si>
    <t>A/A Dorm. 2, 2do nivel (1.5 Ton)</t>
  </si>
  <si>
    <t>10,12</t>
  </si>
  <si>
    <t>A/A Dorm. 3, 2do nivel (1.5 Ton)</t>
  </si>
  <si>
    <t>13,15</t>
  </si>
  <si>
    <t>A/A Dorm. 4, 2do nivel (1 Ton)</t>
  </si>
  <si>
    <t>14,16</t>
  </si>
  <si>
    <t>Bomba Piscina</t>
  </si>
  <si>
    <t>17,19</t>
  </si>
  <si>
    <t>Cargador vehiculo eléctrico 1 de 2</t>
  </si>
  <si>
    <t>18,20</t>
  </si>
  <si>
    <t>Cargador vehiculo eléctrico 2 de 2</t>
  </si>
  <si>
    <t>21,23</t>
  </si>
  <si>
    <t>TELECOM (Intercomunicadores, Teléfono y TV)</t>
  </si>
  <si>
    <t>Coaxial QRG6</t>
  </si>
  <si>
    <t>CAT-5e</t>
  </si>
  <si>
    <t>CAT-6</t>
  </si>
  <si>
    <t>ACOMETIDA PINV</t>
  </si>
  <si>
    <t>1,3</t>
  </si>
  <si>
    <t>240V 1Ø Acom.</t>
  </si>
  <si>
    <t>ACOMETIDA PA</t>
  </si>
  <si>
    <t>ACOMETIDA PRINCIPAL</t>
  </si>
  <si>
    <t>Alimentador</t>
  </si>
  <si>
    <t>Malla de Tierra</t>
  </si>
  <si>
    <t>ALAMBRE DESNUDO TRENZADO 6AWG</t>
  </si>
  <si>
    <t>Base de Medidor</t>
  </si>
  <si>
    <t>ZOCALO PORTACONTADOR SIN BREAKER 200A/2 124.53 124.53</t>
  </si>
  <si>
    <t>EN CAJA METALICA NEMA 3R, CONTENIENDO:</t>
  </si>
  <si>
    <t>ZOCALO TIPO MILBANK DE 5 CLIPS DE 200A/2.</t>
  </si>
  <si>
    <t>ESPACIO PARA BREAKER HGM 200A/2</t>
  </si>
  <si>
    <t>CASQUILLO PARA BARREL LOCK PARA ACERO INOXIDABLE</t>
  </si>
  <si>
    <t>CASQUILLO INTERIOR DE BRONCE</t>
  </si>
  <si>
    <t>CLAVIJA PARA PORTACANDADO.</t>
  </si>
  <si>
    <t>PORTEZUELA PARA BREAKER</t>
  </si>
  <si>
    <t>CONECTORES PARA NEUTRO Y CONEXION A TIERRA.</t>
  </si>
  <si>
    <t>INTERRUPTOR PRINCIPAL: 150A</t>
  </si>
  <si>
    <t xml:space="preserve">TABLERO PA </t>
  </si>
  <si>
    <t xml:space="preserve">QO130M150: PANEL SQUARE D 30POLOS 1PH 150AM MB </t>
  </si>
  <si>
    <t>QOC30UF: TAPA</t>
  </si>
  <si>
    <t>Interruptor Termomagnetico 20 A 1P : QO120</t>
  </si>
  <si>
    <t>Interruptor Termomagnetico 30 A 1P : QO130</t>
  </si>
  <si>
    <t>Interruptor Termomagnetico 20 A 2P : QO220</t>
  </si>
  <si>
    <t>Interruptor Termomagnetico 30 A 2P : QO230</t>
  </si>
  <si>
    <t>Interruptor Termomagnetico 50 A 2P : QO250</t>
  </si>
  <si>
    <t>TABLERO PINV</t>
  </si>
  <si>
    <t>QO124L125PG: CAJA BREAKER PoN SQUARE D 1F 24-34P NEMA1 125A</t>
  </si>
  <si>
    <t xml:space="preserve">QOC24UF: TAPA </t>
  </si>
  <si>
    <t>Interruptor Termomagnetico 15 A 1P : QO115</t>
  </si>
  <si>
    <t>PANEL DE CONTROL DE ILUMINACION</t>
  </si>
  <si>
    <t>INT, HORARIO DIGITAL 24 HRAS 2 CANALES SALIDA 120V DATA MICRO</t>
  </si>
  <si>
    <t>CONTACTOR MODULAR 25A 2NA 127V SCHNEIDER</t>
  </si>
  <si>
    <t>PANEL DE SUPERFICIE IP65 24 MOD FAMATEL</t>
  </si>
  <si>
    <t>PM5111 Meter, modbus, up to 15th H, 1DO 33 alarms, MID</t>
  </si>
  <si>
    <t>ARMARIO POLIESTER 1056X852X350MM IP-66 SCHNEIDER</t>
  </si>
  <si>
    <t xml:space="preserve">CUADRO 220V 3F+N+T IP55 INTEGRADO </t>
  </si>
  <si>
    <t>SELECTOR 2 POSICIONES SCHNEIDER</t>
  </si>
  <si>
    <t>PILOTO SCHNEIDER DE LED COLOR VERDE 230V</t>
  </si>
  <si>
    <t>LUZ PILOTO 230V COLOR ROJO SCHNEIDER</t>
  </si>
  <si>
    <t xml:space="preserve">REGISTRO 12X12X3 PLASTICO IP65 </t>
  </si>
  <si>
    <t>Terminal de Manga #6</t>
  </si>
  <si>
    <t>PROYECTO:</t>
  </si>
  <si>
    <t>CONTACTOR SCHNEIDER 32A BOBINA 220V, 50AMP ITH</t>
  </si>
  <si>
    <t>PILOTO SCHNEIDER DE LED COLOR AMARILLO 230V</t>
  </si>
  <si>
    <t>RELE SOBRE Y SUB TENSION 3F 220/480V TEMPORIZADO SCHNEIDER</t>
  </si>
  <si>
    <t>Ana Arias Medrano</t>
  </si>
  <si>
    <t xml:space="preserve">Asistente de Compras </t>
  </si>
  <si>
    <t>Hard Rock</t>
  </si>
  <si>
    <t>HARD ROCK HOTEL&amp; CASINO PUNTA CANA</t>
  </si>
  <si>
    <t>Blvd. Turístico del Este Km. 28 #74 Macao.</t>
  </si>
  <si>
    <t>AUTOMATIZACION MEDIANTE ARRANCADORES SUAVES - POZOS DE VILLA ROCK</t>
  </si>
  <si>
    <t>CUADRO PARA 3 BOMBAS 10HP (7.5KW) 220V 3F+N+T IP55 INTEGRADO</t>
  </si>
  <si>
    <t>PLACA MONTAJE METALICA 1000X800MM SCHNEIDER</t>
  </si>
  <si>
    <t>INT. MOD. SCHNEIDER C120N 100A/4P</t>
  </si>
  <si>
    <t>INT. MOD. SCHNEIDER 16AMP 2 POLO 6KA EASY9</t>
  </si>
  <si>
    <t>CONTACTO AUX NA/NC FRONTAL P/GUARDAMOTOR SCHNEIDER</t>
  </si>
  <si>
    <t xml:space="preserve">GUARDAMOTOR SCHNEIDER 24-32A </t>
  </si>
  <si>
    <t>ARRANCADOR SUAVE SCHNEIDER 7.5KW 220V</t>
  </si>
  <si>
    <t>EXTRACTOR 4" 220V "120x120" (FAN)</t>
  </si>
  <si>
    <t>REJILLA PLASTICA PARA ABANICO</t>
  </si>
  <si>
    <t>REJILLA PROCTECTORA PARA FAN DE 4"</t>
  </si>
  <si>
    <t>BOTON PULSADOR PARADA DE EMERGENCIA D40 TTR-S/E, MARCA SCHNEIDER</t>
  </si>
  <si>
    <t xml:space="preserve">BORNERA DE CONEXION 2.5MM COLOR GRIS </t>
  </si>
  <si>
    <t>ACCESORIO ELEVADOR EN ANGULO PARA RIEL DIN</t>
  </si>
  <si>
    <t>CANAL DE 60 ANCHO POR 60 ALTO GRIS 6 PIES</t>
  </si>
  <si>
    <t>PERFIL, RIEL DIN PERFORADO DORADO</t>
  </si>
  <si>
    <t xml:space="preserve">BORNERA DE CONEXION 35MM COLOR GRIS </t>
  </si>
  <si>
    <t xml:space="preserve">BORNERA DE CONEXION 6MM COLOR GRIS </t>
  </si>
  <si>
    <t>INSUMOS ENSAMBLE ( CABLE, TERMINALES, ETC )</t>
  </si>
  <si>
    <t>MANO DE OBRA PANEL STANDAR</t>
  </si>
  <si>
    <t xml:space="preserve">MATERIALES ELECTRICOS </t>
  </si>
  <si>
    <t>PIE</t>
  </si>
  <si>
    <t>Conector Liquidtight Curvo 2"</t>
  </si>
  <si>
    <t xml:space="preserve">Caja Reg. 16x16x4 PVC </t>
  </si>
  <si>
    <t xml:space="preserve">Bornera de Conexión 16MM Color Gris  </t>
  </si>
  <si>
    <t xml:space="preserve">Bornera de Conexión 4MM Color Gris  </t>
  </si>
  <si>
    <t>Alambre de goma RV-K 0,6/1KV 4.0MM/4C (10/4)</t>
  </si>
  <si>
    <t xml:space="preserve">Bornera de conexión 6MM Color Gris </t>
  </si>
  <si>
    <t>Bornera de tierra 4mm</t>
  </si>
  <si>
    <t>Prensa Estopa 1"</t>
  </si>
  <si>
    <t>Terminal de Ojo Cable #1/0</t>
  </si>
  <si>
    <t>Tarugo Plástico 3/8 X 1-1/2 Mamey</t>
  </si>
  <si>
    <t xml:space="preserve">Caja Reg.  8X8X3 PVC </t>
  </si>
  <si>
    <t>Prensa Estopa 1/2"</t>
  </si>
  <si>
    <t>Flota Electrica 3Mts Foset</t>
  </si>
  <si>
    <t>Conductores</t>
  </si>
  <si>
    <t>Terminales</t>
  </si>
  <si>
    <t>Tape</t>
  </si>
  <si>
    <t>Vehiculo</t>
  </si>
  <si>
    <t>A continuación se presenta el desglose del proyecto.</t>
  </si>
  <si>
    <t>El propósito del proyecto es la “AUTOMATIZACION MEDIANTE ARRANCADORES SUAVES DE LOS POZOS DE VILLA ROCK”.</t>
  </si>
  <si>
    <t>Este proyecto consta de dos etapas:</t>
  </si>
  <si>
    <t>La primera consiste en la desinstalación de los cuadros eléctricos existentes de las bombas sumergibles y la desinstalación parcial de la canalización y cableado existente de las bombas, ya que ambos rubros se encuentran en deterioro.</t>
  </si>
  <si>
    <t>Ilustración 1 Situación actual del cuarto de bombeo de Villa Rock.</t>
  </si>
  <si>
    <t>En una segunda etapa se concibe con lo siguiente:</t>
  </si>
  <si>
    <t>Instalación de un nuevo cuadro eléctrico con 3 arrancadores suaves de 10HP.</t>
  </si>
  <si>
    <t>Instalación de una nueva alimentación de un nuevo cuadro eléctrico:</t>
  </si>
  <si>
    <t>Esta canalización será de tipo conduit no metálico flexible hermético a los líquidos, L.F.N.C. de 5m.</t>
  </si>
  <si>
    <t xml:space="preserve">Instalación de un registro de conexión para los alimentadores de las bombas. </t>
  </si>
  <si>
    <t xml:space="preserve">Se eliminará el cuadro de alimentación actual que consta de 3 interruptores termomagnéticos para ser sustituidos por un registro de conexión ya que los actuales conductores tienen empalmes en los registros. </t>
  </si>
  <si>
    <t xml:space="preserve">Se instalará una canalización de tipo metálica, E.M.T. o una canalización de tipo conduit no metálico flexible hermético a los líquidos, L.F.N.C. mejor conocido como liquidtight, ver ilustración. Esta canalización será utilizada para las boyas de nivel. </t>
  </si>
  <si>
    <t>Ilustración 2 Conduit no metalico flexible hermetico a los liquidos, L.F.N.C.</t>
  </si>
  <si>
    <t>Entregables</t>
  </si>
  <si>
    <t>Diagrama unifilar del cuadro eléctrico nuevo con sus debidos detalles.</t>
  </si>
  <si>
    <t>Manual de usuario del equipo.</t>
  </si>
  <si>
    <t>Listado de garantía de los dispositivos y de los trabajos ejecutados de acuerdo con lo solicitado.</t>
  </si>
  <si>
    <t>PR_202102_014</t>
  </si>
  <si>
    <t>Seguro</t>
  </si>
  <si>
    <t>Cuenta de correo</t>
  </si>
  <si>
    <t>Office 365</t>
  </si>
  <si>
    <t>Flota</t>
  </si>
  <si>
    <t>Leonel Cabrera</t>
  </si>
  <si>
    <t>Precio Pesos</t>
  </si>
  <si>
    <t xml:space="preserve"> ITBIS</t>
  </si>
  <si>
    <t>EUCHNER 00-138-451 sensores de proximidad SN02X12-24751.8oz-MC2459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</si>
</sst>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3" formatCode="_(* #,##0.00_);_(* \(#,##0.00\);_(* &quot;-&quot;??_);_(@_)"/>
    <numFmt numFmtId="164" formatCode="_-* #,##0.00_-;\-* #,##0.00_-;_-* &quot;-&quot;??_-;_-@_-"/>
    <numFmt numFmtId="165" formatCode="_(&quot;$&quot;* #,##0.00_);_(&quot;$&quot;* \(#,##0.00\);_(&quot;$&quot;* &quot;-&quot;??_);_(@_)"/>
    <numFmt numFmtId="166" formatCode="_-&quot;$&quot;* #,##0.00_-;\-&quot;$&quot;* #,##0.00_-;_-&quot;$&quot;* &quot;-&quot;??_-;_-@_-"/>
    <numFmt numFmtId="167" formatCode="0.0%"/>
    <numFmt numFmtId="168" formatCode="&quot;₡&quot;#,##0"/>
    <numFmt numFmtId="169" formatCode="&quot;₡&quot;#,##0;[Red]&quot;₡&quot;\-#,##0"/>
    <numFmt numFmtId="170" formatCode="[$$-1C0A]#,##0.00_ ;[Red]\-[$$-1C0A]#,##0.00\ "/>
    <numFmt numFmtId="171" formatCode="[$$-1C0A]#,##0.00"/>
    <numFmt numFmtId="172" formatCode="_-[$$-540A]* #,##0.00_ ;_-[$$-540A]* \-#,##0.00\ ;_-[$$-540A]* &quot;-&quot;??_ ;_-@_ "/>
    <numFmt numFmtId="173" formatCode="[$$-540A]#,##0.00"/>
    <numFmt numFmtId="174" formatCode="_-[$RD$-1C0A]* #,##0.00_-;\-[$RD$-1C0A]* #,##0.00_-;_-[$RD$-1C0A]* &quot;-&quot;_-;_-@_-"/>
    <numFmt numFmtId="175" formatCode="[$$-409]#,##0.00"/>
    <numFmt numFmtId="176" formatCode="[$-140A]d&quot; de &quot;mmmm&quot; de &quot;yyyy;@"/>
    <numFmt numFmtId="177" formatCode="[$RSD]\ #,##0.00"/>
    <numFmt numFmtId="178" formatCode="[$$-409]#,##0.00_ ;\-[$$-409]#,##0.00\ "/>
    <numFmt numFmtId="179" formatCode="&quot;₡&quot;#,##0.00_);\(&quot;₡&quot;#,##0.00\)"/>
    <numFmt numFmtId="180" formatCode="&quot;₡&quot;#,##0.00"/>
    <numFmt numFmtId="181" formatCode="dd/mm/yyyy;@"/>
    <numFmt numFmtId="182" formatCode="_([$$-409]* #,##0.00_);_([$$-409]* \(#,##0.00\);_([$$-409]* &quot;-&quot;??_);_(@_)"/>
  </numFmts>
  <fonts count="60">
    <font>
      <sz val="11"/>
      <color theme="1"/>
      <name val="Calibri"/>
      <family val="2"/>
      <scheme val="minor"/>
    </font>
    <font>
      <sz val="11"/>
      <name val="Calibri"/>
      <family val="2"/>
      <scheme val="minor"/>
    </font>
    <font>
      <i/>
      <sz val="11"/>
      <color theme="1"/>
      <name val="Calibri"/>
      <family val="2"/>
      <scheme val="minor"/>
    </font>
    <font>
      <sz val="10"/>
      <name val="Arial"/>
      <family val="2"/>
    </font>
    <font>
      <sz val="11"/>
      <color theme="1"/>
      <name val="Calibri"/>
      <family val="2"/>
      <scheme val="minor"/>
    </font>
    <font>
      <b/>
      <sz val="10"/>
      <name val="Arial"/>
      <family val="2"/>
    </font>
    <font>
      <b/>
      <sz val="10"/>
      <color rgb="FFFF0000"/>
      <name val="Arial"/>
      <family val="2"/>
    </font>
    <font>
      <b/>
      <sz val="9"/>
      <color indexed="81"/>
      <name val="Tahoma"/>
      <family val="2"/>
    </font>
    <font>
      <sz val="9"/>
      <color indexed="81"/>
      <name val="Tahoma"/>
      <family val="2"/>
    </font>
    <font>
      <sz val="8"/>
      <color indexed="81"/>
      <name val="Tahoma"/>
      <family val="2"/>
    </font>
    <font>
      <b/>
      <sz val="11"/>
      <name val="Calibri"/>
      <family val="2"/>
      <scheme val="minor"/>
    </font>
    <font>
      <u/>
      <sz val="11"/>
      <color theme="10"/>
      <name val="Calibri"/>
      <family val="2"/>
      <scheme val="minor"/>
    </font>
    <font>
      <b/>
      <i/>
      <sz val="11"/>
      <name val="Calibri"/>
      <family val="2"/>
      <scheme val="minor"/>
    </font>
    <font>
      <b/>
      <sz val="10"/>
      <name val="HelveticaNeueLT Std"/>
      <family val="2"/>
    </font>
    <font>
      <sz val="10"/>
      <name val="HelveticaNeueLT Std"/>
      <family val="2"/>
    </font>
    <font>
      <sz val="10"/>
      <color theme="1"/>
      <name val="Arial"/>
      <family val="2"/>
    </font>
    <font>
      <sz val="11"/>
      <color theme="1"/>
      <name val="Arial"/>
      <family val="2"/>
    </font>
    <font>
      <sz val="16"/>
      <color theme="1"/>
      <name val="Arial"/>
      <family val="2"/>
    </font>
    <font>
      <sz val="11"/>
      <name val="Arial"/>
      <family val="2"/>
    </font>
    <font>
      <b/>
      <sz val="14"/>
      <color theme="1"/>
      <name val="Arial"/>
      <family val="2"/>
    </font>
    <font>
      <b/>
      <sz val="12"/>
      <name val="HelveticaNeueLT Std"/>
      <family val="2"/>
    </font>
    <font>
      <b/>
      <sz val="10"/>
      <color theme="1"/>
      <name val="Arial"/>
      <family val="2"/>
    </font>
    <font>
      <sz val="10"/>
      <color rgb="FFFF0000"/>
      <name val="Arial"/>
      <family val="2"/>
    </font>
    <font>
      <b/>
      <sz val="10"/>
      <color rgb="FF000000"/>
      <name val="HelveticaNeueLT Std"/>
      <family val="2"/>
    </font>
    <font>
      <b/>
      <sz val="10"/>
      <color rgb="FF00B050"/>
      <name val="Arial"/>
      <family val="2"/>
    </font>
    <font>
      <sz val="10"/>
      <color rgb="FF00B050"/>
      <name val="Arial"/>
      <family val="2"/>
    </font>
    <font>
      <sz val="11"/>
      <color theme="1"/>
      <name val="HelveticaNeueLT Std"/>
      <family val="2"/>
    </font>
    <font>
      <sz val="9"/>
      <name val="HelveticaNeueLT Std"/>
      <family val="2"/>
    </font>
    <font>
      <sz val="11"/>
      <name val="HelveticaNeueLT Std"/>
      <family val="2"/>
    </font>
    <font>
      <u/>
      <sz val="9"/>
      <name val="HelveticaNeueLT Std"/>
      <family val="2"/>
    </font>
    <font>
      <sz val="8"/>
      <name val="HelveticaNeueLT Std"/>
      <family val="2"/>
    </font>
    <font>
      <b/>
      <sz val="9"/>
      <name val="HelveticaNeueLT Std"/>
      <family val="2"/>
    </font>
    <font>
      <b/>
      <sz val="8"/>
      <name val="HelveticaNeueLT Std"/>
      <family val="2"/>
    </font>
    <font>
      <sz val="8"/>
      <color theme="1"/>
      <name val="HelveticaNeueLT Std"/>
      <family val="2"/>
    </font>
    <font>
      <sz val="9"/>
      <color theme="1"/>
      <name val="HelveticaNeueLT Std"/>
      <family val="2"/>
    </font>
    <font>
      <sz val="8"/>
      <color rgb="FF000000"/>
      <name val="HelveticaNeueLT Std"/>
      <family val="2"/>
    </font>
    <font>
      <b/>
      <sz val="10"/>
      <color theme="1"/>
      <name val="HelveticaNeueLT Std"/>
      <family val="2"/>
    </font>
    <font>
      <sz val="9"/>
      <color rgb="FF000000"/>
      <name val="HelveticaNeueLT Std"/>
      <family val="2"/>
    </font>
    <font>
      <b/>
      <sz val="11"/>
      <color theme="1"/>
      <name val="Calibri"/>
      <family val="2"/>
      <scheme val="minor"/>
    </font>
    <font>
      <sz val="8"/>
      <name val="Calibri"/>
      <family val="2"/>
      <scheme val="minor"/>
    </font>
    <font>
      <b/>
      <i/>
      <sz val="11"/>
      <color theme="1"/>
      <name val="Calibri"/>
      <family val="2"/>
      <scheme val="minor"/>
    </font>
    <font>
      <b/>
      <u/>
      <sz val="14"/>
      <color rgb="FFFF0000"/>
      <name val="Calibri"/>
      <family val="2"/>
      <scheme val="minor"/>
    </font>
    <font>
      <b/>
      <sz val="14"/>
      <name val="Calibri"/>
      <family val="2"/>
      <scheme val="minor"/>
    </font>
    <font>
      <sz val="11"/>
      <color theme="1"/>
      <name val="Calibri"/>
      <family val="2"/>
    </font>
    <font>
      <b/>
      <sz val="11"/>
      <color theme="0"/>
      <name val="Calibri"/>
      <family val="2"/>
      <scheme val="minor"/>
    </font>
    <font>
      <sz val="11"/>
      <color theme="0"/>
      <name val="Calibri"/>
      <family val="2"/>
      <scheme val="minor"/>
    </font>
    <font>
      <b/>
      <sz val="9"/>
      <color rgb="FF000000"/>
      <name val="Tahoma"/>
      <family val="2"/>
    </font>
    <font>
      <sz val="9"/>
      <color rgb="FF000000"/>
      <name val="Tahoma"/>
      <family val="2"/>
    </font>
    <font>
      <sz val="11"/>
      <color rgb="FFFFFFFF"/>
      <name val="Calibri"/>
      <family val="2"/>
      <scheme val="minor"/>
    </font>
    <font>
      <sz val="11"/>
      <color rgb="FFFF0000"/>
      <name val="Calibri"/>
      <family val="2"/>
      <scheme val="minor"/>
    </font>
    <font>
      <sz val="10"/>
      <name val="HelveticaNeueLT Std"/>
    </font>
    <font>
      <b/>
      <sz val="11"/>
      <name val="HelveticaNeueLT Std"/>
    </font>
    <font>
      <b/>
      <sz val="11"/>
      <name val="HelveticaNeueLT Std"/>
      <family val="2"/>
    </font>
    <font>
      <sz val="12"/>
      <color rgb="FF000000"/>
      <name val="HelveticaNeueLT Std"/>
      <family val="2"/>
    </font>
    <font>
      <sz val="11"/>
      <name val="HelveticaNeueLT Std"/>
    </font>
    <font>
      <sz val="11"/>
      <color theme="1"/>
      <name val="HelveticaNeueLT Std"/>
    </font>
    <font>
      <b/>
      <sz val="11"/>
      <color theme="1"/>
      <name val="Arial"/>
      <family val="2"/>
    </font>
    <font>
      <sz val="10"/>
      <color theme="1"/>
      <name val="Helvetica Neue"/>
      <family val="2"/>
    </font>
    <font>
      <b/>
      <sz val="10"/>
      <color theme="1"/>
      <name val="Helvetica Neue"/>
      <family val="2"/>
    </font>
    <font>
      <sz val="10"/>
      <name val="Helvetica Neue"/>
      <family val="2"/>
    </font>
  </fonts>
  <fills count="1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theme="1"/>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6" tint="-0.249977111117893"/>
        <bgColor indexed="64"/>
      </patternFill>
    </fill>
    <fill>
      <patternFill patternType="solid">
        <fgColor theme="0"/>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FC000"/>
        <bgColor indexed="64"/>
      </patternFill>
    </fill>
    <fill>
      <patternFill patternType="solid">
        <fgColor rgb="FFFF0000"/>
        <bgColor indexed="64"/>
      </patternFill>
    </fill>
    <fill>
      <patternFill patternType="solid">
        <fgColor rgb="FF0070C0"/>
        <bgColor indexed="64"/>
      </patternFill>
    </fill>
    <fill>
      <patternFill patternType="solid">
        <fgColor rgb="FF00B0F0"/>
        <bgColor indexed="64"/>
      </patternFill>
    </fill>
    <fill>
      <patternFill patternType="solid">
        <fgColor rgb="FFE8FF40"/>
        <bgColor indexed="64"/>
      </patternFill>
    </fill>
  </fills>
  <borders count="63">
    <border>
      <left/>
      <right/>
      <top/>
      <bottom/>
      <diagonal/>
    </border>
    <border>
      <left/>
      <right style="thin">
        <color auto="1"/>
      </right>
      <top style="thin">
        <color auto="1"/>
      </top>
      <bottom style="thin">
        <color auto="1"/>
      </bottom>
      <diagonal/>
    </border>
    <border>
      <left/>
      <right/>
      <top/>
      <bottom style="medium">
        <color auto="1"/>
      </bottom>
      <diagonal/>
    </border>
    <border>
      <left/>
      <right/>
      <top style="medium">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bottom/>
      <diagonal/>
    </border>
    <border>
      <left/>
      <right style="medium">
        <color indexed="64"/>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top style="medium">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indexed="64"/>
      </left>
      <right style="thin">
        <color indexed="64"/>
      </right>
      <top style="thin">
        <color indexed="64"/>
      </top>
      <bottom/>
      <diagonal/>
    </border>
    <border>
      <left style="thin">
        <color auto="1"/>
      </left>
      <right style="thin">
        <color auto="1"/>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auto="1"/>
      </left>
      <right style="medium">
        <color auto="1"/>
      </right>
      <top style="medium">
        <color auto="1"/>
      </top>
      <bottom/>
      <diagonal/>
    </border>
    <border>
      <left/>
      <right/>
      <top style="thin">
        <color auto="1"/>
      </top>
      <bottom style="thin">
        <color auto="1"/>
      </bottom>
      <diagonal/>
    </border>
    <border>
      <left/>
      <right style="medium">
        <color indexed="64"/>
      </right>
      <top style="thin">
        <color auto="1"/>
      </top>
      <bottom style="thin">
        <color auto="1"/>
      </bottom>
      <diagonal/>
    </border>
    <border>
      <left/>
      <right style="thin">
        <color auto="1"/>
      </right>
      <top style="medium">
        <color auto="1"/>
      </top>
      <bottom/>
      <diagonal/>
    </border>
    <border>
      <left style="medium">
        <color auto="1"/>
      </left>
      <right/>
      <top/>
      <bottom style="thin">
        <color auto="1"/>
      </bottom>
      <diagonal/>
    </border>
    <border>
      <left/>
      <right style="thin">
        <color auto="1"/>
      </right>
      <top/>
      <bottom style="thin">
        <color auto="1"/>
      </bottom>
      <diagonal/>
    </border>
    <border>
      <left style="thin">
        <color auto="1"/>
      </left>
      <right style="medium">
        <color auto="1"/>
      </right>
      <top style="thin">
        <color rgb="FF000000"/>
      </top>
      <bottom/>
      <diagonal/>
    </border>
    <border>
      <left style="thin">
        <color rgb="FF000000"/>
      </left>
      <right style="thin">
        <color indexed="64"/>
      </right>
      <top/>
      <bottom/>
      <diagonal/>
    </border>
    <border>
      <left style="thin">
        <color auto="1"/>
      </left>
      <right style="medium">
        <color auto="1"/>
      </right>
      <top style="thin">
        <color auto="1"/>
      </top>
      <bottom/>
      <diagonal/>
    </border>
    <border>
      <left style="medium">
        <color indexed="64"/>
      </left>
      <right style="medium">
        <color indexed="64"/>
      </right>
      <top/>
      <bottom style="medium">
        <color indexed="64"/>
      </bottom>
      <diagonal/>
    </border>
    <border>
      <left style="thin">
        <color auto="1"/>
      </left>
      <right/>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top/>
      <bottom style="thin">
        <color auto="1"/>
      </bottom>
      <diagonal/>
    </border>
    <border>
      <left style="medium">
        <color auto="1"/>
      </left>
      <right style="medium">
        <color auto="1"/>
      </right>
      <top style="medium">
        <color auto="1"/>
      </top>
      <bottom/>
      <diagonal/>
    </border>
    <border>
      <left style="thin">
        <color auto="1"/>
      </left>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auto="1"/>
      </left>
      <right style="thin">
        <color auto="1"/>
      </right>
      <top/>
      <bottom style="thin">
        <color auto="1"/>
      </bottom>
      <diagonal/>
    </border>
    <border>
      <left/>
      <right style="thin">
        <color auto="1"/>
      </right>
      <top style="thin">
        <color auto="1"/>
      </top>
      <bottom/>
      <diagonal/>
    </border>
    <border>
      <left style="medium">
        <color auto="1"/>
      </left>
      <right style="medium">
        <color auto="1"/>
      </right>
      <top/>
      <bottom/>
      <diagonal/>
    </border>
    <border>
      <left style="thin">
        <color auto="1"/>
      </left>
      <right/>
      <top style="thin">
        <color auto="1"/>
      </top>
      <bottom/>
      <diagonal/>
    </border>
    <border>
      <left style="thin">
        <color auto="1"/>
      </left>
      <right/>
      <top style="medium">
        <color indexed="64"/>
      </top>
      <bottom style="medium">
        <color indexed="64"/>
      </bottom>
      <diagonal/>
    </border>
    <border>
      <left/>
      <right style="thin">
        <color auto="1"/>
      </right>
      <top style="medium">
        <color indexed="64"/>
      </top>
      <bottom style="medium">
        <color indexed="64"/>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15">
    <xf numFmtId="0" fontId="0" fillId="0" borderId="0"/>
    <xf numFmtId="0" fontId="3" fillId="0" borderId="0"/>
    <xf numFmtId="166" fontId="3" fillId="0" borderId="0" applyFont="0" applyFill="0" applyBorder="0" applyAlignment="0" applyProtection="0"/>
    <xf numFmtId="164"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169" fontId="3" fillId="0" borderId="0" applyFont="0" applyFill="0" applyBorder="0" applyAlignment="0" applyProtection="0"/>
    <xf numFmtId="165" fontId="3" fillId="0" borderId="0" applyFont="0" applyFill="0" applyBorder="0" applyAlignment="0" applyProtection="0"/>
    <xf numFmtId="0" fontId="4" fillId="0" borderId="0"/>
    <xf numFmtId="0" fontId="3" fillId="0" borderId="0"/>
    <xf numFmtId="9" fontId="3" fillId="0" borderId="0" applyFont="0" applyFill="0" applyBorder="0" applyAlignment="0" applyProtection="0"/>
    <xf numFmtId="0" fontId="11" fillId="0" borderId="0" applyNumberFormat="0" applyFill="0" applyBorder="0" applyAlignment="0" applyProtection="0"/>
    <xf numFmtId="165" fontId="4" fillId="0" borderId="0" applyFont="0" applyFill="0" applyBorder="0" applyAlignment="0" applyProtection="0"/>
    <xf numFmtId="9" fontId="4" fillId="0" borderId="0" applyFont="0" applyFill="0" applyBorder="0" applyAlignment="0" applyProtection="0"/>
  </cellStyleXfs>
  <cellXfs count="679">
    <xf numFmtId="0" fontId="0" fillId="0" borderId="0" xfId="0"/>
    <xf numFmtId="0" fontId="5" fillId="0" borderId="0" xfId="10" applyFont="1" applyAlignment="1">
      <alignment horizontal="right"/>
    </xf>
    <xf numFmtId="168" fontId="6" fillId="0" borderId="0" xfId="10" applyNumberFormat="1" applyFont="1"/>
    <xf numFmtId="0" fontId="0" fillId="0" borderId="0" xfId="0" applyAlignment="1">
      <alignment horizontal="center" vertical="center"/>
    </xf>
    <xf numFmtId="0" fontId="1" fillId="0" borderId="0" xfId="0" applyFont="1" applyAlignment="1">
      <alignment horizontal="center" vertical="center" wrapText="1"/>
    </xf>
    <xf numFmtId="171" fontId="1" fillId="0" borderId="0" xfId="0" applyNumberFormat="1" applyFont="1" applyAlignment="1">
      <alignment horizontal="center" vertical="center" wrapText="1"/>
    </xf>
    <xf numFmtId="172" fontId="1" fillId="0" borderId="0" xfId="0" applyNumberFormat="1" applyFont="1" applyAlignment="1">
      <alignment horizontal="center" vertical="center" wrapText="1"/>
    </xf>
    <xf numFmtId="173" fontId="5" fillId="0" borderId="0" xfId="10" applyNumberFormat="1" applyFont="1"/>
    <xf numFmtId="173" fontId="5" fillId="4" borderId="2" xfId="10" applyNumberFormat="1" applyFont="1" applyFill="1" applyBorder="1"/>
    <xf numFmtId="0" fontId="0" fillId="0" borderId="12" xfId="0" applyBorder="1" applyAlignment="1">
      <alignment horizontal="center"/>
    </xf>
    <xf numFmtId="174" fontId="0" fillId="0" borderId="12" xfId="0" applyNumberFormat="1" applyBorder="1"/>
    <xf numFmtId="0" fontId="5" fillId="6" borderId="12" xfId="10" applyFont="1" applyFill="1" applyBorder="1" applyAlignment="1">
      <alignment horizontal="center" vertical="center"/>
    </xf>
    <xf numFmtId="0" fontId="5" fillId="0" borderId="12" xfId="10" applyFont="1" applyBorder="1" applyAlignment="1">
      <alignment horizontal="right"/>
    </xf>
    <xf numFmtId="168" fontId="6" fillId="3" borderId="12" xfId="10" applyNumberFormat="1" applyFont="1" applyFill="1" applyBorder="1"/>
    <xf numFmtId="0" fontId="5" fillId="2" borderId="12" xfId="10" applyFont="1" applyFill="1" applyBorder="1" applyAlignment="1">
      <alignment horizontal="center" vertical="center"/>
    </xf>
    <xf numFmtId="0" fontId="5" fillId="2" borderId="12" xfId="10" applyFont="1" applyFill="1" applyBorder="1" applyAlignment="1">
      <alignment horizontal="center" vertical="center" wrapText="1"/>
    </xf>
    <xf numFmtId="0" fontId="5" fillId="8" borderId="12" xfId="10" applyFont="1" applyFill="1" applyBorder="1" applyAlignment="1">
      <alignment horizontal="center" vertical="center" wrapText="1"/>
    </xf>
    <xf numFmtId="0" fontId="5" fillId="0" borderId="12" xfId="10" applyFont="1" applyBorder="1" applyAlignment="1">
      <alignment horizontal="center" vertical="center" wrapText="1"/>
    </xf>
    <xf numFmtId="0" fontId="5" fillId="10" borderId="12" xfId="10" applyFont="1" applyFill="1" applyBorder="1" applyAlignment="1">
      <alignment horizontal="center" vertical="center"/>
    </xf>
    <xf numFmtId="0" fontId="5" fillId="10" borderId="12" xfId="10" applyFont="1" applyFill="1" applyBorder="1" applyAlignment="1">
      <alignment horizontal="center" vertical="center" wrapText="1"/>
    </xf>
    <xf numFmtId="0" fontId="15" fillId="12" borderId="10" xfId="0" applyFont="1" applyFill="1" applyBorder="1" applyAlignment="1">
      <alignment horizontal="center" vertical="center" wrapText="1"/>
    </xf>
    <xf numFmtId="0" fontId="15" fillId="12" borderId="11" xfId="0" applyFont="1" applyFill="1" applyBorder="1" applyAlignment="1">
      <alignment horizontal="center" vertical="center" wrapText="1"/>
    </xf>
    <xf numFmtId="0" fontId="15" fillId="12" borderId="9" xfId="0" applyFont="1" applyFill="1" applyBorder="1" applyAlignment="1">
      <alignment horizontal="left" vertical="center" wrapText="1"/>
    </xf>
    <xf numFmtId="0" fontId="10" fillId="8" borderId="12" xfId="0" applyFont="1" applyFill="1" applyBorder="1" applyAlignment="1">
      <alignment horizontal="center" vertical="center"/>
    </xf>
    <xf numFmtId="171" fontId="12" fillId="8" borderId="7" xfId="0" applyNumberFormat="1" applyFont="1" applyFill="1" applyBorder="1" applyAlignment="1">
      <alignment horizontal="center" vertical="center"/>
    </xf>
    <xf numFmtId="172" fontId="12" fillId="8" borderId="7" xfId="0" applyNumberFormat="1" applyFont="1" applyFill="1" applyBorder="1" applyAlignment="1">
      <alignment horizontal="center" vertical="center"/>
    </xf>
    <xf numFmtId="0" fontId="0" fillId="0" borderId="0" xfId="0" applyAlignment="1">
      <alignment horizontal="center"/>
    </xf>
    <xf numFmtId="0" fontId="18" fillId="11" borderId="12" xfId="0" applyFont="1" applyFill="1" applyBorder="1" applyAlignment="1">
      <alignment horizontal="center" vertical="center"/>
    </xf>
    <xf numFmtId="0" fontId="0" fillId="11" borderId="12" xfId="0" applyFill="1" applyBorder="1" applyAlignment="1">
      <alignment horizontal="center" vertical="center"/>
    </xf>
    <xf numFmtId="0" fontId="15" fillId="0" borderId="12" xfId="10" applyFont="1" applyFill="1" applyBorder="1"/>
    <xf numFmtId="0" fontId="15" fillId="0" borderId="12" xfId="10" applyFont="1" applyFill="1" applyBorder="1" applyAlignment="1">
      <alignment horizontal="center" vertical="center"/>
    </xf>
    <xf numFmtId="3" fontId="15" fillId="0" borderId="12" xfId="10" applyNumberFormat="1" applyFont="1" applyFill="1" applyBorder="1"/>
    <xf numFmtId="170" fontId="10" fillId="8" borderId="28" xfId="0" applyNumberFormat="1" applyFont="1" applyFill="1" applyBorder="1" applyAlignment="1">
      <alignment horizontal="center" vertical="center"/>
    </xf>
    <xf numFmtId="0" fontId="0" fillId="0" borderId="29" xfId="0" applyBorder="1" applyAlignment="1">
      <alignment horizontal="center" vertical="center"/>
    </xf>
    <xf numFmtId="177" fontId="1" fillId="0" borderId="0" xfId="0" applyNumberFormat="1" applyFont="1" applyAlignment="1">
      <alignment horizontal="center" vertical="center" wrapText="1"/>
    </xf>
    <xf numFmtId="177" fontId="12" fillId="8" borderId="7" xfId="0" applyNumberFormat="1" applyFont="1" applyFill="1" applyBorder="1" applyAlignment="1">
      <alignment horizontal="center" vertical="center"/>
    </xf>
    <xf numFmtId="177" fontId="2" fillId="0" borderId="10" xfId="0" applyNumberFormat="1" applyFont="1" applyBorder="1" applyAlignment="1">
      <alignment horizontal="center" vertical="center"/>
    </xf>
    <xf numFmtId="177" fontId="2" fillId="0" borderId="0" xfId="0" applyNumberFormat="1" applyFont="1" applyBorder="1" applyAlignment="1">
      <alignment horizontal="center" vertical="center"/>
    </xf>
    <xf numFmtId="0" fontId="3" fillId="4" borderId="2" xfId="10" applyFont="1" applyFill="1" applyBorder="1"/>
    <xf numFmtId="0" fontId="3" fillId="0" borderId="0" xfId="10" applyFont="1"/>
    <xf numFmtId="0" fontId="3" fillId="0" borderId="3" xfId="10" applyFont="1" applyBorder="1"/>
    <xf numFmtId="173" fontId="3" fillId="0" borderId="0" xfId="10" applyNumberFormat="1" applyFont="1"/>
    <xf numFmtId="2" fontId="3" fillId="0" borderId="0" xfId="10" applyNumberFormat="1" applyFont="1"/>
    <xf numFmtId="0" fontId="3" fillId="0" borderId="2" xfId="10" applyFont="1" applyBorder="1"/>
    <xf numFmtId="173" fontId="3" fillId="0" borderId="2" xfId="10" applyNumberFormat="1" applyFont="1" applyBorder="1"/>
    <xf numFmtId="0" fontId="3" fillId="0" borderId="0" xfId="10" applyFont="1" applyAlignment="1">
      <alignment horizontal="right"/>
    </xf>
    <xf numFmtId="0" fontId="3" fillId="0" borderId="12" xfId="10" applyFont="1" applyBorder="1" applyAlignment="1">
      <alignment horizontal="center" vertical="center"/>
    </xf>
    <xf numFmtId="0" fontId="3" fillId="0" borderId="12" xfId="10" applyFont="1" applyBorder="1"/>
    <xf numFmtId="3" fontId="3" fillId="0" borderId="12" xfId="10" applyNumberFormat="1" applyFont="1" applyBorder="1" applyAlignment="1">
      <alignment horizontal="right" vertical="center"/>
    </xf>
    <xf numFmtId="3" fontId="3" fillId="5" borderId="12" xfId="10" applyNumberFormat="1" applyFont="1" applyFill="1" applyBorder="1" applyAlignment="1">
      <alignment horizontal="right" vertical="center"/>
    </xf>
    <xf numFmtId="0" fontId="3" fillId="0" borderId="0" xfId="10" applyFont="1" applyAlignment="1">
      <alignment horizontal="center" vertical="center"/>
    </xf>
    <xf numFmtId="3" fontId="3" fillId="0" borderId="0" xfId="10" applyNumberFormat="1" applyFont="1" applyAlignment="1">
      <alignment horizontal="right" vertical="center"/>
    </xf>
    <xf numFmtId="0" fontId="3" fillId="14" borderId="0" xfId="10" applyFont="1" applyFill="1"/>
    <xf numFmtId="3" fontId="3" fillId="14" borderId="0" xfId="10" applyNumberFormat="1" applyFont="1" applyFill="1" applyAlignment="1">
      <alignment horizontal="right" vertical="center"/>
    </xf>
    <xf numFmtId="1" fontId="3" fillId="14" borderId="0" xfId="10" applyNumberFormat="1" applyFont="1" applyFill="1"/>
    <xf numFmtId="0" fontId="3" fillId="0" borderId="12" xfId="10" applyFont="1" applyBorder="1" applyAlignment="1">
      <alignment horizontal="right"/>
    </xf>
    <xf numFmtId="0" fontId="3" fillId="2" borderId="12" xfId="10" applyFont="1" applyFill="1" applyBorder="1"/>
    <xf numFmtId="3" fontId="3" fillId="0" borderId="12" xfId="10" applyNumberFormat="1" applyFont="1" applyBorder="1"/>
    <xf numFmtId="3" fontId="3" fillId="0" borderId="4" xfId="10" applyNumberFormat="1" applyFont="1" applyBorder="1"/>
    <xf numFmtId="0" fontId="15" fillId="0" borderId="0" xfId="0" applyFont="1"/>
    <xf numFmtId="173" fontId="15" fillId="0" borderId="0" xfId="0" applyNumberFormat="1" applyFont="1"/>
    <xf numFmtId="0" fontId="5" fillId="6" borderId="12" xfId="10" applyFont="1" applyFill="1" applyBorder="1" applyAlignment="1">
      <alignment horizontal="center" vertical="center" wrapText="1"/>
    </xf>
    <xf numFmtId="0" fontId="5" fillId="7" borderId="12" xfId="10" applyFont="1" applyFill="1" applyBorder="1" applyAlignment="1">
      <alignment horizontal="center" vertical="center" wrapText="1"/>
    </xf>
    <xf numFmtId="2" fontId="15" fillId="0" borderId="12" xfId="11" applyNumberFormat="1" applyFont="1" applyBorder="1" applyAlignment="1">
      <alignment horizontal="center" vertical="center"/>
    </xf>
    <xf numFmtId="0" fontId="15" fillId="0" borderId="0" xfId="0" applyNumberFormat="1" applyFont="1"/>
    <xf numFmtId="0" fontId="15" fillId="0" borderId="0" xfId="14" applyNumberFormat="1" applyFont="1"/>
    <xf numFmtId="16" fontId="15" fillId="0" borderId="0" xfId="0" applyNumberFormat="1" applyFont="1"/>
    <xf numFmtId="173" fontId="15" fillId="0" borderId="12" xfId="5" applyNumberFormat="1" applyFont="1" applyBorder="1" applyAlignment="1">
      <alignment horizontal="center" vertical="center"/>
    </xf>
    <xf numFmtId="173" fontId="5" fillId="0" borderId="12" xfId="10" applyNumberFormat="1" applyFont="1" applyBorder="1" applyAlignment="1">
      <alignment horizontal="center" vertical="center" wrapText="1"/>
    </xf>
    <xf numFmtId="167" fontId="15" fillId="0" borderId="12" xfId="5" applyNumberFormat="1" applyFont="1" applyBorder="1"/>
    <xf numFmtId="0" fontId="3" fillId="0" borderId="0" xfId="10" applyFont="1" applyAlignment="1">
      <alignment horizontal="left"/>
    </xf>
    <xf numFmtId="0" fontId="21" fillId="12" borderId="13" xfId="0" applyFont="1" applyFill="1" applyBorder="1" applyAlignment="1">
      <alignment horizontal="left" vertical="center" wrapText="1"/>
    </xf>
    <xf numFmtId="0" fontId="21" fillId="12" borderId="12" xfId="0" applyFont="1" applyFill="1" applyBorder="1" applyAlignment="1">
      <alignment horizontal="left" vertical="center" wrapText="1"/>
    </xf>
    <xf numFmtId="0" fontId="21" fillId="12" borderId="14" xfId="0" applyFont="1" applyFill="1" applyBorder="1" applyAlignment="1">
      <alignment horizontal="left" vertical="center" wrapText="1"/>
    </xf>
    <xf numFmtId="174" fontId="15" fillId="0" borderId="12" xfId="0" applyNumberFormat="1" applyFont="1" applyBorder="1"/>
    <xf numFmtId="0" fontId="15" fillId="0" borderId="0" xfId="0" applyFont="1" applyBorder="1"/>
    <xf numFmtId="0" fontId="15" fillId="12" borderId="0" xfId="0" applyFont="1" applyFill="1" applyBorder="1" applyAlignment="1">
      <alignment vertical="center" wrapText="1"/>
    </xf>
    <xf numFmtId="174" fontId="15" fillId="0" borderId="12" xfId="0" applyNumberFormat="1" applyFont="1" applyBorder="1" applyAlignment="1">
      <alignment horizontal="center" vertical="center"/>
    </xf>
    <xf numFmtId="0" fontId="22" fillId="0" borderId="0" xfId="10" applyFont="1"/>
    <xf numFmtId="0" fontId="15" fillId="0" borderId="12" xfId="0" applyFont="1" applyFill="1" applyBorder="1"/>
    <xf numFmtId="0" fontId="15" fillId="0" borderId="0" xfId="0" applyFont="1" applyFill="1"/>
    <xf numFmtId="174" fontId="21" fillId="0" borderId="12" xfId="0" applyNumberFormat="1" applyFont="1" applyFill="1" applyBorder="1"/>
    <xf numFmtId="0" fontId="5" fillId="2" borderId="23" xfId="10" applyFont="1" applyFill="1" applyBorder="1" applyAlignment="1">
      <alignment horizontal="center" vertical="center" wrapText="1"/>
    </xf>
    <xf numFmtId="0" fontId="5" fillId="3" borderId="19" xfId="10" applyFont="1" applyFill="1" applyBorder="1" applyAlignment="1">
      <alignment horizontal="right"/>
    </xf>
    <xf numFmtId="174" fontId="14" fillId="0" borderId="12" xfId="0" applyNumberFormat="1" applyFont="1" applyBorder="1" applyAlignment="1">
      <alignment horizontal="center" vertical="center"/>
    </xf>
    <xf numFmtId="174" fontId="14" fillId="0" borderId="4" xfId="0" applyNumberFormat="1" applyFont="1" applyBorder="1" applyAlignment="1">
      <alignment horizontal="center" vertical="center"/>
    </xf>
    <xf numFmtId="3" fontId="15" fillId="0" borderId="4" xfId="10" applyNumberFormat="1" applyFont="1" applyFill="1" applyBorder="1"/>
    <xf numFmtId="0" fontId="5" fillId="0" borderId="25" xfId="10" applyFont="1" applyBorder="1" applyAlignment="1">
      <alignment horizontal="center" vertical="center" wrapText="1"/>
    </xf>
    <xf numFmtId="174" fontId="14" fillId="0" borderId="26" xfId="0" applyNumberFormat="1" applyFont="1" applyBorder="1" applyAlignment="1">
      <alignment horizontal="center" vertical="center"/>
    </xf>
    <xf numFmtId="173" fontId="5" fillId="0" borderId="27" xfId="10" applyNumberFormat="1" applyFont="1" applyBorder="1"/>
    <xf numFmtId="0" fontId="3" fillId="0" borderId="4" xfId="10" applyFont="1" applyBorder="1"/>
    <xf numFmtId="165" fontId="5" fillId="0" borderId="27" xfId="13" applyFont="1" applyBorder="1"/>
    <xf numFmtId="0" fontId="5" fillId="10" borderId="23" xfId="10" applyFont="1" applyFill="1" applyBorder="1" applyAlignment="1">
      <alignment horizontal="center" vertical="center"/>
    </xf>
    <xf numFmtId="0" fontId="5" fillId="10" borderId="23" xfId="10" applyFont="1" applyFill="1" applyBorder="1" applyAlignment="1">
      <alignment horizontal="center" vertical="center" wrapText="1"/>
    </xf>
    <xf numFmtId="0" fontId="5" fillId="3" borderId="19" xfId="10" applyFont="1" applyFill="1" applyBorder="1" applyAlignment="1">
      <alignment horizontal="center"/>
    </xf>
    <xf numFmtId="0" fontId="5" fillId="3" borderId="25" xfId="10" applyFont="1" applyFill="1" applyBorder="1" applyAlignment="1">
      <alignment horizontal="center"/>
    </xf>
    <xf numFmtId="0" fontId="5" fillId="0" borderId="0" xfId="10" applyFont="1" applyAlignment="1">
      <alignment horizontal="center"/>
    </xf>
    <xf numFmtId="168" fontId="6" fillId="0" borderId="0" xfId="10" applyNumberFormat="1" applyFont="1" applyAlignment="1">
      <alignment horizontal="center"/>
    </xf>
    <xf numFmtId="0" fontId="5" fillId="0" borderId="12" xfId="10" applyNumberFormat="1" applyFont="1" applyBorder="1"/>
    <xf numFmtId="174" fontId="21" fillId="0" borderId="12" xfId="0" applyNumberFormat="1" applyFont="1" applyBorder="1"/>
    <xf numFmtId="165" fontId="24" fillId="0" borderId="12" xfId="13" applyFont="1" applyFill="1" applyBorder="1"/>
    <xf numFmtId="174" fontId="21" fillId="3" borderId="21" xfId="0" applyNumberFormat="1" applyFont="1" applyFill="1" applyBorder="1"/>
    <xf numFmtId="165" fontId="25" fillId="0" borderId="0" xfId="13" applyFont="1"/>
    <xf numFmtId="0" fontId="18" fillId="11" borderId="12" xfId="0" applyFont="1" applyFill="1" applyBorder="1" applyAlignment="1">
      <alignment horizontal="center" vertical="center" wrapText="1"/>
    </xf>
    <xf numFmtId="0" fontId="26" fillId="11" borderId="0" xfId="0" applyFont="1" applyFill="1" applyAlignment="1">
      <alignment vertical="center"/>
    </xf>
    <xf numFmtId="0" fontId="27" fillId="11" borderId="0" xfId="0" applyFont="1" applyFill="1" applyAlignment="1">
      <alignment horizontal="center" vertical="center"/>
    </xf>
    <xf numFmtId="0" fontId="27" fillId="11" borderId="0" xfId="0" applyFont="1" applyFill="1" applyAlignment="1">
      <alignment vertical="center"/>
    </xf>
    <xf numFmtId="0" fontId="26" fillId="0" borderId="0" xfId="0" applyFont="1" applyAlignment="1">
      <alignment vertical="center"/>
    </xf>
    <xf numFmtId="0" fontId="26" fillId="0" borderId="0" xfId="0" applyFont="1" applyAlignment="1">
      <alignment horizontal="center" vertical="center"/>
    </xf>
    <xf numFmtId="0" fontId="27" fillId="11" borderId="0" xfId="0" applyFont="1" applyFill="1" applyAlignment="1">
      <alignment horizontal="left" vertical="center"/>
    </xf>
    <xf numFmtId="0" fontId="14" fillId="11" borderId="34" xfId="0" applyFont="1" applyFill="1" applyBorder="1" applyAlignment="1">
      <alignment horizontal="left" vertical="center"/>
    </xf>
    <xf numFmtId="0" fontId="27" fillId="11" borderId="17" xfId="0" applyFont="1" applyFill="1" applyBorder="1" applyAlignment="1">
      <alignment vertical="center"/>
    </xf>
    <xf numFmtId="0" fontId="27" fillId="11" borderId="18" xfId="0" applyFont="1" applyFill="1" applyBorder="1" applyAlignment="1">
      <alignment horizontal="center" vertical="center"/>
    </xf>
    <xf numFmtId="0" fontId="27" fillId="0" borderId="17" xfId="0" applyFont="1" applyBorder="1" applyAlignment="1">
      <alignment vertical="center"/>
    </xf>
    <xf numFmtId="0" fontId="29" fillId="11" borderId="0" xfId="12" applyFont="1" applyFill="1" applyAlignment="1">
      <alignment vertical="center"/>
    </xf>
    <xf numFmtId="0" fontId="14" fillId="11" borderId="36" xfId="0" applyFont="1" applyFill="1" applyBorder="1" applyAlignment="1">
      <alignment horizontal="left" vertical="center"/>
    </xf>
    <xf numFmtId="0" fontId="26" fillId="11" borderId="0" xfId="0" applyFont="1" applyFill="1" applyBorder="1" applyAlignment="1">
      <alignment horizontal="left" vertical="center"/>
    </xf>
    <xf numFmtId="0" fontId="27" fillId="11" borderId="0" xfId="0" applyFont="1" applyFill="1" applyAlignment="1">
      <alignment horizontal="center" vertical="center" wrapText="1"/>
    </xf>
    <xf numFmtId="0" fontId="33" fillId="0" borderId="0" xfId="0" applyFont="1" applyAlignment="1">
      <alignment vertical="center"/>
    </xf>
    <xf numFmtId="0" fontId="32" fillId="0" borderId="0" xfId="0" applyFont="1" applyAlignment="1">
      <alignment horizontal="center" vertical="center"/>
    </xf>
    <xf numFmtId="0" fontId="33" fillId="0" borderId="0" xfId="0" applyFont="1" applyAlignment="1">
      <alignment horizontal="center" vertical="center"/>
    </xf>
    <xf numFmtId="0" fontId="32" fillId="0" borderId="25" xfId="0" applyFont="1" applyBorder="1" applyAlignment="1">
      <alignment horizontal="center" vertical="center"/>
    </xf>
    <xf numFmtId="0" fontId="35" fillId="11" borderId="0" xfId="0" applyFont="1" applyFill="1" applyAlignment="1">
      <alignment vertical="center"/>
    </xf>
    <xf numFmtId="0" fontId="30" fillId="11" borderId="0" xfId="0" applyFont="1" applyFill="1" applyAlignment="1">
      <alignment horizontal="center" vertical="center"/>
    </xf>
    <xf numFmtId="0" fontId="30" fillId="11" borderId="0" xfId="0" applyFont="1" applyFill="1" applyAlignment="1">
      <alignment vertical="center"/>
    </xf>
    <xf numFmtId="0" fontId="13" fillId="11" borderId="0" xfId="0" applyFont="1" applyFill="1" applyAlignment="1">
      <alignment horizontal="center" vertical="center"/>
    </xf>
    <xf numFmtId="0" fontId="27" fillId="0" borderId="13" xfId="0" applyFont="1" applyBorder="1" applyAlignment="1">
      <alignment horizontal="center" vertical="center"/>
    </xf>
    <xf numFmtId="0" fontId="27" fillId="0" borderId="12" xfId="0" applyFont="1" applyBorder="1" applyAlignment="1">
      <alignment horizontal="left" vertical="center"/>
    </xf>
    <xf numFmtId="0" fontId="27" fillId="0" borderId="0" xfId="0" applyFont="1" applyAlignment="1">
      <alignment horizontal="center" vertical="center"/>
    </xf>
    <xf numFmtId="0" fontId="27" fillId="0" borderId="0" xfId="0" applyFont="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175" fontId="0" fillId="0" borderId="14" xfId="0" applyNumberFormat="1" applyBorder="1" applyAlignment="1">
      <alignment horizontal="center" vertical="center"/>
    </xf>
    <xf numFmtId="175" fontId="0" fillId="0" borderId="11" xfId="0" applyNumberFormat="1" applyBorder="1" applyAlignment="1">
      <alignment horizontal="center" vertical="center"/>
    </xf>
    <xf numFmtId="0" fontId="0" fillId="0" borderId="23" xfId="0" applyBorder="1" applyAlignment="1">
      <alignment horizontal="center" vertical="center"/>
    </xf>
    <xf numFmtId="0" fontId="0" fillId="0" borderId="12" xfId="0" applyBorder="1"/>
    <xf numFmtId="0" fontId="0" fillId="0" borderId="4" xfId="0" applyBorder="1" applyAlignment="1">
      <alignment horizontal="center" vertical="center"/>
    </xf>
    <xf numFmtId="0" fontId="0" fillId="5" borderId="12" xfId="0" applyFill="1" applyBorder="1" applyAlignment="1">
      <alignment horizontal="center" vertical="center"/>
    </xf>
    <xf numFmtId="174" fontId="0" fillId="5" borderId="12" xfId="0" applyNumberFormat="1" applyFill="1" applyBorder="1" applyAlignment="1">
      <alignment horizontal="center" vertical="center"/>
    </xf>
    <xf numFmtId="175" fontId="0" fillId="0" borderId="12" xfId="0" applyNumberFormat="1" applyBorder="1" applyAlignment="1">
      <alignment horizontal="center" vertical="center"/>
    </xf>
    <xf numFmtId="174" fontId="0" fillId="0" borderId="12" xfId="0" applyNumberFormat="1" applyBorder="1" applyAlignment="1">
      <alignment horizontal="center" vertical="center"/>
    </xf>
    <xf numFmtId="175" fontId="0" fillId="0" borderId="0" xfId="0" applyNumberFormat="1" applyAlignment="1">
      <alignment horizontal="center" vertical="center"/>
    </xf>
    <xf numFmtId="0" fontId="0" fillId="0" borderId="13" xfId="0" applyBorder="1" applyAlignment="1">
      <alignment horizontal="center" vertical="center" wrapText="1"/>
    </xf>
    <xf numFmtId="0" fontId="12" fillId="8" borderId="7" xfId="0" applyFont="1" applyFill="1" applyBorder="1" applyAlignment="1">
      <alignment vertical="center"/>
    </xf>
    <xf numFmtId="175" fontId="0" fillId="0" borderId="27" xfId="0" applyNumberFormat="1" applyBorder="1" applyAlignment="1">
      <alignment horizontal="center" vertical="center"/>
    </xf>
    <xf numFmtId="175" fontId="1" fillId="0" borderId="0" xfId="0" applyNumberFormat="1" applyFont="1" applyAlignment="1">
      <alignment horizontal="center" vertical="center"/>
    </xf>
    <xf numFmtId="175" fontId="0" fillId="0" borderId="23" xfId="0" applyNumberFormat="1" applyBorder="1" applyAlignment="1">
      <alignment horizontal="center" vertical="center"/>
    </xf>
    <xf numFmtId="177" fontId="10" fillId="0" borderId="0" xfId="0" applyNumberFormat="1" applyFont="1" applyAlignment="1">
      <alignment horizontal="center" vertical="center" wrapText="1"/>
    </xf>
    <xf numFmtId="0" fontId="0" fillId="0" borderId="0" xfId="0" applyFont="1" applyAlignment="1">
      <alignment horizontal="center" vertical="center"/>
    </xf>
    <xf numFmtId="175" fontId="0" fillId="0" borderId="12" xfId="0" applyNumberFormat="1" applyFont="1" applyFill="1" applyBorder="1" applyAlignment="1">
      <alignment horizontal="center" vertical="center"/>
    </xf>
    <xf numFmtId="175" fontId="0" fillId="0" borderId="0" xfId="0" applyNumberFormat="1" applyFont="1" applyFill="1" applyBorder="1" applyAlignment="1">
      <alignment horizontal="center" vertical="center"/>
    </xf>
    <xf numFmtId="172" fontId="0" fillId="13" borderId="12" xfId="0" applyNumberFormat="1" applyFont="1" applyFill="1" applyBorder="1" applyAlignment="1">
      <alignment horizontal="center" vertical="center"/>
    </xf>
    <xf numFmtId="171" fontId="0" fillId="13" borderId="12" xfId="0" applyNumberFormat="1" applyFont="1" applyFill="1" applyBorder="1" applyAlignment="1">
      <alignment horizontal="center" vertical="center"/>
    </xf>
    <xf numFmtId="171" fontId="0" fillId="13" borderId="14" xfId="0" applyNumberFormat="1" applyFont="1" applyFill="1" applyBorder="1" applyAlignment="1">
      <alignment horizontal="center" vertical="center"/>
    </xf>
    <xf numFmtId="0" fontId="0" fillId="0" borderId="0" xfId="0" applyFont="1" applyFill="1" applyBorder="1" applyAlignment="1">
      <alignment horizontal="center" vertical="center"/>
    </xf>
    <xf numFmtId="171" fontId="0" fillId="0" borderId="0" xfId="0" applyNumberFormat="1" applyFont="1" applyFill="1" applyBorder="1" applyAlignment="1">
      <alignment horizontal="center" vertical="center"/>
    </xf>
    <xf numFmtId="0" fontId="0" fillId="0" borderId="0" xfId="0" applyFont="1" applyBorder="1" applyAlignment="1">
      <alignment horizontal="center" vertical="center"/>
    </xf>
    <xf numFmtId="177" fontId="0" fillId="0" borderId="0" xfId="0" applyNumberFormat="1" applyFont="1" applyBorder="1" applyAlignment="1">
      <alignment horizontal="center" vertical="center"/>
    </xf>
    <xf numFmtId="177" fontId="0" fillId="0" borderId="0" xfId="0" applyNumberFormat="1" applyFont="1" applyAlignment="1">
      <alignment horizontal="center" vertical="center"/>
    </xf>
    <xf numFmtId="9" fontId="10" fillId="0" borderId="12" xfId="0" applyNumberFormat="1" applyFont="1" applyBorder="1" applyAlignment="1">
      <alignment horizontal="center" vertical="center" wrapText="1"/>
    </xf>
    <xf numFmtId="0" fontId="15" fillId="3" borderId="0" xfId="0" applyFont="1" applyFill="1"/>
    <xf numFmtId="0" fontId="15" fillId="14" borderId="0" xfId="0" applyFont="1" applyFill="1"/>
    <xf numFmtId="0" fontId="0" fillId="2" borderId="12" xfId="0" applyFill="1" applyBorder="1" applyAlignment="1">
      <alignment horizontal="center"/>
    </xf>
    <xf numFmtId="0" fontId="0" fillId="0" borderId="12" xfId="9" applyFont="1" applyBorder="1" applyAlignment="1">
      <alignment horizontal="center" vertical="center"/>
    </xf>
    <xf numFmtId="0" fontId="26" fillId="0" borderId="0" xfId="0" applyFont="1" applyFill="1" applyAlignment="1">
      <alignment vertical="center"/>
    </xf>
    <xf numFmtId="0" fontId="27" fillId="0" borderId="0" xfId="0" applyFont="1" applyFill="1" applyAlignment="1">
      <alignment horizontal="center" vertical="center"/>
    </xf>
    <xf numFmtId="0" fontId="27" fillId="0" borderId="0" xfId="0" applyFont="1" applyFill="1" applyAlignment="1">
      <alignment vertical="center"/>
    </xf>
    <xf numFmtId="0" fontId="0" fillId="0" borderId="0" xfId="0" applyAlignment="1">
      <alignment vertical="center"/>
    </xf>
    <xf numFmtId="0" fontId="19" fillId="0" borderId="12" xfId="0" applyFont="1" applyBorder="1" applyAlignment="1">
      <alignment horizontal="center" vertical="center"/>
    </xf>
    <xf numFmtId="0" fontId="19" fillId="0" borderId="12" xfId="0" applyFont="1" applyBorder="1" applyAlignment="1">
      <alignment horizontal="center" vertical="center" wrapText="1"/>
    </xf>
    <xf numFmtId="0" fontId="16" fillId="0" borderId="12" xfId="0" applyFont="1" applyBorder="1" applyAlignment="1">
      <alignment horizontal="center" vertical="center"/>
    </xf>
    <xf numFmtId="0" fontId="0" fillId="12" borderId="44" xfId="0" applyFill="1" applyBorder="1" applyAlignment="1">
      <alignment horizontal="center" vertical="center"/>
    </xf>
    <xf numFmtId="171" fontId="0" fillId="0" borderId="0" xfId="0" applyNumberFormat="1" applyFont="1" applyBorder="1" applyAlignment="1">
      <alignment horizontal="center" vertical="center"/>
    </xf>
    <xf numFmtId="0" fontId="0" fillId="0" borderId="12" xfId="0" applyFill="1" applyBorder="1" applyAlignment="1">
      <alignment horizontal="center"/>
    </xf>
    <xf numFmtId="172" fontId="0" fillId="0" borderId="12" xfId="0" applyNumberFormat="1" applyFont="1" applyFill="1" applyBorder="1" applyAlignment="1">
      <alignment horizontal="center" vertical="center"/>
    </xf>
    <xf numFmtId="171" fontId="0" fillId="0" borderId="12" xfId="0" applyNumberFormat="1" applyFont="1" applyFill="1" applyBorder="1" applyAlignment="1">
      <alignment horizontal="center" vertical="center"/>
    </xf>
    <xf numFmtId="0" fontId="3" fillId="14" borderId="12" xfId="10" applyFont="1" applyFill="1" applyBorder="1" applyAlignment="1">
      <alignment horizontal="center" vertical="center"/>
    </xf>
    <xf numFmtId="3" fontId="3" fillId="0" borderId="12" xfId="10" applyNumberFormat="1" applyFont="1" applyBorder="1" applyAlignment="1">
      <alignment horizontal="center" vertical="center"/>
    </xf>
    <xf numFmtId="174" fontId="15" fillId="14" borderId="12" xfId="0" applyNumberFormat="1" applyFont="1" applyFill="1" applyBorder="1" applyAlignment="1">
      <alignment horizontal="center" vertical="center"/>
    </xf>
    <xf numFmtId="0" fontId="15" fillId="0" borderId="12" xfId="0" applyFont="1" applyBorder="1" applyAlignment="1">
      <alignment horizontal="center" vertical="center"/>
    </xf>
    <xf numFmtId="0" fontId="15" fillId="0" borderId="0" xfId="0" applyFont="1" applyAlignment="1">
      <alignment horizontal="center" vertical="center"/>
    </xf>
    <xf numFmtId="0" fontId="27" fillId="0" borderId="9" xfId="0" applyFont="1" applyBorder="1" applyAlignment="1">
      <alignment horizontal="center" vertical="center"/>
    </xf>
    <xf numFmtId="0" fontId="32" fillId="0" borderId="27" xfId="0" applyFont="1" applyBorder="1" applyAlignment="1">
      <alignment horizontal="center" vertical="center"/>
    </xf>
    <xf numFmtId="0" fontId="10" fillId="0" borderId="7" xfId="0" applyFont="1" applyBorder="1" applyAlignment="1">
      <alignment horizontal="center" vertical="center" wrapText="1"/>
    </xf>
    <xf numFmtId="0" fontId="10" fillId="0" borderId="10" xfId="0" applyFont="1" applyBorder="1" applyAlignment="1">
      <alignment horizontal="center" vertical="center" wrapText="1"/>
    </xf>
    <xf numFmtId="0" fontId="0" fillId="0" borderId="0" xfId="0" applyFont="1" applyFill="1" applyAlignment="1">
      <alignment horizontal="center" vertical="center"/>
    </xf>
    <xf numFmtId="0" fontId="1" fillId="0" borderId="0" xfId="0" applyFont="1" applyAlignment="1">
      <alignment horizontal="center" vertical="center"/>
    </xf>
    <xf numFmtId="0" fontId="0" fillId="0" borderId="12" xfId="0" applyFill="1" applyBorder="1" applyAlignment="1">
      <alignment horizontal="center" vertical="center"/>
    </xf>
    <xf numFmtId="0" fontId="0" fillId="13" borderId="13" xfId="0" applyFont="1" applyFill="1" applyBorder="1" applyAlignment="1">
      <alignment horizontal="left" vertical="center"/>
    </xf>
    <xf numFmtId="0" fontId="2" fillId="13" borderId="12" xfId="0" applyFont="1" applyFill="1" applyBorder="1" applyAlignment="1">
      <alignment horizontal="center" vertical="center"/>
    </xf>
    <xf numFmtId="0" fontId="2" fillId="0" borderId="10" xfId="0" applyFont="1" applyBorder="1" applyAlignment="1">
      <alignment horizontal="center" vertical="center"/>
    </xf>
    <xf numFmtId="172" fontId="0" fillId="3" borderId="10" xfId="0" applyNumberFormat="1" applyFont="1" applyFill="1" applyBorder="1" applyAlignment="1">
      <alignment horizontal="center" vertical="center"/>
    </xf>
    <xf numFmtId="0" fontId="2" fillId="0" borderId="0" xfId="0" applyFont="1" applyBorder="1" applyAlignment="1">
      <alignment horizontal="center" vertical="center"/>
    </xf>
    <xf numFmtId="171" fontId="2" fillId="0" borderId="0" xfId="0" applyNumberFormat="1" applyFont="1" applyBorder="1" applyAlignment="1">
      <alignment horizontal="center" vertical="center"/>
    </xf>
    <xf numFmtId="172" fontId="0" fillId="0" borderId="0" xfId="0" applyNumberFormat="1" applyFont="1" applyBorder="1" applyAlignment="1">
      <alignment horizontal="center" vertical="center"/>
    </xf>
    <xf numFmtId="175" fontId="1" fillId="0" borderId="0" xfId="0" applyNumberFormat="1" applyFont="1" applyBorder="1" applyAlignment="1">
      <alignment horizontal="center" vertical="center"/>
    </xf>
    <xf numFmtId="170" fontId="0" fillId="0" borderId="12" xfId="0" applyNumberFormat="1" applyFont="1" applyBorder="1" applyAlignment="1">
      <alignment horizontal="center" vertical="center"/>
    </xf>
    <xf numFmtId="173" fontId="0" fillId="0" borderId="14" xfId="0" applyNumberFormat="1" applyFont="1" applyBorder="1" applyAlignment="1">
      <alignment horizontal="center" vertical="center"/>
    </xf>
    <xf numFmtId="170" fontId="0" fillId="0" borderId="10" xfId="0" applyNumberFormat="1" applyFont="1" applyBorder="1" applyAlignment="1">
      <alignment horizontal="center" vertical="center"/>
    </xf>
    <xf numFmtId="0" fontId="1" fillId="0" borderId="0" xfId="0" applyFont="1" applyBorder="1" applyAlignment="1">
      <alignment horizontal="center" vertical="center"/>
    </xf>
    <xf numFmtId="171" fontId="0" fillId="0" borderId="0" xfId="0" applyNumberFormat="1" applyFont="1" applyAlignment="1">
      <alignment horizontal="center" vertical="center"/>
    </xf>
    <xf numFmtId="172" fontId="0" fillId="0" borderId="0" xfId="0" applyNumberFormat="1" applyFont="1" applyAlignment="1">
      <alignment horizontal="center" vertical="center"/>
    </xf>
    <xf numFmtId="0" fontId="0" fillId="3" borderId="0" xfId="0" applyFont="1" applyFill="1" applyAlignment="1">
      <alignment horizontal="center" vertical="center"/>
    </xf>
    <xf numFmtId="9" fontId="0" fillId="3" borderId="0" xfId="0" applyNumberFormat="1" applyFont="1" applyFill="1" applyAlignment="1">
      <alignment horizontal="center" vertical="center"/>
    </xf>
    <xf numFmtId="0" fontId="0" fillId="13" borderId="12" xfId="0" applyFont="1" applyFill="1" applyBorder="1" applyAlignment="1">
      <alignment horizontal="center" vertical="center"/>
    </xf>
    <xf numFmtId="177" fontId="0" fillId="13" borderId="12" xfId="0" applyNumberFormat="1" applyFont="1" applyFill="1" applyBorder="1" applyAlignment="1">
      <alignment horizontal="center" vertical="center"/>
    </xf>
    <xf numFmtId="174" fontId="0" fillId="3" borderId="10" xfId="0" applyNumberFormat="1" applyFont="1" applyFill="1" applyBorder="1" applyAlignment="1">
      <alignment horizontal="center" vertical="center"/>
    </xf>
    <xf numFmtId="0" fontId="10" fillId="0" borderId="0" xfId="0" applyFont="1" applyBorder="1" applyAlignment="1">
      <alignment horizontal="center" vertical="center" wrapText="1"/>
    </xf>
    <xf numFmtId="177" fontId="10" fillId="0" borderId="0" xfId="0" applyNumberFormat="1" applyFont="1" applyBorder="1" applyAlignment="1">
      <alignment horizontal="center" vertical="center" wrapText="1"/>
    </xf>
    <xf numFmtId="170" fontId="0" fillId="0" borderId="0" xfId="0" applyNumberFormat="1" applyFont="1" applyBorder="1" applyAlignment="1">
      <alignment horizontal="center" vertical="center"/>
    </xf>
    <xf numFmtId="9" fontId="2" fillId="0" borderId="10" xfId="0" applyNumberFormat="1" applyFont="1" applyFill="1" applyBorder="1" applyAlignment="1">
      <alignment horizontal="center" vertical="center" wrapText="1"/>
    </xf>
    <xf numFmtId="0" fontId="2" fillId="0" borderId="0" xfId="0" applyFont="1" applyBorder="1" applyAlignment="1">
      <alignment horizontal="center" vertical="center" wrapText="1"/>
    </xf>
    <xf numFmtId="0" fontId="0" fillId="0" borderId="0" xfId="0" applyFont="1" applyAlignment="1">
      <alignment horizontal="center" vertical="center" wrapText="1"/>
    </xf>
    <xf numFmtId="0" fontId="0" fillId="13" borderId="12" xfId="0" applyFont="1" applyFill="1" applyBorder="1" applyAlignment="1">
      <alignment horizontal="center" vertical="center" wrapText="1"/>
    </xf>
    <xf numFmtId="0" fontId="0" fillId="0" borderId="0" xfId="0" applyFont="1" applyBorder="1" applyAlignment="1">
      <alignment horizontal="center" vertical="center" wrapText="1"/>
    </xf>
    <xf numFmtId="0" fontId="28" fillId="11" borderId="35" xfId="0" applyFont="1" applyFill="1" applyBorder="1" applyAlignment="1">
      <alignment horizontal="center" vertical="center"/>
    </xf>
    <xf numFmtId="176" fontId="14" fillId="11" borderId="37" xfId="0" applyNumberFormat="1" applyFont="1" applyFill="1" applyBorder="1" applyAlignment="1">
      <alignment horizontal="center" vertical="center"/>
    </xf>
    <xf numFmtId="0" fontId="0" fillId="14" borderId="12" xfId="0" applyFill="1" applyBorder="1" applyAlignment="1">
      <alignment horizontal="center" vertical="center"/>
    </xf>
    <xf numFmtId="0" fontId="0" fillId="2" borderId="12" xfId="0" applyFill="1" applyBorder="1" applyAlignment="1">
      <alignment horizontal="center" vertical="center"/>
    </xf>
    <xf numFmtId="0" fontId="0" fillId="14" borderId="23" xfId="0" applyFill="1" applyBorder="1" applyAlignment="1">
      <alignment horizontal="center" vertical="center"/>
    </xf>
    <xf numFmtId="0" fontId="0" fillId="15" borderId="12" xfId="0" applyFill="1" applyBorder="1" applyAlignment="1">
      <alignment horizontal="center"/>
    </xf>
    <xf numFmtId="0" fontId="0" fillId="15" borderId="12" xfId="0" applyFill="1" applyBorder="1" applyAlignment="1">
      <alignment horizontal="center" vertical="center"/>
    </xf>
    <xf numFmtId="0" fontId="0" fillId="2" borderId="23" xfId="0" applyFill="1" applyBorder="1" applyAlignment="1">
      <alignment horizontal="center" vertical="center"/>
    </xf>
    <xf numFmtId="179" fontId="0" fillId="0" borderId="0" xfId="0" applyNumberFormat="1"/>
    <xf numFmtId="0" fontId="0" fillId="0" borderId="0" xfId="0" applyFill="1"/>
    <xf numFmtId="0" fontId="0" fillId="0" borderId="12" xfId="0" applyFill="1" applyBorder="1"/>
    <xf numFmtId="180" fontId="0" fillId="0" borderId="12" xfId="0" applyNumberFormat="1" applyFill="1" applyBorder="1" applyAlignment="1">
      <alignment horizontal="center" vertical="center"/>
    </xf>
    <xf numFmtId="171" fontId="0" fillId="0" borderId="1" xfId="0" applyNumberFormat="1" applyFont="1" applyFill="1" applyBorder="1" applyAlignment="1">
      <alignment horizontal="center" vertical="center"/>
    </xf>
    <xf numFmtId="0" fontId="38" fillId="8" borderId="7" xfId="0" applyFont="1" applyFill="1" applyBorder="1" applyAlignment="1">
      <alignment horizontal="center" vertical="center" wrapText="1"/>
    </xf>
    <xf numFmtId="0" fontId="40" fillId="8" borderId="7" xfId="0" applyFont="1" applyFill="1" applyBorder="1" applyAlignment="1">
      <alignment horizontal="center" vertical="center"/>
    </xf>
    <xf numFmtId="172" fontId="38" fillId="8" borderId="7" xfId="0" applyNumberFormat="1" applyFont="1" applyFill="1" applyBorder="1" applyAlignment="1">
      <alignment horizontal="center" vertical="center"/>
    </xf>
    <xf numFmtId="171" fontId="38" fillId="8" borderId="7" xfId="0" applyNumberFormat="1" applyFont="1" applyFill="1" applyBorder="1" applyAlignment="1">
      <alignment horizontal="center" vertical="center"/>
    </xf>
    <xf numFmtId="177" fontId="38" fillId="8" borderId="7" xfId="0" applyNumberFormat="1" applyFont="1" applyFill="1" applyBorder="1" applyAlignment="1">
      <alignment horizontal="center" vertical="center"/>
    </xf>
    <xf numFmtId="174" fontId="38" fillId="8" borderId="7" xfId="0" applyNumberFormat="1" applyFont="1" applyFill="1" applyBorder="1" applyAlignment="1">
      <alignment horizontal="center" vertical="center"/>
    </xf>
    <xf numFmtId="178" fontId="0" fillId="3" borderId="10" xfId="0" applyNumberFormat="1" applyFont="1" applyFill="1" applyBorder="1" applyAlignment="1">
      <alignment horizontal="center" vertical="center"/>
    </xf>
    <xf numFmtId="0" fontId="2" fillId="0" borderId="31" xfId="0" applyFont="1" applyBorder="1" applyAlignment="1">
      <alignment horizontal="center" vertical="center"/>
    </xf>
    <xf numFmtId="0" fontId="42" fillId="0" borderId="23" xfId="0" applyFont="1" applyBorder="1" applyAlignment="1">
      <alignment horizontal="center" vertical="center"/>
    </xf>
    <xf numFmtId="0" fontId="42" fillId="0" borderId="48" xfId="0" applyFont="1" applyBorder="1" applyAlignment="1">
      <alignment horizontal="center" vertical="center"/>
    </xf>
    <xf numFmtId="0" fontId="42" fillId="0" borderId="4" xfId="0" applyFont="1" applyFill="1" applyBorder="1" applyAlignment="1">
      <alignment horizontal="center" vertical="center"/>
    </xf>
    <xf numFmtId="0" fontId="0" fillId="0" borderId="0" xfId="0" applyAlignment="1"/>
    <xf numFmtId="0" fontId="0" fillId="0" borderId="51" xfId="0" applyBorder="1" applyAlignment="1"/>
    <xf numFmtId="0" fontId="12" fillId="8" borderId="30" xfId="0" applyFont="1" applyFill="1" applyBorder="1" applyAlignment="1">
      <alignment horizontal="center" vertical="center" wrapText="1"/>
    </xf>
    <xf numFmtId="0" fontId="10" fillId="8" borderId="31" xfId="0" applyFont="1" applyFill="1" applyBorder="1" applyAlignment="1">
      <alignment horizontal="center" vertical="center"/>
    </xf>
    <xf numFmtId="0" fontId="10" fillId="8" borderId="11" xfId="0" applyFont="1" applyFill="1" applyBorder="1" applyAlignment="1">
      <alignment horizontal="center" vertical="center" wrapText="1"/>
    </xf>
    <xf numFmtId="0" fontId="10" fillId="8" borderId="9"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Alignment="1">
      <alignment horizontal="left" vertical="center"/>
    </xf>
    <xf numFmtId="0" fontId="0" fillId="0" borderId="1" xfId="0" applyFont="1" applyFill="1" applyBorder="1" applyAlignment="1">
      <alignment horizontal="center" vertical="center"/>
    </xf>
    <xf numFmtId="174" fontId="0" fillId="0" borderId="23" xfId="0" applyNumberFormat="1" applyBorder="1" applyAlignment="1">
      <alignment horizontal="center" vertical="center"/>
    </xf>
    <xf numFmtId="0" fontId="12" fillId="8" borderId="8" xfId="0" applyFont="1" applyFill="1" applyBorder="1" applyAlignment="1">
      <alignment horizontal="center" vertical="center"/>
    </xf>
    <xf numFmtId="0" fontId="10" fillId="8" borderId="31" xfId="0" applyFont="1" applyFill="1" applyBorder="1" applyAlignment="1">
      <alignment horizontal="center" vertical="center" wrapText="1"/>
    </xf>
    <xf numFmtId="177" fontId="10" fillId="8" borderId="10" xfId="0" applyNumberFormat="1" applyFont="1" applyFill="1" applyBorder="1" applyAlignment="1">
      <alignment horizontal="center" vertical="center"/>
    </xf>
    <xf numFmtId="0" fontId="10" fillId="8" borderId="10" xfId="0" applyFont="1" applyFill="1" applyBorder="1" applyAlignment="1">
      <alignment horizontal="center" vertical="center"/>
    </xf>
    <xf numFmtId="171" fontId="10" fillId="8" borderId="10" xfId="0" applyNumberFormat="1" applyFont="1" applyFill="1" applyBorder="1" applyAlignment="1">
      <alignment horizontal="center" vertical="center"/>
    </xf>
    <xf numFmtId="172" fontId="10" fillId="8" borderId="10" xfId="0" applyNumberFormat="1" applyFont="1" applyFill="1" applyBorder="1" applyAlignment="1">
      <alignment horizontal="center" vertical="center"/>
    </xf>
    <xf numFmtId="170" fontId="10" fillId="8" borderId="10" xfId="0" applyNumberFormat="1" applyFont="1" applyFill="1" applyBorder="1" applyAlignment="1">
      <alignment horizontal="center" vertical="center"/>
    </xf>
    <xf numFmtId="170" fontId="10" fillId="8" borderId="53" xfId="0" applyNumberFormat="1" applyFont="1" applyFill="1" applyBorder="1" applyAlignment="1">
      <alignment horizontal="center" vertical="center"/>
    </xf>
    <xf numFmtId="0" fontId="10" fillId="8" borderId="11" xfId="0" applyFont="1" applyFill="1" applyBorder="1" applyAlignment="1">
      <alignment horizontal="center" vertical="center"/>
    </xf>
    <xf numFmtId="0" fontId="38" fillId="8" borderId="30" xfId="0" applyFont="1" applyFill="1" applyBorder="1" applyAlignment="1">
      <alignment horizontal="center" vertical="center"/>
    </xf>
    <xf numFmtId="0" fontId="38" fillId="8" borderId="7" xfId="0" applyFont="1" applyFill="1" applyBorder="1" applyAlignment="1">
      <alignment horizontal="center" vertical="center"/>
    </xf>
    <xf numFmtId="0" fontId="0" fillId="13" borderId="1" xfId="0" applyFont="1" applyFill="1" applyBorder="1" applyAlignment="1">
      <alignment horizontal="center" vertical="center"/>
    </xf>
    <xf numFmtId="0" fontId="1" fillId="0" borderId="0" xfId="0" applyFont="1" applyAlignment="1">
      <alignment horizontal="left" vertical="center" wrapText="1"/>
    </xf>
    <xf numFmtId="0" fontId="2" fillId="0" borderId="9" xfId="0" applyFont="1" applyBorder="1" applyAlignment="1">
      <alignment horizontal="left" vertical="center"/>
    </xf>
    <xf numFmtId="0" fontId="2" fillId="0" borderId="0" xfId="0" applyFont="1" applyBorder="1" applyAlignment="1">
      <alignment horizontal="left" vertical="center"/>
    </xf>
    <xf numFmtId="0" fontId="0" fillId="0" borderId="0" xfId="0" applyFont="1" applyBorder="1" applyAlignment="1">
      <alignment horizontal="left" vertical="center"/>
    </xf>
    <xf numFmtId="0" fontId="0" fillId="0" borderId="5" xfId="0" applyFont="1" applyFill="1" applyBorder="1" applyAlignment="1">
      <alignment horizontal="center" vertical="center"/>
    </xf>
    <xf numFmtId="175" fontId="0" fillId="0" borderId="0" xfId="0" applyNumberFormat="1" applyFont="1" applyAlignment="1">
      <alignment horizontal="center" vertical="center"/>
    </xf>
    <xf numFmtId="0" fontId="45" fillId="16" borderId="12" xfId="0" applyFont="1" applyFill="1" applyBorder="1" applyAlignment="1">
      <alignment horizontal="center"/>
    </xf>
    <xf numFmtId="0" fontId="45" fillId="16" borderId="12" xfId="0" applyFont="1" applyFill="1" applyBorder="1" applyAlignment="1">
      <alignment horizontal="center" vertical="center"/>
    </xf>
    <xf numFmtId="0" fontId="44" fillId="16" borderId="43" xfId="0" applyFont="1" applyFill="1" applyBorder="1" applyAlignment="1">
      <alignment horizontal="center" vertical="center"/>
    </xf>
    <xf numFmtId="0" fontId="45" fillId="16" borderId="43" xfId="0" applyFont="1" applyFill="1" applyBorder="1" applyAlignment="1">
      <alignment horizontal="center" vertical="center"/>
    </xf>
    <xf numFmtId="0" fontId="45" fillId="16" borderId="12" xfId="0" applyFont="1" applyFill="1" applyBorder="1" applyAlignment="1">
      <alignment horizontal="left" vertical="center" wrapText="1"/>
    </xf>
    <xf numFmtId="0" fontId="45" fillId="16" borderId="12" xfId="0" applyFont="1" applyFill="1" applyBorder="1" applyAlignment="1">
      <alignment horizontal="center" vertical="center" wrapText="1"/>
    </xf>
    <xf numFmtId="174" fontId="45" fillId="16" borderId="12" xfId="0" applyNumberFormat="1" applyFont="1" applyFill="1" applyBorder="1" applyAlignment="1">
      <alignment horizontal="center" vertical="center"/>
    </xf>
    <xf numFmtId="172" fontId="45" fillId="16" borderId="12" xfId="0" applyNumberFormat="1" applyFont="1" applyFill="1" applyBorder="1" applyAlignment="1">
      <alignment horizontal="center" vertical="center"/>
    </xf>
    <xf numFmtId="171" fontId="45" fillId="16" borderId="12" xfId="0" applyNumberFormat="1" applyFont="1" applyFill="1" applyBorder="1" applyAlignment="1">
      <alignment horizontal="center" vertical="center"/>
    </xf>
    <xf numFmtId="175" fontId="45" fillId="16" borderId="12" xfId="0" applyNumberFormat="1" applyFont="1" applyFill="1" applyBorder="1" applyAlignment="1">
      <alignment horizontal="center" vertical="center"/>
    </xf>
    <xf numFmtId="0" fontId="45" fillId="16" borderId="23" xfId="0" applyFont="1" applyFill="1" applyBorder="1" applyAlignment="1">
      <alignment horizontal="center"/>
    </xf>
    <xf numFmtId="0" fontId="45" fillId="16" borderId="23" xfId="0" applyFont="1" applyFill="1" applyBorder="1" applyAlignment="1">
      <alignment horizontal="center" vertical="center"/>
    </xf>
    <xf numFmtId="0" fontId="13" fillId="0" borderId="4" xfId="0" applyFont="1" applyBorder="1" applyAlignment="1">
      <alignment horizontal="center" vertical="center" wrapText="1"/>
    </xf>
    <xf numFmtId="0" fontId="32" fillId="0" borderId="23" xfId="0" applyFont="1" applyBorder="1" applyAlignment="1">
      <alignment horizontal="center" vertical="center"/>
    </xf>
    <xf numFmtId="181" fontId="42" fillId="0" borderId="23" xfId="0" applyNumberFormat="1" applyFont="1" applyBorder="1" applyAlignment="1">
      <alignment horizontal="center" vertical="center"/>
    </xf>
    <xf numFmtId="181" fontId="0" fillId="15" borderId="12" xfId="0" applyNumberFormat="1" applyFill="1" applyBorder="1" applyAlignment="1">
      <alignment horizontal="center" vertical="center"/>
    </xf>
    <xf numFmtId="181" fontId="0" fillId="14" borderId="12" xfId="0" applyNumberFormat="1" applyFill="1" applyBorder="1" applyAlignment="1">
      <alignment horizontal="center" vertical="center"/>
    </xf>
    <xf numFmtId="181" fontId="0" fillId="2" borderId="12" xfId="0" applyNumberFormat="1" applyFill="1" applyBorder="1" applyAlignment="1">
      <alignment horizontal="center" vertical="center"/>
    </xf>
    <xf numFmtId="181" fontId="45" fillId="16" borderId="12" xfId="0" applyNumberFormat="1" applyFont="1" applyFill="1" applyBorder="1" applyAlignment="1">
      <alignment horizontal="center" vertical="center"/>
    </xf>
    <xf numFmtId="181" fontId="0" fillId="0" borderId="12" xfId="9" applyNumberFormat="1" applyFont="1" applyBorder="1" applyAlignment="1">
      <alignment horizontal="center" vertical="center"/>
    </xf>
    <xf numFmtId="181" fontId="0" fillId="0" borderId="12" xfId="0" applyNumberFormat="1" applyBorder="1" applyAlignment="1">
      <alignment horizontal="center" vertical="center"/>
    </xf>
    <xf numFmtId="181" fontId="45" fillId="16" borderId="12" xfId="0" applyNumberFormat="1" applyFont="1" applyFill="1" applyBorder="1" applyAlignment="1">
      <alignment horizontal="center" vertical="center" wrapText="1"/>
    </xf>
    <xf numFmtId="181" fontId="0" fillId="0" borderId="0" xfId="0" applyNumberFormat="1" applyAlignment="1">
      <alignment horizontal="center" vertical="center"/>
    </xf>
    <xf numFmtId="174" fontId="0" fillId="15" borderId="12" xfId="0" applyNumberFormat="1" applyFill="1" applyBorder="1" applyAlignment="1">
      <alignment horizontal="center" vertical="center"/>
    </xf>
    <xf numFmtId="174" fontId="0" fillId="15" borderId="5" xfId="0" applyNumberFormat="1" applyFill="1" applyBorder="1" applyAlignment="1">
      <alignment horizontal="center" vertical="center"/>
    </xf>
    <xf numFmtId="174" fontId="0" fillId="14" borderId="12" xfId="0" applyNumberFormat="1" applyFill="1" applyBorder="1" applyAlignment="1">
      <alignment horizontal="center" vertical="center"/>
    </xf>
    <xf numFmtId="174" fontId="0" fillId="14" borderId="5" xfId="0" applyNumberFormat="1" applyFill="1" applyBorder="1" applyAlignment="1">
      <alignment horizontal="center" vertical="center"/>
    </xf>
    <xf numFmtId="174" fontId="0" fillId="2" borderId="12" xfId="0" applyNumberFormat="1" applyFill="1" applyBorder="1" applyAlignment="1">
      <alignment horizontal="center" vertical="center"/>
    </xf>
    <xf numFmtId="174" fontId="45" fillId="16" borderId="5" xfId="0" applyNumberFormat="1" applyFont="1" applyFill="1" applyBorder="1" applyAlignment="1">
      <alignment horizontal="center" vertical="center"/>
    </xf>
    <xf numFmtId="9" fontId="0" fillId="3" borderId="54" xfId="0" applyNumberFormat="1" applyFont="1" applyFill="1" applyBorder="1" applyAlignment="1">
      <alignment horizontal="center" vertical="center"/>
    </xf>
    <xf numFmtId="0" fontId="45" fillId="16" borderId="12" xfId="9" applyFont="1" applyFill="1" applyBorder="1" applyAlignment="1">
      <alignment horizontal="center" vertical="center"/>
    </xf>
    <xf numFmtId="181" fontId="45" fillId="16" borderId="12" xfId="9" applyNumberFormat="1" applyFont="1" applyFill="1" applyBorder="1" applyAlignment="1">
      <alignment horizontal="center" vertical="center"/>
    </xf>
    <xf numFmtId="180" fontId="45" fillId="16" borderId="12" xfId="0" applyNumberFormat="1" applyFont="1" applyFill="1" applyBorder="1" applyAlignment="1">
      <alignment horizontal="center" vertical="center"/>
    </xf>
    <xf numFmtId="180" fontId="0" fillId="0" borderId="12" xfId="0" applyNumberFormat="1" applyBorder="1" applyAlignment="1">
      <alignment horizontal="center" vertical="center"/>
    </xf>
    <xf numFmtId="174" fontId="0" fillId="0" borderId="5" xfId="0" applyNumberFormat="1" applyBorder="1" applyAlignment="1">
      <alignment horizontal="center" vertical="center"/>
    </xf>
    <xf numFmtId="0" fontId="38" fillId="8" borderId="55" xfId="0" applyFont="1" applyFill="1" applyBorder="1" applyAlignment="1">
      <alignment horizontal="left" vertical="center"/>
    </xf>
    <xf numFmtId="0" fontId="45" fillId="16" borderId="33" xfId="0" applyFont="1" applyFill="1" applyBorder="1" applyAlignment="1">
      <alignment horizontal="center" vertical="center"/>
    </xf>
    <xf numFmtId="0" fontId="45" fillId="15" borderId="12" xfId="0" applyFont="1" applyFill="1" applyBorder="1" applyAlignment="1">
      <alignment horizontal="center" vertical="center"/>
    </xf>
    <xf numFmtId="182" fontId="13" fillId="0" borderId="12" xfId="0" applyNumberFormat="1" applyFont="1" applyBorder="1" applyAlignment="1">
      <alignment horizontal="center" vertical="center" wrapText="1"/>
    </xf>
    <xf numFmtId="182" fontId="13" fillId="0" borderId="4" xfId="0" applyNumberFormat="1" applyFont="1" applyBorder="1" applyAlignment="1">
      <alignment horizontal="center" vertical="center" wrapText="1"/>
    </xf>
    <xf numFmtId="182" fontId="36" fillId="0" borderId="8" xfId="0" applyNumberFormat="1" applyFont="1" applyBorder="1" applyAlignment="1">
      <alignment horizontal="center" vertical="center"/>
    </xf>
    <xf numFmtId="182" fontId="34" fillId="0" borderId="14" xfId="0" applyNumberFormat="1" applyFont="1" applyBorder="1" applyAlignment="1">
      <alignment horizontal="center" vertical="center"/>
    </xf>
    <xf numFmtId="182" fontId="36" fillId="0" borderId="11" xfId="0" applyNumberFormat="1" applyFont="1" applyBorder="1" applyAlignment="1">
      <alignment horizontal="center" vertical="center"/>
    </xf>
    <xf numFmtId="182" fontId="23" fillId="11" borderId="0" xfId="0" applyNumberFormat="1" applyFont="1" applyFill="1" applyAlignment="1">
      <alignment horizontal="center" vertical="center"/>
    </xf>
    <xf numFmtId="0" fontId="10" fillId="0" borderId="0" xfId="0" applyFont="1" applyAlignment="1">
      <alignment horizontal="center" vertical="center" wrapText="1"/>
    </xf>
    <xf numFmtId="0" fontId="12" fillId="8" borderId="7" xfId="0" applyFont="1" applyFill="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48" fillId="16" borderId="12" xfId="0" applyFont="1" applyFill="1" applyBorder="1" applyAlignment="1">
      <alignment horizontal="center" vertical="center"/>
    </xf>
    <xf numFmtId="0" fontId="0" fillId="5" borderId="12" xfId="0" applyFill="1" applyBorder="1" applyAlignment="1">
      <alignment horizontal="center" vertical="center" wrapText="1"/>
    </xf>
    <xf numFmtId="0" fontId="0" fillId="0" borderId="12" xfId="0" applyBorder="1" applyAlignment="1">
      <alignment horizontal="center" vertical="center"/>
    </xf>
    <xf numFmtId="0" fontId="0" fillId="0" borderId="51" xfId="0" applyBorder="1"/>
    <xf numFmtId="0" fontId="42" fillId="0" borderId="0" xfId="0" applyFont="1" applyAlignment="1">
      <alignment horizontal="center" vertical="center"/>
    </xf>
    <xf numFmtId="0" fontId="42" fillId="0" borderId="4" xfId="0" applyFont="1" applyBorder="1" applyAlignment="1">
      <alignment horizontal="center" vertical="center"/>
    </xf>
    <xf numFmtId="174" fontId="0" fillId="0" borderId="0" xfId="0" applyNumberFormat="1"/>
    <xf numFmtId="0" fontId="0" fillId="0" borderId="23" xfId="0" applyBorder="1" applyAlignment="1">
      <alignment horizontal="center"/>
    </xf>
    <xf numFmtId="0" fontId="45" fillId="0" borderId="0" xfId="0" applyFont="1"/>
    <xf numFmtId="181" fontId="0" fillId="0" borderId="23" xfId="0" applyNumberFormat="1" applyBorder="1" applyAlignment="1">
      <alignment horizontal="center" vertical="center"/>
    </xf>
    <xf numFmtId="179" fontId="0" fillId="0" borderId="12" xfId="0" applyNumberFormat="1" applyBorder="1" applyAlignment="1">
      <alignment horizontal="center" vertical="center" wrapText="1"/>
    </xf>
    <xf numFmtId="179" fontId="0" fillId="0" borderId="23" xfId="0" applyNumberFormat="1" applyBorder="1" applyAlignment="1">
      <alignment horizontal="center" vertical="center" wrapText="1"/>
    </xf>
    <xf numFmtId="0" fontId="0" fillId="0" borderId="12" xfId="0" applyFont="1" applyFill="1" applyBorder="1" applyAlignment="1">
      <alignment horizontal="left" vertical="center"/>
    </xf>
    <xf numFmtId="171" fontId="44" fillId="16" borderId="7" xfId="0" applyNumberFormat="1" applyFont="1" applyFill="1" applyBorder="1" applyAlignment="1">
      <alignment horizontal="center" vertical="center"/>
    </xf>
    <xf numFmtId="173" fontId="44" fillId="16" borderId="8" xfId="0" applyNumberFormat="1" applyFont="1" applyFill="1" applyBorder="1" applyAlignment="1">
      <alignment horizontal="center" vertical="center"/>
    </xf>
    <xf numFmtId="170" fontId="45" fillId="16" borderId="11" xfId="0" applyNumberFormat="1" applyFont="1" applyFill="1" applyBorder="1" applyAlignment="1">
      <alignment horizontal="center" vertical="center"/>
    </xf>
    <xf numFmtId="170" fontId="10" fillId="0" borderId="0" xfId="0" applyNumberFormat="1" applyFont="1" applyBorder="1" applyAlignment="1">
      <alignment horizontal="center" vertical="center" wrapText="1"/>
    </xf>
    <xf numFmtId="0" fontId="10" fillId="0" borderId="15" xfId="0" applyFont="1" applyBorder="1" applyAlignment="1">
      <alignment horizontal="center" vertical="center" wrapText="1"/>
    </xf>
    <xf numFmtId="0" fontId="10" fillId="0" borderId="30"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50" xfId="0" applyFont="1" applyBorder="1" applyAlignment="1">
      <alignment horizontal="center" vertical="center" wrapText="1"/>
    </xf>
    <xf numFmtId="0" fontId="10" fillId="0" borderId="31" xfId="0" applyFont="1" applyBorder="1" applyAlignment="1">
      <alignment horizontal="center" vertical="center" wrapText="1"/>
    </xf>
    <xf numFmtId="0" fontId="0" fillId="0" borderId="12" xfId="0" applyBorder="1" applyAlignment="1">
      <alignment horizontal="center" vertical="center"/>
    </xf>
    <xf numFmtId="0" fontId="0" fillId="0" borderId="12" xfId="0" applyFont="1" applyFill="1" applyBorder="1" applyAlignment="1">
      <alignment horizontal="left" vertical="center" wrapText="1"/>
    </xf>
    <xf numFmtId="0" fontId="32" fillId="16" borderId="23" xfId="0" applyFont="1" applyFill="1" applyBorder="1" applyAlignment="1">
      <alignment horizontal="center" vertical="center"/>
    </xf>
    <xf numFmtId="0" fontId="49" fillId="3" borderId="12" xfId="0" applyFont="1" applyFill="1" applyBorder="1" applyAlignment="1">
      <alignment horizontal="center"/>
    </xf>
    <xf numFmtId="0" fontId="10" fillId="0" borderId="0" xfId="0" applyFont="1" applyAlignment="1">
      <alignment horizontal="center" vertical="center" wrapText="1"/>
    </xf>
    <xf numFmtId="0" fontId="12" fillId="8" borderId="7" xfId="0" applyFont="1" applyFill="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0" xfId="0" applyAlignment="1">
      <alignment horizontal="center" vertical="center" wrapText="1"/>
    </xf>
    <xf numFmtId="0" fontId="0" fillId="0" borderId="43" xfId="0" applyBorder="1" applyAlignment="1">
      <alignment horizontal="center" vertical="center"/>
    </xf>
    <xf numFmtId="0" fontId="0" fillId="0" borderId="0" xfId="0" applyAlignment="1">
      <alignment horizontal="left" vertical="center"/>
    </xf>
    <xf numFmtId="171" fontId="0" fillId="0" borderId="0" xfId="0" applyNumberFormat="1" applyAlignment="1">
      <alignment horizontal="center" vertical="center"/>
    </xf>
    <xf numFmtId="172" fontId="0" fillId="0" borderId="0" xfId="0" applyNumberFormat="1" applyAlignment="1">
      <alignment horizontal="center" vertical="center"/>
    </xf>
    <xf numFmtId="0" fontId="0" fillId="3" borderId="0" xfId="0" applyFill="1" applyAlignment="1">
      <alignment horizontal="center" vertical="center"/>
    </xf>
    <xf numFmtId="9" fontId="0" fillId="3" borderId="0" xfId="0" applyNumberFormat="1" applyFill="1" applyAlignment="1">
      <alignment horizontal="center" vertical="center"/>
    </xf>
    <xf numFmtId="0" fontId="0" fillId="0" borderId="5" xfId="0" applyBorder="1" applyAlignment="1">
      <alignment horizontal="center" vertical="center"/>
    </xf>
    <xf numFmtId="0" fontId="45" fillId="16" borderId="13" xfId="0" applyFont="1" applyFill="1" applyBorder="1" applyAlignment="1">
      <alignment horizontal="center" vertical="center"/>
    </xf>
    <xf numFmtId="0" fontId="44" fillId="16" borderId="43" xfId="0" applyFont="1" applyFill="1" applyBorder="1" applyAlignment="1">
      <alignment horizontal="left" vertical="center"/>
    </xf>
    <xf numFmtId="175" fontId="45" fillId="16" borderId="5" xfId="0" applyNumberFormat="1" applyFont="1" applyFill="1" applyBorder="1" applyAlignment="1">
      <alignment horizontal="center" vertical="center"/>
    </xf>
    <xf numFmtId="175" fontId="1" fillId="0" borderId="25" xfId="0" applyNumberFormat="1" applyFont="1" applyBorder="1" applyAlignment="1">
      <alignment horizontal="center" vertical="center"/>
    </xf>
    <xf numFmtId="175" fontId="1" fillId="0" borderId="26" xfId="0" applyNumberFormat="1" applyFont="1" applyBorder="1" applyAlignment="1">
      <alignment horizontal="center" vertical="center"/>
    </xf>
    <xf numFmtId="0" fontId="0" fillId="0" borderId="55" xfId="0" applyBorder="1" applyAlignment="1">
      <alignment horizontal="center" vertical="center"/>
    </xf>
    <xf numFmtId="0" fontId="38" fillId="0" borderId="43" xfId="0" applyFont="1" applyBorder="1" applyAlignment="1">
      <alignment horizontal="center" vertical="center"/>
    </xf>
    <xf numFmtId="0" fontId="0" fillId="0" borderId="23" xfId="0" applyBorder="1" applyAlignment="1">
      <alignment horizontal="left" vertical="center" wrapText="1"/>
    </xf>
    <xf numFmtId="0" fontId="0" fillId="2" borderId="23" xfId="0" applyFill="1" applyBorder="1" applyAlignment="1">
      <alignment horizontal="center" vertical="center" wrapText="1"/>
    </xf>
    <xf numFmtId="0" fontId="0" fillId="11" borderId="23" xfId="0" applyFill="1" applyBorder="1" applyAlignment="1">
      <alignment horizontal="center" vertical="center"/>
    </xf>
    <xf numFmtId="172" fontId="0" fillId="0" borderId="23" xfId="0" applyNumberFormat="1" applyBorder="1" applyAlignment="1">
      <alignment horizontal="center" vertical="center"/>
    </xf>
    <xf numFmtId="171" fontId="0" fillId="0" borderId="23" xfId="0" applyNumberFormat="1" applyBorder="1" applyAlignment="1">
      <alignment horizontal="center" vertical="center"/>
    </xf>
    <xf numFmtId="0" fontId="0" fillId="0" borderId="12" xfId="0" applyBorder="1" applyAlignment="1">
      <alignment horizontal="center" vertical="center" wrapText="1"/>
    </xf>
    <xf numFmtId="172" fontId="0" fillId="0" borderId="12" xfId="0" applyNumberFormat="1" applyBorder="1" applyAlignment="1">
      <alignment horizontal="center" vertical="center"/>
    </xf>
    <xf numFmtId="171" fontId="0" fillId="0" borderId="12" xfId="0" applyNumberFormat="1" applyBorder="1" applyAlignment="1">
      <alignment horizontal="center" vertical="center"/>
    </xf>
    <xf numFmtId="0" fontId="0" fillId="0" borderId="12" xfId="9" applyFont="1" applyBorder="1" applyAlignment="1">
      <alignment horizontal="center" vertical="center" wrapText="1"/>
    </xf>
    <xf numFmtId="0" fontId="0" fillId="0" borderId="12" xfId="9" applyFont="1" applyBorder="1" applyAlignment="1">
      <alignment horizontal="left" vertical="center" wrapText="1"/>
    </xf>
    <xf numFmtId="0" fontId="0" fillId="0" borderId="12" xfId="0" applyBorder="1" applyAlignment="1">
      <alignment horizontal="left" vertical="center" wrapText="1"/>
    </xf>
    <xf numFmtId="180" fontId="0" fillId="0" borderId="12" xfId="0" applyNumberFormat="1" applyBorder="1" applyAlignment="1">
      <alignment horizontal="left" vertical="center"/>
    </xf>
    <xf numFmtId="0" fontId="0" fillId="2" borderId="12" xfId="0" applyFill="1" applyBorder="1" applyAlignment="1">
      <alignment horizontal="center" vertical="center" wrapText="1"/>
    </xf>
    <xf numFmtId="0" fontId="0" fillId="0" borderId="12" xfId="0" applyBorder="1" applyAlignment="1">
      <alignment horizontal="left" vertical="center"/>
    </xf>
    <xf numFmtId="0" fontId="38" fillId="0" borderId="43" xfId="0" applyFont="1" applyBorder="1" applyAlignment="1">
      <alignment horizontal="center" vertical="center" wrapText="1"/>
    </xf>
    <xf numFmtId="0" fontId="38" fillId="3" borderId="43" xfId="0" applyFont="1" applyFill="1" applyBorder="1" applyAlignment="1">
      <alignment horizontal="center" vertical="center"/>
    </xf>
    <xf numFmtId="0" fontId="38" fillId="0" borderId="12" xfId="0" applyFont="1" applyBorder="1" applyAlignment="1">
      <alignment horizontal="center" vertical="center" wrapText="1"/>
    </xf>
    <xf numFmtId="0" fontId="38" fillId="0" borderId="12" xfId="0" applyFont="1" applyBorder="1" applyAlignment="1">
      <alignment horizontal="center" vertical="center"/>
    </xf>
    <xf numFmtId="0" fontId="38" fillId="14" borderId="43" xfId="0" applyFont="1" applyFill="1" applyBorder="1" applyAlignment="1">
      <alignment horizontal="center" vertical="center"/>
    </xf>
    <xf numFmtId="0" fontId="0" fillId="17" borderId="55" xfId="0" applyFill="1" applyBorder="1" applyAlignment="1">
      <alignment horizontal="center" vertical="center"/>
    </xf>
    <xf numFmtId="0" fontId="38" fillId="17" borderId="43" xfId="0" applyFont="1" applyFill="1" applyBorder="1" applyAlignment="1">
      <alignment horizontal="center" vertical="center"/>
    </xf>
    <xf numFmtId="0" fontId="0" fillId="17" borderId="43" xfId="0" applyFill="1" applyBorder="1" applyAlignment="1">
      <alignment horizontal="center" vertical="center"/>
    </xf>
    <xf numFmtId="0" fontId="0" fillId="17" borderId="23" xfId="0" applyFill="1" applyBorder="1" applyAlignment="1">
      <alignment horizontal="left" vertical="center" wrapText="1"/>
    </xf>
    <xf numFmtId="0" fontId="0" fillId="17" borderId="23" xfId="0" applyFill="1" applyBorder="1" applyAlignment="1">
      <alignment horizontal="center" vertical="center" wrapText="1"/>
    </xf>
    <xf numFmtId="0" fontId="0" fillId="17" borderId="23" xfId="0" applyFill="1" applyBorder="1" applyAlignment="1">
      <alignment horizontal="center" vertical="center"/>
    </xf>
    <xf numFmtId="174" fontId="0" fillId="17" borderId="23" xfId="0" applyNumberFormat="1" applyFill="1" applyBorder="1" applyAlignment="1">
      <alignment horizontal="center" vertical="center"/>
    </xf>
    <xf numFmtId="172" fontId="0" fillId="17" borderId="23" xfId="0" applyNumberFormat="1" applyFill="1" applyBorder="1" applyAlignment="1">
      <alignment horizontal="center" vertical="center"/>
    </xf>
    <xf numFmtId="171" fontId="0" fillId="17" borderId="23" xfId="0" applyNumberFormat="1" applyFill="1" applyBorder="1" applyAlignment="1">
      <alignment horizontal="center" vertical="center"/>
    </xf>
    <xf numFmtId="175" fontId="0" fillId="17" borderId="23" xfId="0" applyNumberFormat="1" applyFill="1" applyBorder="1" applyAlignment="1">
      <alignment horizontal="center" vertical="center"/>
    </xf>
    <xf numFmtId="0" fontId="0" fillId="5" borderId="23" xfId="0" applyFill="1" applyBorder="1" applyAlignment="1">
      <alignment horizontal="center" vertical="center" wrapText="1"/>
    </xf>
    <xf numFmtId="0" fontId="0" fillId="0" borderId="12" xfId="0" applyBorder="1" applyAlignment="1">
      <alignment vertical="center"/>
    </xf>
    <xf numFmtId="0" fontId="0" fillId="0" borderId="1" xfId="0" applyBorder="1" applyAlignment="1">
      <alignment horizontal="center" vertical="center"/>
    </xf>
    <xf numFmtId="0" fontId="0" fillId="0" borderId="56" xfId="0" applyBorder="1" applyAlignment="1">
      <alignment horizontal="left" vertical="center"/>
    </xf>
    <xf numFmtId="0" fontId="0" fillId="0" borderId="56" xfId="0" applyBorder="1" applyAlignment="1">
      <alignment horizontal="center" vertical="center"/>
    </xf>
    <xf numFmtId="0" fontId="0" fillId="0" borderId="4" xfId="0" applyBorder="1" applyAlignment="1">
      <alignment horizontal="center" vertical="center" wrapText="1"/>
    </xf>
    <xf numFmtId="174" fontId="0" fillId="0" borderId="4" xfId="0" applyNumberFormat="1" applyBorder="1" applyAlignment="1">
      <alignment horizontal="center" vertical="center"/>
    </xf>
    <xf numFmtId="172" fontId="0" fillId="0" borderId="4" xfId="0" applyNumberFormat="1" applyBorder="1" applyAlignment="1">
      <alignment horizontal="center" vertical="center"/>
    </xf>
    <xf numFmtId="171" fontId="0" fillId="0" borderId="4" xfId="0" applyNumberFormat="1" applyBorder="1" applyAlignment="1">
      <alignment horizontal="center" vertical="center"/>
    </xf>
    <xf numFmtId="0" fontId="38" fillId="8" borderId="6" xfId="0" applyFont="1" applyFill="1" applyBorder="1" applyAlignment="1">
      <alignment horizontal="left" vertical="center"/>
    </xf>
    <xf numFmtId="171" fontId="0" fillId="0" borderId="1" xfId="0" applyNumberFormat="1" applyBorder="1" applyAlignment="1">
      <alignment horizontal="center" vertical="center"/>
    </xf>
    <xf numFmtId="0" fontId="0" fillId="13" borderId="13" xfId="0" applyFill="1" applyBorder="1" applyAlignment="1">
      <alignment horizontal="left" vertical="center"/>
    </xf>
    <xf numFmtId="0" fontId="0" fillId="13" borderId="1" xfId="0" applyFill="1" applyBorder="1" applyAlignment="1">
      <alignment horizontal="center" vertical="center"/>
    </xf>
    <xf numFmtId="0" fontId="0" fillId="13" borderId="12" xfId="0" applyFill="1" applyBorder="1" applyAlignment="1">
      <alignment horizontal="center" vertical="center" wrapText="1"/>
    </xf>
    <xf numFmtId="0" fontId="0" fillId="13" borderId="12" xfId="0" applyFill="1" applyBorder="1" applyAlignment="1">
      <alignment horizontal="center" vertical="center"/>
    </xf>
    <xf numFmtId="177" fontId="0" fillId="13" borderId="12" xfId="0" applyNumberFormat="1" applyFill="1" applyBorder="1" applyAlignment="1">
      <alignment horizontal="center" vertical="center"/>
    </xf>
    <xf numFmtId="172" fontId="0" fillId="13" borderId="12" xfId="0" applyNumberFormat="1" applyFill="1" applyBorder="1" applyAlignment="1">
      <alignment horizontal="center" vertical="center"/>
    </xf>
    <xf numFmtId="174" fontId="0" fillId="13" borderId="12" xfId="0" applyNumberFormat="1" applyFill="1" applyBorder="1" applyAlignment="1">
      <alignment horizontal="center" vertical="center"/>
    </xf>
    <xf numFmtId="171" fontId="0" fillId="13" borderId="12" xfId="0" applyNumberFormat="1" applyFill="1" applyBorder="1" applyAlignment="1">
      <alignment horizontal="center" vertical="center"/>
    </xf>
    <xf numFmtId="171" fontId="0" fillId="13" borderId="14" xfId="0" applyNumberFormat="1" applyFill="1" applyBorder="1" applyAlignment="1">
      <alignment horizontal="center" vertical="center"/>
    </xf>
    <xf numFmtId="9" fontId="2" fillId="0" borderId="10" xfId="0" applyNumberFormat="1" applyFont="1" applyBorder="1" applyAlignment="1">
      <alignment horizontal="center" vertical="center" wrapText="1"/>
    </xf>
    <xf numFmtId="172" fontId="0" fillId="3" borderId="10" xfId="0" applyNumberFormat="1" applyFill="1" applyBorder="1" applyAlignment="1">
      <alignment horizontal="center" vertical="center"/>
    </xf>
    <xf numFmtId="174" fontId="0" fillId="3" borderId="10" xfId="0" applyNumberFormat="1" applyFill="1" applyBorder="1" applyAlignment="1">
      <alignment horizontal="center" vertical="center"/>
    </xf>
    <xf numFmtId="178" fontId="0" fillId="3" borderId="10" xfId="0" applyNumberFormat="1" applyFill="1" applyBorder="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center" vertical="center" wrapText="1"/>
    </xf>
    <xf numFmtId="177" fontId="2" fillId="0" borderId="0" xfId="0" applyNumberFormat="1" applyFont="1" applyAlignment="1">
      <alignment horizontal="center" vertical="center"/>
    </xf>
    <xf numFmtId="171" fontId="2" fillId="0" borderId="0" xfId="0" applyNumberFormat="1" applyFont="1" applyAlignment="1">
      <alignment horizontal="center" vertical="center"/>
    </xf>
    <xf numFmtId="174" fontId="38" fillId="8" borderId="12" xfId="0" applyNumberFormat="1" applyFont="1" applyFill="1" applyBorder="1" applyAlignment="1">
      <alignment horizontal="center" vertical="center"/>
    </xf>
    <xf numFmtId="173" fontId="38" fillId="0" borderId="8" xfId="0" applyNumberFormat="1" applyFont="1" applyBorder="1" applyAlignment="1">
      <alignment horizontal="center" vertical="center"/>
    </xf>
    <xf numFmtId="170" fontId="0" fillId="0" borderId="12" xfId="0" applyNumberFormat="1" applyBorder="1" applyAlignment="1">
      <alignment horizontal="center" vertical="center"/>
    </xf>
    <xf numFmtId="173" fontId="0" fillId="0" borderId="14" xfId="0" applyNumberFormat="1" applyBorder="1" applyAlignment="1">
      <alignment horizontal="center" vertical="center"/>
    </xf>
    <xf numFmtId="170" fontId="0" fillId="0" borderId="10" xfId="0" applyNumberFormat="1" applyBorder="1" applyAlignment="1">
      <alignment horizontal="center" vertical="center"/>
    </xf>
    <xf numFmtId="170" fontId="0" fillId="0" borderId="11" xfId="0" applyNumberFormat="1" applyBorder="1" applyAlignment="1">
      <alignment horizontal="center" vertical="center"/>
    </xf>
    <xf numFmtId="170" fontId="0" fillId="0" borderId="0" xfId="0" applyNumberFormat="1" applyAlignment="1">
      <alignment horizontal="center" vertical="center"/>
    </xf>
    <xf numFmtId="177" fontId="0" fillId="0" borderId="0" xfId="0" applyNumberFormat="1" applyAlignment="1">
      <alignment horizontal="center" vertical="center"/>
    </xf>
    <xf numFmtId="0" fontId="45" fillId="16" borderId="0" xfId="0" applyFont="1" applyFill="1" applyAlignment="1">
      <alignment horizontal="center"/>
    </xf>
    <xf numFmtId="0" fontId="0" fillId="0" borderId="12" xfId="0" applyBorder="1" applyAlignment="1">
      <alignment horizontal="center" vertical="center"/>
    </xf>
    <xf numFmtId="174" fontId="45" fillId="16" borderId="12" xfId="0" applyNumberFormat="1" applyFont="1" applyFill="1" applyBorder="1"/>
    <xf numFmtId="174" fontId="45" fillId="16" borderId="23" xfId="0" applyNumberFormat="1" applyFont="1" applyFill="1" applyBorder="1"/>
    <xf numFmtId="0" fontId="0" fillId="0" borderId="12" xfId="0" applyFill="1" applyBorder="1" applyAlignment="1">
      <alignment wrapText="1"/>
    </xf>
    <xf numFmtId="0" fontId="45" fillId="16" borderId="12" xfId="0" applyFont="1" applyFill="1" applyBorder="1"/>
    <xf numFmtId="0" fontId="45" fillId="16" borderId="0" xfId="0" applyFont="1" applyFill="1"/>
    <xf numFmtId="172" fontId="27" fillId="11" borderId="0" xfId="0" applyNumberFormat="1" applyFont="1" applyFill="1" applyAlignment="1">
      <alignment vertical="center"/>
    </xf>
    <xf numFmtId="172" fontId="27" fillId="0" borderId="3" xfId="0" applyNumberFormat="1" applyFont="1" applyBorder="1" applyAlignment="1">
      <alignment vertical="center"/>
    </xf>
    <xf numFmtId="172" fontId="27" fillId="11" borderId="0" xfId="0" applyNumberFormat="1" applyFont="1" applyFill="1" applyBorder="1" applyAlignment="1">
      <alignment vertical="center"/>
    </xf>
    <xf numFmtId="172" fontId="27" fillId="0" borderId="2" xfId="0" applyNumberFormat="1" applyFont="1" applyBorder="1" applyAlignment="1">
      <alignment vertical="center"/>
    </xf>
    <xf numFmtId="172" fontId="27" fillId="11" borderId="0" xfId="0" applyNumberFormat="1" applyFont="1" applyFill="1" applyAlignment="1">
      <alignment horizontal="center" vertical="center" wrapText="1"/>
    </xf>
    <xf numFmtId="172" fontId="32" fillId="0" borderId="26" xfId="0" applyNumberFormat="1" applyFont="1" applyBorder="1" applyAlignment="1">
      <alignment horizontal="center" vertical="center"/>
    </xf>
    <xf numFmtId="172" fontId="13" fillId="0" borderId="7" xfId="0" applyNumberFormat="1" applyFont="1" applyFill="1" applyBorder="1" applyAlignment="1">
      <alignment horizontal="center" vertical="center"/>
    </xf>
    <xf numFmtId="172" fontId="32" fillId="0" borderId="12" xfId="0" applyNumberFormat="1" applyFont="1" applyFill="1" applyBorder="1" applyAlignment="1">
      <alignment horizontal="center" vertical="center"/>
    </xf>
    <xf numFmtId="172" fontId="13" fillId="0" borderId="10" xfId="0" applyNumberFormat="1" applyFont="1" applyFill="1" applyBorder="1" applyAlignment="1">
      <alignment horizontal="center" vertical="center"/>
    </xf>
    <xf numFmtId="172" fontId="13" fillId="11" borderId="0" xfId="0" applyNumberFormat="1" applyFont="1" applyFill="1" applyAlignment="1">
      <alignment horizontal="center" vertical="center"/>
    </xf>
    <xf numFmtId="172" fontId="27" fillId="0" borderId="0" xfId="0" applyNumberFormat="1" applyFont="1" applyFill="1" applyAlignment="1">
      <alignment vertical="center"/>
    </xf>
    <xf numFmtId="172" fontId="27" fillId="0" borderId="0" xfId="0" applyNumberFormat="1" applyFont="1" applyAlignment="1">
      <alignment vertical="center"/>
    </xf>
    <xf numFmtId="0" fontId="50" fillId="11" borderId="23" xfId="0" applyFont="1" applyFill="1" applyBorder="1" applyAlignment="1">
      <alignment horizontal="center" vertical="center" wrapText="1"/>
    </xf>
    <xf numFmtId="172" fontId="50" fillId="11" borderId="23" xfId="0" applyNumberFormat="1" applyFont="1" applyFill="1" applyBorder="1" applyAlignment="1">
      <alignment horizontal="center" vertical="center" wrapText="1"/>
    </xf>
    <xf numFmtId="182" fontId="50" fillId="0" borderId="23" xfId="0" applyNumberFormat="1" applyFont="1" applyBorder="1" applyAlignment="1">
      <alignment horizontal="center" vertical="center" wrapText="1"/>
    </xf>
    <xf numFmtId="182" fontId="50" fillId="0" borderId="12" xfId="0" applyNumberFormat="1" applyFont="1" applyBorder="1" applyAlignment="1">
      <alignment horizontal="center" vertical="center" wrapText="1"/>
    </xf>
    <xf numFmtId="0" fontId="50" fillId="11" borderId="12" xfId="0" applyFont="1" applyFill="1" applyBorder="1" applyAlignment="1">
      <alignment horizontal="center" vertical="center" wrapText="1"/>
    </xf>
    <xf numFmtId="172" fontId="50" fillId="11" borderId="12" xfId="0" applyNumberFormat="1" applyFont="1" applyFill="1" applyBorder="1" applyAlignment="1">
      <alignment horizontal="center" vertical="center" wrapText="1"/>
    </xf>
    <xf numFmtId="0" fontId="26" fillId="11" borderId="0" xfId="0" applyFont="1" applyFill="1" applyBorder="1" applyAlignment="1">
      <alignment vertical="center"/>
    </xf>
    <xf numFmtId="0" fontId="27" fillId="11" borderId="0" xfId="0" applyFont="1" applyFill="1" applyBorder="1" applyAlignment="1">
      <alignment horizontal="center" vertical="center"/>
    </xf>
    <xf numFmtId="0" fontId="27" fillId="11" borderId="0" xfId="0" applyFont="1" applyFill="1" applyBorder="1" applyAlignment="1">
      <alignment vertical="center"/>
    </xf>
    <xf numFmtId="0" fontId="0" fillId="0" borderId="12" xfId="0" applyBorder="1" applyAlignment="1">
      <alignment horizontal="center" vertical="center"/>
    </xf>
    <xf numFmtId="0" fontId="0" fillId="0" borderId="12" xfId="0" applyFont="1" applyBorder="1" applyAlignment="1">
      <alignment horizontal="left" vertical="center"/>
    </xf>
    <xf numFmtId="175" fontId="45" fillId="11" borderId="0" xfId="0" applyNumberFormat="1" applyFont="1" applyFill="1" applyAlignment="1">
      <alignment horizontal="center" vertical="center"/>
    </xf>
    <xf numFmtId="174" fontId="45" fillId="16" borderId="23" xfId="0" applyNumberFormat="1" applyFont="1" applyFill="1" applyBorder="1" applyAlignment="1">
      <alignment horizontal="center"/>
    </xf>
    <xf numFmtId="0" fontId="0" fillId="0" borderId="12" xfId="0" applyFont="1" applyFill="1" applyBorder="1" applyAlignment="1">
      <alignment horizontal="left"/>
    </xf>
    <xf numFmtId="0" fontId="13" fillId="0" borderId="12" xfId="0" applyFont="1" applyBorder="1" applyAlignment="1">
      <alignment horizontal="center" vertical="center" wrapText="1"/>
    </xf>
    <xf numFmtId="177" fontId="10" fillId="8" borderId="4" xfId="0" applyNumberFormat="1" applyFont="1" applyFill="1" applyBorder="1" applyAlignment="1">
      <alignment horizontal="center" vertical="center"/>
    </xf>
    <xf numFmtId="0" fontId="10" fillId="8" borderId="4" xfId="0" applyFont="1" applyFill="1" applyBorder="1" applyAlignment="1">
      <alignment horizontal="center" vertical="center"/>
    </xf>
    <xf numFmtId="171" fontId="10" fillId="8" borderId="4" xfId="0" applyNumberFormat="1" applyFont="1" applyFill="1" applyBorder="1" applyAlignment="1">
      <alignment horizontal="center" vertical="center"/>
    </xf>
    <xf numFmtId="172" fontId="10" fillId="8" borderId="4" xfId="0" applyNumberFormat="1" applyFont="1" applyFill="1" applyBorder="1" applyAlignment="1">
      <alignment horizontal="center" vertical="center"/>
    </xf>
    <xf numFmtId="170" fontId="10" fillId="8" borderId="4" xfId="0" applyNumberFormat="1" applyFont="1" applyFill="1" applyBorder="1" applyAlignment="1">
      <alignment horizontal="center" vertical="center"/>
    </xf>
    <xf numFmtId="170" fontId="10" fillId="8" borderId="58" xfId="0" applyNumberFormat="1" applyFont="1" applyFill="1" applyBorder="1" applyAlignment="1">
      <alignment horizontal="center" vertical="center"/>
    </xf>
    <xf numFmtId="0" fontId="10" fillId="8" borderId="46" xfId="0" applyFont="1" applyFill="1" applyBorder="1" applyAlignment="1">
      <alignment horizontal="center" vertical="center"/>
    </xf>
    <xf numFmtId="0" fontId="0" fillId="0" borderId="23" xfId="0" applyFill="1" applyBorder="1" applyAlignment="1">
      <alignment horizontal="center"/>
    </xf>
    <xf numFmtId="174" fontId="0" fillId="16" borderId="12" xfId="0" applyNumberFormat="1" applyFill="1" applyBorder="1" applyAlignment="1">
      <alignment horizontal="center" vertical="center"/>
    </xf>
    <xf numFmtId="172" fontId="0" fillId="16" borderId="12" xfId="0" applyNumberFormat="1" applyFont="1" applyFill="1" applyBorder="1" applyAlignment="1">
      <alignment horizontal="center" vertical="center"/>
    </xf>
    <xf numFmtId="171" fontId="0" fillId="16" borderId="12" xfId="0" applyNumberFormat="1" applyFont="1" applyFill="1" applyBorder="1" applyAlignment="1">
      <alignment horizontal="center" vertical="center"/>
    </xf>
    <xf numFmtId="175" fontId="0" fillId="16" borderId="12" xfId="0" applyNumberFormat="1" applyFont="1" applyFill="1" applyBorder="1" applyAlignment="1">
      <alignment horizontal="center" vertical="center"/>
    </xf>
    <xf numFmtId="0" fontId="32" fillId="0" borderId="12" xfId="0" applyFont="1" applyBorder="1" applyAlignment="1">
      <alignment horizontal="center" vertical="center"/>
    </xf>
    <xf numFmtId="174" fontId="3" fillId="0" borderId="12" xfId="10" applyNumberFormat="1" applyFont="1" applyBorder="1"/>
    <xf numFmtId="0" fontId="27" fillId="11" borderId="17" xfId="0" applyFont="1" applyFill="1" applyBorder="1" applyAlignment="1">
      <alignment horizontal="left" vertical="center"/>
    </xf>
    <xf numFmtId="0" fontId="27" fillId="11" borderId="0" xfId="0" applyFont="1" applyFill="1" applyBorder="1" applyAlignment="1">
      <alignment horizontal="left" vertical="center"/>
    </xf>
    <xf numFmtId="0" fontId="27" fillId="11" borderId="0" xfId="0" applyFont="1" applyFill="1" applyAlignment="1">
      <alignment horizontal="left" vertical="center" wrapText="1"/>
    </xf>
    <xf numFmtId="0" fontId="32" fillId="0" borderId="26" xfId="0" applyFont="1" applyBorder="1" applyAlignment="1">
      <alignment horizontal="center" vertical="center"/>
    </xf>
    <xf numFmtId="0" fontId="55" fillId="0" borderId="0" xfId="0" applyFont="1" applyAlignment="1">
      <alignment vertical="center"/>
    </xf>
    <xf numFmtId="0" fontId="51" fillId="0" borderId="0" xfId="0" applyFont="1" applyAlignment="1">
      <alignment horizontal="center" vertical="center"/>
    </xf>
    <xf numFmtId="0" fontId="55" fillId="0" borderId="0" xfId="0" applyFont="1" applyAlignment="1">
      <alignment horizontal="center" vertical="center"/>
    </xf>
    <xf numFmtId="0" fontId="51" fillId="0" borderId="54" xfId="0" applyFont="1" applyBorder="1" applyAlignment="1">
      <alignment horizontal="center" vertical="center"/>
    </xf>
    <xf numFmtId="0" fontId="27" fillId="18" borderId="0" xfId="0" applyFont="1" applyFill="1" applyAlignment="1">
      <alignment horizontal="center" vertical="center"/>
    </xf>
    <xf numFmtId="0" fontId="16" fillId="0" borderId="12" xfId="0" applyFont="1" applyBorder="1" applyAlignment="1">
      <alignment horizontal="center" vertical="center" wrapText="1"/>
    </xf>
    <xf numFmtId="0" fontId="0" fillId="0" borderId="12" xfId="0" applyFont="1" applyBorder="1" applyAlignment="1">
      <alignment horizontal="center" vertical="center"/>
    </xf>
    <xf numFmtId="0" fontId="56" fillId="0" borderId="12" xfId="0" applyFont="1" applyBorder="1" applyAlignment="1">
      <alignment horizontal="center" vertical="center" wrapText="1"/>
    </xf>
    <xf numFmtId="0" fontId="0" fillId="0" borderId="0" xfId="0" applyAlignment="1">
      <alignment vertical="center" wrapText="1"/>
    </xf>
    <xf numFmtId="0" fontId="57" fillId="0" borderId="0" xfId="0" applyFont="1"/>
    <xf numFmtId="0" fontId="57" fillId="6" borderId="6" xfId="0" applyFont="1" applyFill="1" applyBorder="1" applyAlignment="1">
      <alignment horizontal="center"/>
    </xf>
    <xf numFmtId="0" fontId="57" fillId="6" borderId="8" xfId="0" applyFont="1" applyFill="1" applyBorder="1" applyAlignment="1">
      <alignment horizontal="center"/>
    </xf>
    <xf numFmtId="0" fontId="58" fillId="6" borderId="25" xfId="0" applyFont="1" applyFill="1" applyBorder="1" applyAlignment="1">
      <alignment horizontal="center" vertical="center"/>
    </xf>
    <xf numFmtId="0" fontId="58" fillId="6" borderId="26" xfId="0" applyFont="1" applyFill="1" applyBorder="1" applyAlignment="1">
      <alignment horizontal="center" vertical="center"/>
    </xf>
    <xf numFmtId="0" fontId="58" fillId="6" borderId="59" xfId="0" applyFont="1" applyFill="1" applyBorder="1" applyAlignment="1">
      <alignment horizontal="center" vertical="center"/>
    </xf>
    <xf numFmtId="174" fontId="57" fillId="6" borderId="9" xfId="0" applyNumberFormat="1" applyFont="1" applyFill="1" applyBorder="1" applyAlignment="1">
      <alignment horizontal="center"/>
    </xf>
    <xf numFmtId="9" fontId="57" fillId="6" borderId="11" xfId="0" applyNumberFormat="1" applyFont="1" applyFill="1" applyBorder="1" applyAlignment="1">
      <alignment horizontal="center" vertical="center"/>
    </xf>
    <xf numFmtId="0" fontId="58" fillId="6" borderId="60" xfId="0" applyFont="1" applyFill="1" applyBorder="1" applyAlignment="1">
      <alignment horizontal="center" vertical="center"/>
    </xf>
    <xf numFmtId="0" fontId="58" fillId="6" borderId="26" xfId="0" applyFont="1" applyFill="1" applyBorder="1"/>
    <xf numFmtId="0" fontId="58" fillId="6" borderId="27" xfId="0" applyFont="1" applyFill="1" applyBorder="1"/>
    <xf numFmtId="0" fontId="57" fillId="0" borderId="23" xfId="0" applyFont="1" applyBorder="1" applyAlignment="1">
      <alignment vertical="center" wrapText="1"/>
    </xf>
    <xf numFmtId="0" fontId="57" fillId="0" borderId="23" xfId="0" applyFont="1" applyBorder="1" applyAlignment="1">
      <alignment horizontal="center" vertical="center"/>
    </xf>
    <xf numFmtId="175" fontId="57" fillId="0" borderId="23" xfId="0" applyNumberFormat="1" applyFont="1" applyBorder="1" applyAlignment="1">
      <alignment horizontal="center" vertical="center"/>
    </xf>
    <xf numFmtId="10" fontId="57" fillId="0" borderId="23" xfId="0" applyNumberFormat="1" applyFont="1" applyBorder="1" applyAlignment="1">
      <alignment horizontal="center" vertical="center"/>
    </xf>
    <xf numFmtId="0" fontId="59" fillId="0" borderId="12" xfId="0" applyFont="1" applyBorder="1" applyAlignment="1">
      <alignment vertical="center" wrapText="1"/>
    </xf>
    <xf numFmtId="0" fontId="57" fillId="0" borderId="12" xfId="0" applyFont="1" applyBorder="1" applyAlignment="1">
      <alignment horizontal="center" vertical="center"/>
    </xf>
    <xf numFmtId="175" fontId="57" fillId="0" borderId="12" xfId="0" applyNumberFormat="1" applyFont="1" applyBorder="1" applyAlignment="1">
      <alignment horizontal="center" vertical="center"/>
    </xf>
    <xf numFmtId="10" fontId="57" fillId="0" borderId="12" xfId="0" applyNumberFormat="1" applyFont="1" applyBorder="1" applyAlignment="1">
      <alignment horizontal="center" vertical="center"/>
    </xf>
    <xf numFmtId="0" fontId="59" fillId="0" borderId="4" xfId="0" applyFont="1" applyBorder="1" applyAlignment="1">
      <alignment vertical="center" wrapText="1"/>
    </xf>
    <xf numFmtId="0" fontId="57" fillId="0" borderId="12" xfId="0" applyFont="1" applyBorder="1" applyAlignment="1">
      <alignment vertical="center" wrapText="1"/>
    </xf>
    <xf numFmtId="0" fontId="57" fillId="0" borderId="4" xfId="0" applyFont="1" applyBorder="1" applyAlignment="1">
      <alignment vertical="center" wrapText="1"/>
    </xf>
    <xf numFmtId="0" fontId="57" fillId="0" borderId="4" xfId="0" applyFont="1" applyBorder="1" applyAlignment="1">
      <alignment horizontal="center" vertical="center"/>
    </xf>
    <xf numFmtId="175" fontId="57" fillId="0" borderId="4" xfId="0" applyNumberFormat="1" applyFont="1" applyBorder="1" applyAlignment="1">
      <alignment horizontal="center" vertical="center"/>
    </xf>
    <xf numFmtId="10" fontId="57" fillId="0" borderId="4" xfId="0" applyNumberFormat="1" applyFont="1" applyBorder="1" applyAlignment="1">
      <alignment horizontal="center" vertical="center"/>
    </xf>
    <xf numFmtId="0" fontId="57" fillId="0" borderId="0" xfId="0" applyFont="1" applyAlignment="1">
      <alignment horizontal="center" vertical="center"/>
    </xf>
    <xf numFmtId="175" fontId="57" fillId="0" borderId="26" xfId="0" applyNumberFormat="1" applyFont="1" applyBorder="1" applyAlignment="1">
      <alignment horizontal="center" vertical="center"/>
    </xf>
    <xf numFmtId="10" fontId="57" fillId="0" borderId="26" xfId="0" applyNumberFormat="1" applyFont="1" applyBorder="1" applyAlignment="1">
      <alignment horizontal="center"/>
    </xf>
    <xf numFmtId="175" fontId="57" fillId="0" borderId="26" xfId="0" applyNumberFormat="1" applyFont="1" applyBorder="1" applyAlignment="1">
      <alignment horizontal="center"/>
    </xf>
    <xf numFmtId="175" fontId="57" fillId="0" borderId="27" xfId="0" applyNumberFormat="1" applyFont="1" applyBorder="1" applyAlignment="1">
      <alignment horizontal="center" vertical="center"/>
    </xf>
    <xf numFmtId="0" fontId="57" fillId="0" borderId="7" xfId="0" applyFont="1" applyBorder="1" applyAlignment="1">
      <alignment horizontal="right" vertical="center"/>
    </xf>
    <xf numFmtId="174" fontId="57" fillId="0" borderId="7" xfId="0" applyNumberFormat="1" applyFont="1" applyBorder="1"/>
    <xf numFmtId="175" fontId="57" fillId="0" borderId="8" xfId="0" applyNumberFormat="1" applyFont="1" applyBorder="1" applyAlignment="1">
      <alignment horizontal="center" vertical="center"/>
    </xf>
    <xf numFmtId="0" fontId="57" fillId="0" borderId="12" xfId="0" applyFont="1" applyBorder="1" applyAlignment="1">
      <alignment horizontal="right" vertical="center"/>
    </xf>
    <xf numFmtId="174" fontId="57" fillId="0" borderId="12" xfId="0" applyNumberFormat="1" applyFont="1" applyBorder="1"/>
    <xf numFmtId="0" fontId="57" fillId="0" borderId="32" xfId="0" applyFont="1" applyBorder="1" applyAlignment="1">
      <alignment horizontal="center" vertical="center"/>
    </xf>
    <xf numFmtId="0" fontId="57" fillId="0" borderId="4" xfId="0" applyFont="1" applyBorder="1" applyAlignment="1">
      <alignment horizontal="right" vertical="center"/>
    </xf>
    <xf numFmtId="174" fontId="57" fillId="0" borderId="4" xfId="0" applyNumberFormat="1" applyFont="1" applyBorder="1"/>
    <xf numFmtId="0" fontId="57" fillId="0" borderId="25" xfId="0" applyFont="1" applyBorder="1" applyAlignment="1">
      <alignment horizontal="center" vertical="center"/>
    </xf>
    <xf numFmtId="0" fontId="57" fillId="0" borderId="26" xfId="0" applyFont="1" applyBorder="1" applyAlignment="1">
      <alignment horizontal="center" vertical="center"/>
    </xf>
    <xf numFmtId="174" fontId="57" fillId="0" borderId="26" xfId="0" applyNumberFormat="1" applyFont="1" applyBorder="1" applyAlignment="1">
      <alignment horizontal="center" vertical="center"/>
    </xf>
    <xf numFmtId="0" fontId="51" fillId="0" borderId="17" xfId="0" applyFont="1" applyBorder="1" applyAlignment="1">
      <alignment horizontal="center" vertical="center" wrapText="1"/>
    </xf>
    <xf numFmtId="0" fontId="51" fillId="0" borderId="0" xfId="0" applyFont="1" applyBorder="1" applyAlignment="1">
      <alignment horizontal="center" vertical="center" wrapText="1"/>
    </xf>
    <xf numFmtId="0" fontId="51" fillId="0" borderId="18" xfId="0" applyFont="1" applyBorder="1" applyAlignment="1">
      <alignment horizontal="center" vertical="center" wrapText="1"/>
    </xf>
    <xf numFmtId="0" fontId="54" fillId="0" borderId="17" xfId="0" applyFont="1" applyBorder="1" applyAlignment="1">
      <alignment horizontal="left" vertical="center" wrapText="1"/>
    </xf>
    <xf numFmtId="0" fontId="54" fillId="0" borderId="0" xfId="0" applyFont="1" applyBorder="1" applyAlignment="1">
      <alignment horizontal="left" vertical="center" wrapText="1"/>
    </xf>
    <xf numFmtId="0" fontId="54" fillId="0" borderId="18" xfId="0" applyFont="1" applyBorder="1" applyAlignment="1">
      <alignment horizontal="left" vertical="center" wrapText="1"/>
    </xf>
    <xf numFmtId="0" fontId="54" fillId="0" borderId="36" xfId="0" applyFont="1" applyBorder="1" applyAlignment="1">
      <alignment horizontal="left" vertical="center" wrapText="1"/>
    </xf>
    <xf numFmtId="0" fontId="54" fillId="0" borderId="2" xfId="0" applyFont="1" applyBorder="1" applyAlignment="1">
      <alignment horizontal="left" vertical="center" wrapText="1"/>
    </xf>
    <xf numFmtId="0" fontId="54" fillId="0" borderId="37" xfId="0" applyFont="1" applyBorder="1" applyAlignment="1">
      <alignment horizontal="left" vertical="center" wrapText="1"/>
    </xf>
    <xf numFmtId="0" fontId="51" fillId="11" borderId="5" xfId="0" applyFont="1" applyFill="1" applyBorder="1" applyAlignment="1">
      <alignment horizontal="center" vertical="center" wrapText="1"/>
    </xf>
    <xf numFmtId="0" fontId="51" fillId="11" borderId="39" xfId="0" applyFont="1" applyFill="1" applyBorder="1" applyAlignment="1">
      <alignment horizontal="center" vertical="center" wrapText="1"/>
    </xf>
    <xf numFmtId="0" fontId="51" fillId="11" borderId="1" xfId="0" applyFont="1" applyFill="1" applyBorder="1" applyAlignment="1">
      <alignment horizontal="center" vertical="center" wrapText="1"/>
    </xf>
    <xf numFmtId="0" fontId="55" fillId="0" borderId="17" xfId="0" applyFont="1" applyBorder="1" applyAlignment="1">
      <alignment horizontal="center" vertical="center"/>
    </xf>
    <xf numFmtId="0" fontId="55" fillId="0" borderId="0" xfId="0" applyFont="1" applyBorder="1" applyAlignment="1">
      <alignment horizontal="center" vertical="center"/>
    </xf>
    <xf numFmtId="0" fontId="55" fillId="0" borderId="18" xfId="0" applyFont="1" applyBorder="1" applyAlignment="1">
      <alignment horizontal="center" vertical="center"/>
    </xf>
    <xf numFmtId="0" fontId="32" fillId="0" borderId="17" xfId="0" applyFont="1" applyBorder="1" applyAlignment="1">
      <alignment horizontal="center" vertical="center"/>
    </xf>
    <xf numFmtId="0" fontId="32" fillId="0" borderId="0" xfId="0" applyFont="1" applyBorder="1" applyAlignment="1">
      <alignment horizontal="center" vertical="center"/>
    </xf>
    <xf numFmtId="0" fontId="32" fillId="0" borderId="18" xfId="0" applyFont="1" applyBorder="1" applyAlignment="1">
      <alignment horizontal="center" vertical="center"/>
    </xf>
    <xf numFmtId="0" fontId="50" fillId="11" borderId="5" xfId="0" applyFont="1" applyFill="1" applyBorder="1" applyAlignment="1">
      <alignment horizontal="left" vertical="center" wrapText="1"/>
    </xf>
    <xf numFmtId="0" fontId="50" fillId="11" borderId="39" xfId="0" applyFont="1" applyFill="1" applyBorder="1" applyAlignment="1">
      <alignment horizontal="left" vertical="center" wrapText="1"/>
    </xf>
    <xf numFmtId="0" fontId="50" fillId="11" borderId="1" xfId="0" applyFont="1" applyFill="1" applyBorder="1" applyAlignment="1">
      <alignment horizontal="left" vertical="center" wrapText="1"/>
    </xf>
    <xf numFmtId="0" fontId="52" fillId="11" borderId="28" xfId="0" applyFont="1" applyFill="1" applyBorder="1" applyAlignment="1">
      <alignment horizontal="center" vertical="center" wrapText="1"/>
    </xf>
    <xf numFmtId="0" fontId="52" fillId="11" borderId="16" xfId="0" applyFont="1" applyFill="1" applyBorder="1" applyAlignment="1">
      <alignment horizontal="center" vertical="center" wrapText="1"/>
    </xf>
    <xf numFmtId="0" fontId="52" fillId="11" borderId="30" xfId="0" applyFont="1" applyFill="1" applyBorder="1" applyAlignment="1">
      <alignment horizontal="center" vertical="center" wrapText="1"/>
    </xf>
    <xf numFmtId="0" fontId="20" fillId="0" borderId="19" xfId="0" applyFont="1" applyBorder="1" applyAlignment="1">
      <alignment horizontal="center" vertical="center"/>
    </xf>
    <xf numFmtId="0" fontId="20" fillId="0" borderId="20" xfId="0" applyFont="1" applyBorder="1" applyAlignment="1">
      <alignment horizontal="center" vertical="center"/>
    </xf>
    <xf numFmtId="0" fontId="20" fillId="0" borderId="21" xfId="0" applyFont="1" applyBorder="1" applyAlignment="1">
      <alignment horizontal="center" vertical="center"/>
    </xf>
    <xf numFmtId="0" fontId="54" fillId="0" borderId="34" xfId="0" applyFont="1" applyBorder="1" applyAlignment="1">
      <alignment horizontal="left" vertical="center" wrapText="1"/>
    </xf>
    <xf numFmtId="0" fontId="54" fillId="0" borderId="3" xfId="0" applyFont="1" applyBorder="1" applyAlignment="1">
      <alignment horizontal="left" vertical="center" wrapText="1"/>
    </xf>
    <xf numFmtId="0" fontId="54" fillId="0" borderId="35" xfId="0" applyFont="1" applyBorder="1" applyAlignment="1">
      <alignment horizontal="left" vertical="center" wrapText="1"/>
    </xf>
    <xf numFmtId="0" fontId="53" fillId="11" borderId="3" xfId="0" applyFont="1" applyFill="1" applyBorder="1" applyAlignment="1">
      <alignment horizontal="left" vertical="center"/>
    </xf>
    <xf numFmtId="0" fontId="53" fillId="11" borderId="0" xfId="0" applyFont="1" applyFill="1" applyBorder="1" applyAlignment="1">
      <alignment horizontal="left" vertical="center"/>
    </xf>
    <xf numFmtId="0" fontId="53" fillId="11" borderId="2" xfId="0" applyFont="1" applyFill="1" applyBorder="1" applyAlignment="1">
      <alignment horizontal="left" vertical="center"/>
    </xf>
    <xf numFmtId="0" fontId="13" fillId="0" borderId="15" xfId="0" applyFont="1" applyBorder="1" applyAlignment="1">
      <alignment horizontal="center" vertical="center"/>
    </xf>
    <xf numFmtId="0" fontId="13" fillId="0" borderId="30" xfId="0" applyFont="1" applyBorder="1" applyAlignment="1">
      <alignment horizontal="center" vertical="center"/>
    </xf>
    <xf numFmtId="0" fontId="32" fillId="0" borderId="49" xfId="0" applyFont="1" applyBorder="1" applyAlignment="1">
      <alignment horizontal="center" vertical="center"/>
    </xf>
    <xf numFmtId="0" fontId="32" fillId="0" borderId="1" xfId="0" applyFont="1" applyBorder="1" applyAlignment="1">
      <alignment horizontal="center" vertical="center"/>
    </xf>
    <xf numFmtId="0" fontId="13" fillId="0" borderId="50" xfId="0" applyFont="1" applyBorder="1" applyAlignment="1">
      <alignment horizontal="center" vertical="center"/>
    </xf>
    <xf numFmtId="0" fontId="13" fillId="0" borderId="31" xfId="0" applyFont="1" applyBorder="1" applyAlignment="1">
      <alignment horizontal="center" vertical="center"/>
    </xf>
    <xf numFmtId="0" fontId="30" fillId="11" borderId="3" xfId="0" applyFont="1" applyFill="1" applyBorder="1" applyAlignment="1">
      <alignment horizontal="left" vertical="center" wrapText="1"/>
    </xf>
    <xf numFmtId="0" fontId="30" fillId="11" borderId="35" xfId="0" applyFont="1" applyFill="1" applyBorder="1" applyAlignment="1">
      <alignment horizontal="left" vertical="center" wrapText="1"/>
    </xf>
    <xf numFmtId="0" fontId="27" fillId="11" borderId="34" xfId="0" applyFont="1" applyFill="1" applyBorder="1" applyAlignment="1">
      <alignment horizontal="left" vertical="center"/>
    </xf>
    <xf numFmtId="0" fontId="27" fillId="11" borderId="3" xfId="0" applyFont="1" applyFill="1" applyBorder="1" applyAlignment="1">
      <alignment horizontal="left" vertical="center"/>
    </xf>
    <xf numFmtId="0" fontId="20" fillId="11" borderId="17" xfId="0" applyFont="1" applyFill="1" applyBorder="1" applyAlignment="1">
      <alignment horizontal="center" vertical="center" wrapText="1"/>
    </xf>
    <xf numFmtId="0" fontId="20" fillId="11" borderId="3" xfId="0" applyFont="1" applyFill="1" applyBorder="1" applyAlignment="1">
      <alignment horizontal="center" vertical="center" wrapText="1"/>
    </xf>
    <xf numFmtId="0" fontId="20" fillId="11" borderId="35" xfId="0" applyFont="1" applyFill="1" applyBorder="1" applyAlignment="1">
      <alignment horizontal="center" vertical="center" wrapText="1"/>
    </xf>
    <xf numFmtId="0" fontId="20" fillId="11" borderId="0" xfId="0" applyFont="1" applyFill="1" applyBorder="1" applyAlignment="1">
      <alignment horizontal="center" vertical="center" wrapText="1"/>
    </xf>
    <xf numFmtId="0" fontId="20" fillId="11" borderId="18" xfId="0" applyFont="1" applyFill="1" applyBorder="1" applyAlignment="1">
      <alignment horizontal="center" vertical="center" wrapText="1"/>
    </xf>
    <xf numFmtId="0" fontId="20" fillId="11" borderId="36" xfId="0" applyFont="1" applyFill="1" applyBorder="1" applyAlignment="1">
      <alignment horizontal="center" vertical="center" wrapText="1"/>
    </xf>
    <xf numFmtId="0" fontId="20" fillId="11" borderId="2" xfId="0" applyFont="1" applyFill="1" applyBorder="1" applyAlignment="1">
      <alignment horizontal="center" vertical="center" wrapText="1"/>
    </xf>
    <xf numFmtId="0" fontId="20" fillId="11" borderId="37" xfId="0" applyFont="1" applyFill="1" applyBorder="1" applyAlignment="1">
      <alignment horizontal="center" vertical="center" wrapText="1"/>
    </xf>
    <xf numFmtId="0" fontId="30" fillId="11" borderId="0" xfId="0" applyFont="1" applyFill="1" applyBorder="1" applyAlignment="1">
      <alignment horizontal="left" vertical="center" wrapText="1"/>
    </xf>
    <xf numFmtId="0" fontId="30" fillId="11" borderId="18" xfId="0" applyFont="1" applyFill="1" applyBorder="1" applyAlignment="1">
      <alignment horizontal="left" vertical="center" wrapText="1"/>
    </xf>
    <xf numFmtId="0" fontId="27" fillId="11" borderId="17" xfId="0" applyFont="1" applyFill="1" applyBorder="1" applyAlignment="1">
      <alignment horizontal="left" vertical="center"/>
    </xf>
    <xf numFmtId="0" fontId="27" fillId="11" borderId="0" xfId="0" applyFont="1" applyFill="1" applyBorder="1" applyAlignment="1">
      <alignment horizontal="left" vertical="center"/>
    </xf>
    <xf numFmtId="0" fontId="13" fillId="0" borderId="5" xfId="0" applyFont="1" applyBorder="1" applyAlignment="1">
      <alignment horizontal="left" vertical="center" wrapText="1"/>
    </xf>
    <xf numFmtId="0" fontId="13" fillId="0" borderId="39" xfId="0" applyFont="1" applyBorder="1" applyAlignment="1">
      <alignment horizontal="left" vertical="center" wrapText="1"/>
    </xf>
    <xf numFmtId="0" fontId="13" fillId="0" borderId="1" xfId="0" applyFont="1" applyBorder="1" applyAlignment="1">
      <alignment horizontal="left" vertical="center" wrapText="1"/>
    </xf>
    <xf numFmtId="0" fontId="27" fillId="0" borderId="53" xfId="0" applyFont="1" applyBorder="1" applyAlignment="1">
      <alignment vertical="center" wrapText="1"/>
    </xf>
    <xf numFmtId="0" fontId="27" fillId="0" borderId="61" xfId="0" applyFont="1" applyBorder="1" applyAlignment="1">
      <alignment vertical="center" wrapText="1"/>
    </xf>
    <xf numFmtId="0" fontId="27" fillId="0" borderId="62" xfId="0" applyFont="1" applyBorder="1" applyAlignment="1">
      <alignment vertical="center" wrapText="1"/>
    </xf>
    <xf numFmtId="0" fontId="31" fillId="0" borderId="15" xfId="0" applyFont="1" applyBorder="1" applyAlignment="1">
      <alignment horizontal="center" vertical="center"/>
    </xf>
    <xf numFmtId="0" fontId="31" fillId="0" borderId="16" xfId="0" applyFont="1" applyBorder="1" applyAlignment="1">
      <alignment horizontal="center" vertical="center"/>
    </xf>
    <xf numFmtId="0" fontId="31" fillId="0" borderId="22" xfId="0" applyFont="1" applyBorder="1" applyAlignment="1">
      <alignment horizontal="center" vertical="center"/>
    </xf>
    <xf numFmtId="0" fontId="27" fillId="0" borderId="5" xfId="0" applyFont="1" applyBorder="1" applyAlignment="1">
      <alignment vertical="center"/>
    </xf>
    <xf numFmtId="0" fontId="27" fillId="0" borderId="39" xfId="0" applyFont="1" applyBorder="1" applyAlignment="1">
      <alignment vertical="center"/>
    </xf>
    <xf numFmtId="0" fontId="27" fillId="0" borderId="40" xfId="0" applyFont="1" applyBorder="1" applyAlignment="1">
      <alignment vertical="center"/>
    </xf>
    <xf numFmtId="0" fontId="27" fillId="0" borderId="5" xfId="0" applyFont="1" applyBorder="1" applyAlignment="1">
      <alignment horizontal="left" vertical="center"/>
    </xf>
    <xf numFmtId="0" fontId="27" fillId="0" borderId="39" xfId="0" applyFont="1" applyBorder="1" applyAlignment="1">
      <alignment horizontal="left" vertical="center"/>
    </xf>
    <xf numFmtId="0" fontId="27" fillId="0" borderId="40" xfId="0" applyFont="1" applyBorder="1" applyAlignment="1">
      <alignment horizontal="left" vertical="center"/>
    </xf>
    <xf numFmtId="0" fontId="27" fillId="0" borderId="5" xfId="0" applyFont="1" applyBorder="1" applyAlignment="1">
      <alignment horizontal="left" vertical="center" wrapText="1"/>
    </xf>
    <xf numFmtId="0" fontId="27" fillId="0" borderId="39" xfId="0" applyFont="1" applyBorder="1" applyAlignment="1">
      <alignment horizontal="left" vertical="center" wrapText="1"/>
    </xf>
    <xf numFmtId="0" fontId="27" fillId="0" borderId="40" xfId="0" applyFont="1" applyBorder="1" applyAlignment="1">
      <alignment horizontal="left" vertical="center" wrapText="1"/>
    </xf>
    <xf numFmtId="0" fontId="27" fillId="0" borderId="5" xfId="0" applyFont="1" applyBorder="1" applyAlignment="1">
      <alignment vertical="center" wrapText="1"/>
    </xf>
    <xf numFmtId="0" fontId="27" fillId="0" borderId="39" xfId="0" applyFont="1" applyBorder="1" applyAlignment="1">
      <alignment vertical="center" wrapText="1"/>
    </xf>
    <xf numFmtId="0" fontId="27" fillId="0" borderId="40" xfId="0" applyFont="1" applyBorder="1" applyAlignment="1">
      <alignment vertical="center" wrapText="1"/>
    </xf>
    <xf numFmtId="0" fontId="37" fillId="0" borderId="5" xfId="0" applyFont="1" applyBorder="1" applyAlignment="1">
      <alignment vertical="center" wrapText="1"/>
    </xf>
    <xf numFmtId="0" fontId="37" fillId="0" borderId="39" xfId="0" applyFont="1" applyBorder="1" applyAlignment="1">
      <alignment vertical="center" wrapText="1"/>
    </xf>
    <xf numFmtId="0" fontId="37" fillId="0" borderId="40" xfId="0" applyFont="1" applyBorder="1" applyAlignment="1">
      <alignment vertical="center" wrapText="1"/>
    </xf>
    <xf numFmtId="0" fontId="51" fillId="11" borderId="34" xfId="0" applyFont="1" applyFill="1" applyBorder="1" applyAlignment="1">
      <alignment horizontal="center" vertical="center" wrapText="1"/>
    </xf>
    <xf numFmtId="0" fontId="51" fillId="11" borderId="3" xfId="0" applyFont="1" applyFill="1" applyBorder="1" applyAlignment="1">
      <alignment horizontal="center" vertical="center" wrapText="1"/>
    </xf>
    <xf numFmtId="0" fontId="51" fillId="11" borderId="35" xfId="0" applyFont="1" applyFill="1" applyBorder="1" applyAlignment="1">
      <alignment horizontal="center" vertical="center" wrapText="1"/>
    </xf>
    <xf numFmtId="0" fontId="51" fillId="11" borderId="17" xfId="0" applyFont="1" applyFill="1" applyBorder="1" applyAlignment="1">
      <alignment horizontal="center" vertical="center" wrapText="1"/>
    </xf>
    <xf numFmtId="0" fontId="51" fillId="11" borderId="0" xfId="0" applyFont="1" applyFill="1" applyBorder="1" applyAlignment="1">
      <alignment horizontal="center" vertical="center" wrapText="1"/>
    </xf>
    <xf numFmtId="0" fontId="51" fillId="11" borderId="18" xfId="0" applyFont="1" applyFill="1" applyBorder="1" applyAlignment="1">
      <alignment horizontal="center" vertical="center" wrapText="1"/>
    </xf>
    <xf numFmtId="0" fontId="51" fillId="11" borderId="36" xfId="0" applyFont="1" applyFill="1" applyBorder="1" applyAlignment="1">
      <alignment horizontal="center" vertical="center" wrapText="1"/>
    </xf>
    <xf numFmtId="0" fontId="51" fillId="11" borderId="2" xfId="0" applyFont="1" applyFill="1" applyBorder="1" applyAlignment="1">
      <alignment horizontal="center" vertical="center" wrapText="1"/>
    </xf>
    <xf numFmtId="0" fontId="51" fillId="11" borderId="37" xfId="0" applyFont="1" applyFill="1" applyBorder="1" applyAlignment="1">
      <alignment horizontal="center" vertical="center" wrapText="1"/>
    </xf>
    <xf numFmtId="0" fontId="51" fillId="11" borderId="52" xfId="0" applyFont="1" applyFill="1" applyBorder="1" applyAlignment="1">
      <alignment horizontal="center" vertical="center"/>
    </xf>
    <xf numFmtId="0" fontId="51" fillId="11" borderId="57" xfId="0" applyFont="1" applyFill="1" applyBorder="1" applyAlignment="1">
      <alignment horizontal="center" vertical="center"/>
    </xf>
    <xf numFmtId="0" fontId="51" fillId="11" borderId="47" xfId="0" applyFont="1" applyFill="1" applyBorder="1" applyAlignment="1">
      <alignment horizontal="center" vertical="center"/>
    </xf>
    <xf numFmtId="0" fontId="27" fillId="11" borderId="36" xfId="0" applyFont="1" applyFill="1" applyBorder="1" applyAlignment="1">
      <alignment horizontal="left" vertical="center"/>
    </xf>
    <xf numFmtId="0" fontId="27" fillId="11" borderId="2" xfId="0" applyFont="1" applyFill="1" applyBorder="1" applyAlignment="1">
      <alignment horizontal="left" vertical="center"/>
    </xf>
    <xf numFmtId="0" fontId="30" fillId="11" borderId="2" xfId="0" applyFont="1" applyFill="1" applyBorder="1" applyAlignment="1">
      <alignment horizontal="left" vertical="center" wrapText="1"/>
    </xf>
    <xf numFmtId="0" fontId="30" fillId="11" borderId="37" xfId="0" applyFont="1" applyFill="1" applyBorder="1" applyAlignment="1">
      <alignment horizontal="left" vertical="center" wrapText="1"/>
    </xf>
    <xf numFmtId="0" fontId="29" fillId="11" borderId="0" xfId="12" applyFont="1" applyFill="1" applyAlignment="1">
      <alignment horizontal="center" vertical="center"/>
    </xf>
    <xf numFmtId="0" fontId="27" fillId="11" borderId="0" xfId="0" applyFont="1" applyFill="1" applyAlignment="1">
      <alignment horizontal="left" vertical="center" wrapText="1"/>
    </xf>
    <xf numFmtId="0" fontId="31" fillId="11" borderId="57" xfId="0" applyFont="1" applyFill="1" applyBorder="1" applyAlignment="1">
      <alignment horizontal="right" vertical="center"/>
    </xf>
    <xf numFmtId="0" fontId="32" fillId="0" borderId="59" xfId="0" applyFont="1" applyBorder="1" applyAlignment="1">
      <alignment horizontal="center" vertical="center"/>
    </xf>
    <xf numFmtId="0" fontId="32" fillId="0" borderId="20" xfId="0" applyFont="1" applyBorder="1" applyAlignment="1">
      <alignment horizontal="center" vertical="center"/>
    </xf>
    <xf numFmtId="0" fontId="32" fillId="0" borderId="60" xfId="0" applyFont="1" applyBorder="1" applyAlignment="1">
      <alignment horizontal="center" vertical="center"/>
    </xf>
    <xf numFmtId="0" fontId="5" fillId="9" borderId="5" xfId="10" applyFont="1" applyFill="1" applyBorder="1" applyAlignment="1">
      <alignment horizontal="center" vertical="center" wrapText="1"/>
    </xf>
    <xf numFmtId="0" fontId="5" fillId="9" borderId="1" xfId="10" applyFont="1" applyFill="1" applyBorder="1" applyAlignment="1">
      <alignment horizontal="center" vertical="center" wrapText="1"/>
    </xf>
    <xf numFmtId="0" fontId="5" fillId="9" borderId="12" xfId="10" applyFont="1" applyFill="1" applyBorder="1" applyAlignment="1">
      <alignment horizontal="center" vertical="center" wrapText="1"/>
    </xf>
    <xf numFmtId="0" fontId="5" fillId="4" borderId="2" xfId="10" applyFont="1" applyFill="1" applyBorder="1" applyAlignment="1">
      <alignment horizontal="right" vertical="center"/>
    </xf>
    <xf numFmtId="0" fontId="21" fillId="0" borderId="15" xfId="0" applyFont="1" applyBorder="1" applyAlignment="1">
      <alignment horizontal="center" vertical="center" wrapText="1"/>
    </xf>
    <xf numFmtId="0" fontId="21" fillId="0" borderId="16" xfId="0" applyFont="1" applyBorder="1" applyAlignment="1">
      <alignment horizontal="center" vertical="center" wrapText="1"/>
    </xf>
    <xf numFmtId="0" fontId="21" fillId="0" borderId="22" xfId="0" applyFont="1" applyBorder="1" applyAlignment="1">
      <alignment horizontal="center" vertical="center" wrapText="1"/>
    </xf>
    <xf numFmtId="0" fontId="12" fillId="8" borderId="15" xfId="0" applyFont="1" applyFill="1" applyBorder="1" applyAlignment="1">
      <alignment horizontal="center" vertical="center"/>
    </xf>
    <xf numFmtId="0" fontId="12" fillId="8" borderId="16" xfId="0" applyFont="1" applyFill="1" applyBorder="1" applyAlignment="1">
      <alignment horizontal="center" vertical="center"/>
    </xf>
    <xf numFmtId="0" fontId="12" fillId="8" borderId="22" xfId="0" applyFont="1" applyFill="1" applyBorder="1" applyAlignment="1">
      <alignment horizontal="center" vertical="center"/>
    </xf>
    <xf numFmtId="0" fontId="12" fillId="8" borderId="52" xfId="0" applyFont="1" applyFill="1" applyBorder="1" applyAlignment="1">
      <alignment horizontal="center" vertical="center"/>
    </xf>
    <xf numFmtId="0" fontId="12" fillId="8" borderId="47" xfId="0" applyFont="1" applyFill="1" applyBorder="1" applyAlignment="1">
      <alignment horizontal="center" vertical="center"/>
    </xf>
    <xf numFmtId="0" fontId="12" fillId="8" borderId="6" xfId="0" applyFont="1" applyFill="1" applyBorder="1" applyAlignment="1">
      <alignment horizontal="center" vertical="center"/>
    </xf>
    <xf numFmtId="0" fontId="12" fillId="8" borderId="9" xfId="0" applyFont="1" applyFill="1" applyBorder="1" applyAlignment="1">
      <alignment horizontal="center" vertical="center"/>
    </xf>
    <xf numFmtId="0" fontId="10" fillId="0" borderId="0" xfId="0" applyFont="1" applyAlignment="1">
      <alignment horizontal="center" vertical="center" wrapText="1"/>
    </xf>
    <xf numFmtId="0" fontId="12" fillId="8" borderId="7" xfId="0" applyFont="1" applyFill="1" applyBorder="1" applyAlignment="1">
      <alignment horizontal="center" vertical="center"/>
    </xf>
    <xf numFmtId="0" fontId="12" fillId="8" borderId="10" xfId="0" applyFont="1" applyFill="1" applyBorder="1" applyAlignment="1">
      <alignment horizontal="center" vertical="center"/>
    </xf>
    <xf numFmtId="0" fontId="12" fillId="8" borderId="4" xfId="0" applyFont="1" applyFill="1" applyBorder="1" applyAlignment="1">
      <alignment horizontal="center" vertical="center"/>
    </xf>
    <xf numFmtId="0" fontId="10" fillId="0" borderId="15" xfId="0" applyFont="1" applyBorder="1" applyAlignment="1">
      <alignment horizontal="center" vertical="center" wrapText="1"/>
    </xf>
    <xf numFmtId="0" fontId="10" fillId="0" borderId="30"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50" xfId="0" applyFont="1" applyBorder="1" applyAlignment="1">
      <alignment horizontal="center" vertical="center" wrapText="1"/>
    </xf>
    <xf numFmtId="0" fontId="10" fillId="0" borderId="31" xfId="0" applyFont="1" applyBorder="1" applyAlignment="1">
      <alignment horizontal="center" vertical="center" wrapText="1"/>
    </xf>
    <xf numFmtId="0" fontId="41" fillId="0" borderId="34" xfId="0" applyFont="1" applyBorder="1" applyAlignment="1">
      <alignment horizontal="center" vertical="center"/>
    </xf>
    <xf numFmtId="0" fontId="41" fillId="0" borderId="3" xfId="0" applyFont="1" applyBorder="1" applyAlignment="1">
      <alignment horizontal="center" vertical="center"/>
    </xf>
    <xf numFmtId="0" fontId="41" fillId="0" borderId="35" xfId="0" applyFont="1" applyBorder="1" applyAlignment="1">
      <alignment horizontal="center" vertical="center"/>
    </xf>
    <xf numFmtId="0" fontId="41" fillId="0" borderId="36" xfId="0" applyFont="1" applyBorder="1" applyAlignment="1">
      <alignment horizontal="center" vertical="center"/>
    </xf>
    <xf numFmtId="0" fontId="41" fillId="0" borderId="2" xfId="0" applyFont="1" applyBorder="1" applyAlignment="1">
      <alignment horizontal="center" vertical="center"/>
    </xf>
    <xf numFmtId="0" fontId="41" fillId="0" borderId="37" xfId="0" applyFont="1" applyBorder="1" applyAlignment="1">
      <alignment horizontal="center" vertical="center"/>
    </xf>
    <xf numFmtId="0" fontId="58" fillId="6" borderId="34" xfId="0" applyFont="1" applyFill="1" applyBorder="1" applyAlignment="1">
      <alignment horizontal="center" vertical="center"/>
    </xf>
    <xf numFmtId="0" fontId="58" fillId="6" borderId="36" xfId="0" applyFont="1" applyFill="1" applyBorder="1" applyAlignment="1">
      <alignment horizontal="center" vertical="center"/>
    </xf>
    <xf numFmtId="0" fontId="57" fillId="12" borderId="45" xfId="0" applyFont="1" applyFill="1" applyBorder="1" applyAlignment="1">
      <alignment horizontal="center" vertical="center" wrapText="1"/>
    </xf>
    <xf numFmtId="0" fontId="57" fillId="0" borderId="12" xfId="0" applyFont="1" applyBorder="1" applyAlignment="1">
      <alignment horizontal="center" vertical="center"/>
    </xf>
    <xf numFmtId="0" fontId="57" fillId="0" borderId="25" xfId="0" applyFont="1" applyBorder="1" applyAlignment="1">
      <alignment horizontal="center" vertical="center"/>
    </xf>
    <xf numFmtId="0" fontId="57" fillId="0" borderId="26" xfId="0" applyFont="1" applyBorder="1" applyAlignment="1">
      <alignment horizontal="center" vertical="center"/>
    </xf>
    <xf numFmtId="0" fontId="57" fillId="0" borderId="6" xfId="0" applyFont="1" applyBorder="1" applyAlignment="1">
      <alignment horizontal="center" vertical="center"/>
    </xf>
    <xf numFmtId="0" fontId="57" fillId="0" borderId="13" xfId="0" applyFont="1" applyBorder="1" applyAlignment="1">
      <alignment horizontal="center" vertical="center"/>
    </xf>
    <xf numFmtId="0" fontId="0" fillId="0" borderId="0" xfId="0" applyAlignment="1">
      <alignment horizontal="center" vertical="center" wrapText="1"/>
    </xf>
    <xf numFmtId="0" fontId="0" fillId="0" borderId="28" xfId="0" applyBorder="1" applyAlignment="1">
      <alignment horizontal="center" vertical="center"/>
    </xf>
    <xf numFmtId="0" fontId="0" fillId="0" borderId="16" xfId="0" applyBorder="1" applyAlignment="1">
      <alignment horizontal="center" vertical="center"/>
    </xf>
    <xf numFmtId="0" fontId="0" fillId="0" borderId="30" xfId="0" applyBorder="1" applyAlignment="1">
      <alignment horizontal="center" vertical="center"/>
    </xf>
    <xf numFmtId="0" fontId="0" fillId="0" borderId="38" xfId="0" applyBorder="1" applyAlignment="1">
      <alignment horizontal="center" vertical="center"/>
    </xf>
    <xf numFmtId="0" fontId="0" fillId="0" borderId="24" xfId="0" applyBorder="1" applyAlignment="1">
      <alignment horizontal="center" vertical="center"/>
    </xf>
    <xf numFmtId="0" fontId="0" fillId="0" borderId="34"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17" fillId="0" borderId="0" xfId="0" applyFont="1" applyAlignment="1">
      <alignment horizontal="center" vertical="center"/>
    </xf>
  </cellXfs>
  <cellStyles count="15">
    <cellStyle name="Hipervínculo" xfId="12" builtinId="8"/>
    <cellStyle name="Millares 2" xfId="6" xr:uid="{00000000-0005-0000-0000-000002000000}"/>
    <cellStyle name="Millares 3" xfId="7" xr:uid="{00000000-0005-0000-0000-000003000000}"/>
    <cellStyle name="Millares 4" xfId="3" xr:uid="{00000000-0005-0000-0000-000004000000}"/>
    <cellStyle name="Moneda" xfId="13" builtinId="4"/>
    <cellStyle name="Moneda 2" xfId="8" xr:uid="{00000000-0005-0000-0000-000005000000}"/>
    <cellStyle name="Moneda 3" xfId="2" xr:uid="{00000000-0005-0000-0000-000006000000}"/>
    <cellStyle name="Normal" xfId="0" builtinId="0"/>
    <cellStyle name="Normal 2" xfId="9" xr:uid="{00000000-0005-0000-0000-000008000000}"/>
    <cellStyle name="Normal 3" xfId="10" xr:uid="{00000000-0005-0000-0000-000009000000}"/>
    <cellStyle name="Normal 7" xfId="1" xr:uid="{00000000-0005-0000-0000-00000A000000}"/>
    <cellStyle name="Percent 2" xfId="5" xr:uid="{00000000-0005-0000-0000-00000C000000}"/>
    <cellStyle name="Porcentaje" xfId="14" builtinId="5"/>
    <cellStyle name="Porcentual 2" xfId="11" xr:uid="{00000000-0005-0000-0000-00000D000000}"/>
    <cellStyle name="Porcentual 3" xfId="4" xr:uid="{00000000-0005-0000-0000-00000E000000}"/>
  </cellStyles>
  <dxfs count="1">
    <dxf>
      <fill>
        <patternFill>
          <bgColor rgb="FFFF0000"/>
        </patternFill>
      </fill>
    </dxf>
  </dxfs>
  <tableStyles count="0" defaultTableStyle="TableStyleMedium2" defaultPivotStyle="PivotStyleLight16"/>
  <colors>
    <mruColors>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customXml" Target="../customXml/item2.xml"/><Relationship Id="rId10" Type="http://schemas.openxmlformats.org/officeDocument/2006/relationships/externalLink" Target="externalLinks/externalLink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g"/><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0</xdr:col>
      <xdr:colOff>11906</xdr:colOff>
      <xdr:row>33</xdr:row>
      <xdr:rowOff>91440</xdr:rowOff>
    </xdr:from>
    <xdr:to>
      <xdr:col>3</xdr:col>
      <xdr:colOff>822737</xdr:colOff>
      <xdr:row>38</xdr:row>
      <xdr:rowOff>152875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06" y="11826240"/>
          <a:ext cx="3005391" cy="15041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905351</xdr:colOff>
      <xdr:row>0</xdr:row>
      <xdr:rowOff>56038</xdr:rowOff>
    </xdr:from>
    <xdr:to>
      <xdr:col>6</xdr:col>
      <xdr:colOff>735487</xdr:colOff>
      <xdr:row>11</xdr:row>
      <xdr:rowOff>0</xdr:rowOff>
    </xdr:to>
    <xdr:pic>
      <xdr:nvPicPr>
        <xdr:cNvPr id="4" name="Imagen 3">
          <a:extLst>
            <a:ext uri="{FF2B5EF4-FFF2-40B4-BE49-F238E27FC236}">
              <a16:creationId xmlns:a16="http://schemas.microsoft.com/office/drawing/2014/main" id="{6244BD6D-BEC1-4C1F-8401-87DD89CA49C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34711" y="56038"/>
          <a:ext cx="5052376" cy="3855562"/>
        </a:xfrm>
        <a:prstGeom prst="rect">
          <a:avLst/>
        </a:prstGeom>
      </xdr:spPr>
    </xdr:pic>
    <xdr:clientData/>
  </xdr:twoCellAnchor>
  <xdr:twoCellAnchor editAs="oneCell">
    <xdr:from>
      <xdr:col>3</xdr:col>
      <xdr:colOff>853441</xdr:colOff>
      <xdr:row>54</xdr:row>
      <xdr:rowOff>71120</xdr:rowOff>
    </xdr:from>
    <xdr:to>
      <xdr:col>5</xdr:col>
      <xdr:colOff>40641</xdr:colOff>
      <xdr:row>54</xdr:row>
      <xdr:rowOff>1307465</xdr:rowOff>
    </xdr:to>
    <xdr:pic>
      <xdr:nvPicPr>
        <xdr:cNvPr id="5" name="Imagen 4" descr="Imagen que contiene interior, cocina, tabla, lavabo&#10;&#10;Descripción generada automáticamente">
          <a:extLst>
            <a:ext uri="{FF2B5EF4-FFF2-40B4-BE49-F238E27FC236}">
              <a16:creationId xmlns:a16="http://schemas.microsoft.com/office/drawing/2014/main" id="{183F6AFB-5BCA-D64C-98A8-958ABB2ECFF0}"/>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048001" y="17383760"/>
          <a:ext cx="2844800" cy="123634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1605280</xdr:colOff>
      <xdr:row>63</xdr:row>
      <xdr:rowOff>152401</xdr:rowOff>
    </xdr:from>
    <xdr:to>
      <xdr:col>3</xdr:col>
      <xdr:colOff>2783840</xdr:colOff>
      <xdr:row>63</xdr:row>
      <xdr:rowOff>1239521</xdr:rowOff>
    </xdr:to>
    <xdr:pic>
      <xdr:nvPicPr>
        <xdr:cNvPr id="6" name="Imagen 5" descr="Imagen que contiene tabla, viendo, sostener, tazón&#10;&#10;Descripción generada automáticamente">
          <a:extLst>
            <a:ext uri="{FF2B5EF4-FFF2-40B4-BE49-F238E27FC236}">
              <a16:creationId xmlns:a16="http://schemas.microsoft.com/office/drawing/2014/main" id="{524BFF28-737E-3E44-BC23-4C25CDD754DE}"/>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99840" y="21407121"/>
          <a:ext cx="1178560" cy="108712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12700</xdr:colOff>
      <xdr:row>11</xdr:row>
      <xdr:rowOff>25400</xdr:rowOff>
    </xdr:from>
    <xdr:to>
      <xdr:col>8</xdr:col>
      <xdr:colOff>1320800</xdr:colOff>
      <xdr:row>13</xdr:row>
      <xdr:rowOff>25400</xdr:rowOff>
    </xdr:to>
    <xdr:sp macro="" textlink="">
      <xdr:nvSpPr>
        <xdr:cNvPr id="18434" name="CommandButton1" hidden="1">
          <a:extLst>
            <a:ext uri="{63B3BB69-23CF-44E3-9099-C40C66FF867C}">
              <a14:compatExt xmlns:a14="http://schemas.microsoft.com/office/drawing/2010/main" spid="_x0000_s18434"/>
            </a:ext>
            <a:ext uri="{FF2B5EF4-FFF2-40B4-BE49-F238E27FC236}">
              <a16:creationId xmlns:a16="http://schemas.microsoft.com/office/drawing/2014/main" id="{00000000-0008-0000-0500-000002480000}"/>
            </a:ext>
          </a:extLst>
        </xdr:cNvPr>
        <xdr:cNvSpPr/>
      </xdr:nvSpPr>
      <xdr:spPr bwMode="auto">
        <a:xfrm>
          <a:off x="0" y="0"/>
          <a:ext cx="0" cy="0"/>
        </a:xfrm>
        <a:prstGeom prst="rect">
          <a:avLst/>
        </a:prstGeom>
        <a:noFill/>
        <a:ln>
          <a:noFill/>
        </a:ln>
        <a:extLst>
          <a:ext uri="{91240B29-F687-4F45-9708-019B960494DF}">
            <a14:hiddenLine xmlns:a14="http://schemas.microsoft.com/office/drawing/2010/main" w="9525">
              <a:noFill/>
              <a:miter lim="800000"/>
              <a:headEnd/>
              <a:tailEnd/>
            </a14:hiddenLine>
          </a:ext>
        </a:extLst>
      </xdr:spPr>
    </xdr:sp>
    <xdr:clientData/>
  </xdr:twoCellAnchor>
  <xdr:twoCellAnchor editAs="oneCell">
    <xdr:from>
      <xdr:col>8</xdr:col>
      <xdr:colOff>12700</xdr:colOff>
      <xdr:row>11</xdr:row>
      <xdr:rowOff>25400</xdr:rowOff>
    </xdr:from>
    <xdr:to>
      <xdr:col>8</xdr:col>
      <xdr:colOff>1320800</xdr:colOff>
      <xdr:row>13</xdr:row>
      <xdr:rowOff>25400</xdr:rowOff>
    </xdr:to>
    <xdr:pic>
      <xdr:nvPicPr>
        <xdr:cNvPr id="2" name="CommandButton1">
          <a:extLst>
            <a:ext uri="{FF2B5EF4-FFF2-40B4-BE49-F238E27FC236}">
              <a16:creationId xmlns:a16="http://schemas.microsoft.com/office/drawing/2014/main" id="{E3BAA34B-AD51-1D4B-BF02-827034680170}"/>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95100" y="2133600"/>
          <a:ext cx="1308100" cy="3810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2" Type="http://schemas.microsoft.com/office/2019/04/relationships/externalLinkLongPath" Target="/2cb8fd3d03ff02ae/ELEMENTO/201-ELEMENTO/202-PROYECTOS/004-IBEROSTAR%20BAVARO/67.%20LUMINARIA%20COCINA%20CENTRAL%20DOMINICANO/05B-%20PRESUPUESTO%20DE%20COCINA%20CENTRAL/67-%20COCINA%20CENTRAL_MATERIALES_GASTOS%20INDIRECTOS.xlsx?D576528C" TargetMode="External"/><Relationship Id="rId1" Type="http://schemas.openxmlformats.org/officeDocument/2006/relationships/externalLinkPath" Target="file:///D576528C/67-%20COCINA%20CENTRAL_MATERIALES_GASTOS%20INDIRECTO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2-%20Trabajo/3-%20CSV/Informaci&#243;n%20para%20Licitaciones/PRESUPUESTO%20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2-%20Trabajo/3-%20CSV/Proyectos/-EN%20PROCESO-%20La%20Guaria/4-%20Presupuesto%20Electrico/EXTRAS%20ELECTRICAS_Escuela%20presupuesto%20La%20Guaria%2030-03-201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20Trabajo/3-%20CSV/Proyectos/-EN%20PROCESO-%20La%20Guaria/4-%20Presupuesto%20Electrico/EXTRAS%20ELECTRICAS_Escuela%20presupuesto%20La%20Guaria%2030-03-201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Gabriel/Desktop/DR_202101_001_CASA%20JOSE%20ANTONIO%20POLANCO_FINAL.xlsx"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PR_RD_202103_014_VILLA%20ROCK-calculo-.xlsx?008351E0" TargetMode="External"/><Relationship Id="rId1" Type="http://schemas.openxmlformats.org/officeDocument/2006/relationships/externalLinkPath" Target="file:///008351E0/PR_RD_202103_014_VILLA%20ROCK-calculo-.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sites/Sharepoint-Elemento/101ADMINISTRATIVO/101-ADMINISTRATIVO/002-%20PRESUPUESTOS/RD/PR_RD_202104_007_SENSOR%20DE%20PROXIMIDAD%20NESTLE/2.%20OFERTA/V2/PR_RD_202104_007_SENSOR%20DE%20PROXIMIDAD%20NESTLE_V2.xlsx?7218C06D" TargetMode="External"/><Relationship Id="rId1" Type="http://schemas.openxmlformats.org/officeDocument/2006/relationships/externalLinkPath" Target="file:///7218C06D/PR_RD_202104_007_SENSOR%20DE%20PROXIMIDAD%20NESTLE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OFERTA"/>
      <sheetName val="3. DESGLOSE DE MATERIALES"/>
      <sheetName val="2. COSTO INDIRECTO"/>
      <sheetName val="MATERIALES"/>
      <sheetName val="4. Lista de Materiales"/>
      <sheetName val="LISTAS"/>
      <sheetName val="Calculadora Pick N Send"/>
      <sheetName val="Calculadora Internacional"/>
      <sheetName val="Lista de Clientes"/>
    </sheetNames>
    <sheetDataSet>
      <sheetData sheetId="0">
        <row r="42">
          <cell r="H42">
            <v>5.4464347826086961</v>
          </cell>
        </row>
        <row r="65">
          <cell r="H65">
            <v>0.30455652173913045</v>
          </cell>
        </row>
        <row r="66">
          <cell r="H66">
            <v>2.2554782608695652</v>
          </cell>
        </row>
        <row r="75">
          <cell r="G75">
            <v>5</v>
          </cell>
        </row>
        <row r="76">
          <cell r="H76">
            <v>26.786434782608701</v>
          </cell>
        </row>
        <row r="87">
          <cell r="H87">
            <v>629.3583726708074</v>
          </cell>
        </row>
      </sheetData>
      <sheetData sheetId="1"/>
      <sheetData sheetId="2"/>
      <sheetData sheetId="3">
        <row r="5">
          <cell r="C5" t="str">
            <v>100mm</v>
          </cell>
          <cell r="D5" t="str">
            <v>Tubería PVC SDR-26 4"</v>
          </cell>
          <cell r="E5" t="str">
            <v xml:space="preserve">Suplidores electricos </v>
          </cell>
          <cell r="G5">
            <v>2077.69</v>
          </cell>
          <cell r="H5">
            <v>373.98419999999999</v>
          </cell>
          <cell r="I5">
            <v>2451.6741999999999</v>
          </cell>
          <cell r="N5" t="str">
            <v>Conductores Americanos</v>
          </cell>
          <cell r="O5" t="str">
            <v>Conductor 12 AWG THHN</v>
          </cell>
          <cell r="P5" t="str">
            <v xml:space="preserve">Conductor RV-K 2.5mm2 </v>
          </cell>
        </row>
        <row r="6">
          <cell r="C6" t="str">
            <v>75mm</v>
          </cell>
          <cell r="D6" t="str">
            <v>Tubería PVC SDR-26 3"</v>
          </cell>
          <cell r="E6" t="str">
            <v xml:space="preserve">Suplidores electricos </v>
          </cell>
          <cell r="G6">
            <v>1449.96</v>
          </cell>
          <cell r="H6">
            <v>260.99279999999999</v>
          </cell>
          <cell r="I6">
            <v>1710.9528</v>
          </cell>
          <cell r="N6" t="str">
            <v>Conductores Europeos</v>
          </cell>
          <cell r="O6" t="str">
            <v>Conductor 10 AWG THHN</v>
          </cell>
          <cell r="P6" t="str">
            <v xml:space="preserve">Conductor RV-K 4mm2 </v>
          </cell>
        </row>
        <row r="7">
          <cell r="C7" t="str">
            <v>50mm</v>
          </cell>
          <cell r="D7" t="str">
            <v>Tubería PVC SDR-26 2"</v>
          </cell>
          <cell r="E7" t="str">
            <v xml:space="preserve">Suplidores electricos </v>
          </cell>
          <cell r="G7">
            <v>780</v>
          </cell>
          <cell r="H7">
            <v>140.4</v>
          </cell>
          <cell r="I7">
            <v>920.4</v>
          </cell>
          <cell r="O7" t="str">
            <v>Conductor 8 AWG THHN</v>
          </cell>
          <cell r="P7" t="str">
            <v xml:space="preserve">Conductor RV-K 6mm2 </v>
          </cell>
        </row>
        <row r="8">
          <cell r="C8" t="str">
            <v>38mm</v>
          </cell>
          <cell r="D8" t="str">
            <v>Tubería PVC SDR-26 1 1/2"</v>
          </cell>
          <cell r="E8" t="str">
            <v xml:space="preserve">Suplidores electricos </v>
          </cell>
          <cell r="G8">
            <v>561</v>
          </cell>
          <cell r="H8">
            <v>100.97999999999999</v>
          </cell>
          <cell r="I8">
            <v>661.98</v>
          </cell>
          <cell r="O8" t="str">
            <v>Conductor 6 AWG THHN</v>
          </cell>
          <cell r="P8" t="str">
            <v xml:space="preserve">Conductor RV-K 10mm2 </v>
          </cell>
        </row>
        <row r="9">
          <cell r="C9" t="str">
            <v>25mm</v>
          </cell>
          <cell r="D9" t="str">
            <v>Tubería PVC SDR-26 1"</v>
          </cell>
          <cell r="E9" t="str">
            <v xml:space="preserve">Suplidores electricos </v>
          </cell>
          <cell r="G9">
            <v>239.76</v>
          </cell>
          <cell r="H9">
            <v>43.156799999999997</v>
          </cell>
          <cell r="I9">
            <v>282.91679999999997</v>
          </cell>
          <cell r="O9" t="str">
            <v>Conductor 4 AWG THHN</v>
          </cell>
          <cell r="P9" t="str">
            <v xml:space="preserve">Conductor RV-K 16mm2 </v>
          </cell>
        </row>
        <row r="10">
          <cell r="C10" t="str">
            <v>19mm</v>
          </cell>
          <cell r="D10" t="str">
            <v>Tubería PVC SDR-26 3/4"</v>
          </cell>
          <cell r="E10" t="str">
            <v xml:space="preserve">Suplidores electricos </v>
          </cell>
          <cell r="G10">
            <v>130</v>
          </cell>
          <cell r="H10">
            <v>23.4</v>
          </cell>
          <cell r="I10">
            <v>153.4</v>
          </cell>
          <cell r="O10" t="str">
            <v xml:space="preserve">Conductor 2 AWG THHN </v>
          </cell>
          <cell r="P10" t="str">
            <v xml:space="preserve">Conductor RV-K 25mm2 </v>
          </cell>
        </row>
        <row r="11">
          <cell r="C11" t="str">
            <v>13mm</v>
          </cell>
          <cell r="D11" t="str">
            <v>Tubería PVC SDR-26 1/2"</v>
          </cell>
          <cell r="E11" t="str">
            <v xml:space="preserve">Suplidores electricos </v>
          </cell>
          <cell r="G11">
            <v>102</v>
          </cell>
          <cell r="H11">
            <v>18.36</v>
          </cell>
          <cell r="I11">
            <v>120.36</v>
          </cell>
          <cell r="O11" t="str">
            <v>Conductor 1/0 AWG THHN</v>
          </cell>
          <cell r="P11" t="str">
            <v xml:space="preserve">Conductor RV-K 35mm2 </v>
          </cell>
        </row>
        <row r="12">
          <cell r="C12" t="str">
            <v>100mm</v>
          </cell>
          <cell r="D12" t="str">
            <v>Coupling PVC 4"</v>
          </cell>
          <cell r="E12" t="str">
            <v xml:space="preserve">Suplidores electricos </v>
          </cell>
          <cell r="G12">
            <v>210</v>
          </cell>
          <cell r="H12">
            <v>37.799999999999997</v>
          </cell>
          <cell r="I12">
            <v>247.8</v>
          </cell>
          <cell r="O12" t="str">
            <v>Conductor 2/0 AWG THHN</v>
          </cell>
          <cell r="P12" t="str">
            <v xml:space="preserve">Conductor RV-K 50mm2 </v>
          </cell>
        </row>
        <row r="13">
          <cell r="C13" t="str">
            <v>75mm</v>
          </cell>
          <cell r="D13" t="str">
            <v>Coupling PVC 3"</v>
          </cell>
          <cell r="E13" t="str">
            <v xml:space="preserve">Suplidores electricos </v>
          </cell>
          <cell r="G13">
            <v>101.73</v>
          </cell>
          <cell r="H13">
            <v>18.311399999999999</v>
          </cell>
          <cell r="I13">
            <v>120.04140000000001</v>
          </cell>
          <cell r="O13" t="str">
            <v>Conductor 3/0 AWG THHN</v>
          </cell>
          <cell r="P13" t="str">
            <v xml:space="preserve">Conductor RV-K 70mm2 </v>
          </cell>
        </row>
        <row r="14">
          <cell r="C14" t="str">
            <v>50mm</v>
          </cell>
          <cell r="D14" t="str">
            <v>Coupling PVC 2"</v>
          </cell>
          <cell r="E14" t="str">
            <v xml:space="preserve">Suplidores electricos </v>
          </cell>
          <cell r="G14">
            <v>25.4</v>
          </cell>
          <cell r="H14">
            <v>4.5719999999999992</v>
          </cell>
          <cell r="I14">
            <v>29.971999999999998</v>
          </cell>
          <cell r="O14" t="str">
            <v>Conductor 4/0 AWG THHN</v>
          </cell>
          <cell r="P14" t="str">
            <v xml:space="preserve">Conductor RV-K 95mm2 </v>
          </cell>
        </row>
        <row r="15">
          <cell r="C15" t="str">
            <v>38mm</v>
          </cell>
          <cell r="D15" t="str">
            <v>Coupling PVC 1 1/2"</v>
          </cell>
          <cell r="E15" t="str">
            <v xml:space="preserve">Suplidores electricos </v>
          </cell>
          <cell r="G15">
            <v>19.07</v>
          </cell>
          <cell r="H15">
            <v>3.4325999999999999</v>
          </cell>
          <cell r="I15">
            <v>22.502600000000001</v>
          </cell>
          <cell r="P15" t="str">
            <v xml:space="preserve">Conductor RV-K 120mm2 </v>
          </cell>
        </row>
        <row r="16">
          <cell r="C16" t="str">
            <v>25mm</v>
          </cell>
          <cell r="D16" t="str">
            <v>Coupling PVC 1"</v>
          </cell>
          <cell r="E16" t="str">
            <v xml:space="preserve">Suplidores electricos </v>
          </cell>
          <cell r="G16">
            <v>14.82</v>
          </cell>
          <cell r="H16">
            <v>2.6675999999999997</v>
          </cell>
          <cell r="I16">
            <v>17.4876</v>
          </cell>
          <cell r="P16" t="str">
            <v xml:space="preserve">Conductor RV-K 150mm2 </v>
          </cell>
        </row>
        <row r="17">
          <cell r="C17" t="str">
            <v>19mm</v>
          </cell>
          <cell r="D17" t="str">
            <v>Coupling PVC 3/4"</v>
          </cell>
          <cell r="E17" t="str">
            <v xml:space="preserve">Suplidores electricos </v>
          </cell>
          <cell r="G17">
            <v>8.33</v>
          </cell>
          <cell r="H17">
            <v>1.4994000000000001</v>
          </cell>
          <cell r="I17">
            <v>9.8293999999999997</v>
          </cell>
          <cell r="P17" t="str">
            <v xml:space="preserve">Conductor RV-K 185mm2 </v>
          </cell>
        </row>
        <row r="18">
          <cell r="C18" t="str">
            <v>13mm</v>
          </cell>
          <cell r="D18" t="str">
            <v>Coupling PVC 1/2"</v>
          </cell>
          <cell r="E18" t="str">
            <v xml:space="preserve">Suplidores electricos </v>
          </cell>
          <cell r="G18">
            <v>6.91</v>
          </cell>
          <cell r="H18">
            <v>1.2438</v>
          </cell>
          <cell r="I18">
            <v>8.1538000000000004</v>
          </cell>
          <cell r="P18" t="str">
            <v xml:space="preserve">Conductor RV-K 240mm2 </v>
          </cell>
        </row>
        <row r="19">
          <cell r="C19" t="str">
            <v>100mm</v>
          </cell>
          <cell r="D19" t="str">
            <v>Adaptador Macho PVC 4"</v>
          </cell>
          <cell r="E19" t="str">
            <v xml:space="preserve">Suplidores electricos </v>
          </cell>
          <cell r="G19">
            <v>245</v>
          </cell>
          <cell r="H19">
            <v>44.1</v>
          </cell>
          <cell r="I19">
            <v>289.10000000000002</v>
          </cell>
        </row>
        <row r="20">
          <cell r="C20" t="str">
            <v>75mm</v>
          </cell>
          <cell r="D20" t="str">
            <v>Adaptador Macho PVC 3"</v>
          </cell>
          <cell r="E20" t="str">
            <v xml:space="preserve">Suplidores electricos </v>
          </cell>
          <cell r="G20">
            <v>214.03</v>
          </cell>
          <cell r="H20">
            <v>38.525399999999998</v>
          </cell>
          <cell r="I20">
            <v>252.55539999999999</v>
          </cell>
        </row>
        <row r="21">
          <cell r="C21" t="str">
            <v>50mm</v>
          </cell>
          <cell r="D21" t="str">
            <v>Adaptador Macho PVC 2"</v>
          </cell>
          <cell r="E21" t="str">
            <v xml:space="preserve">Suplidores electricos </v>
          </cell>
          <cell r="G21">
            <v>63</v>
          </cell>
          <cell r="H21">
            <v>11.34</v>
          </cell>
          <cell r="I21">
            <v>74.34</v>
          </cell>
        </row>
        <row r="22">
          <cell r="C22" t="str">
            <v>38mm</v>
          </cell>
          <cell r="D22" t="str">
            <v>Adaptador Macho PVC 1 1/2"</v>
          </cell>
          <cell r="E22" t="str">
            <v xml:space="preserve">Suplidores electricos </v>
          </cell>
          <cell r="G22">
            <v>37.299999999999997</v>
          </cell>
          <cell r="H22">
            <v>6.7139999999999995</v>
          </cell>
          <cell r="I22">
            <v>44.013999999999996</v>
          </cell>
        </row>
        <row r="23">
          <cell r="C23" t="str">
            <v>25mm</v>
          </cell>
          <cell r="D23" t="str">
            <v>Adaptador Macho PVC 1"</v>
          </cell>
          <cell r="E23" t="str">
            <v xml:space="preserve">Suplidores electricos </v>
          </cell>
          <cell r="G23">
            <v>11.29</v>
          </cell>
          <cell r="H23">
            <v>2.0321999999999996</v>
          </cell>
          <cell r="I23">
            <v>13.322199999999999</v>
          </cell>
        </row>
        <row r="24">
          <cell r="C24" t="str">
            <v>19mm</v>
          </cell>
          <cell r="D24" t="str">
            <v>Adaptador Macho PVC 3/4"</v>
          </cell>
          <cell r="E24" t="str">
            <v xml:space="preserve">Suplidores electricos </v>
          </cell>
          <cell r="G24">
            <v>11.49</v>
          </cell>
          <cell r="H24">
            <v>2.0682</v>
          </cell>
          <cell r="I24">
            <v>13.558199999999999</v>
          </cell>
        </row>
        <row r="25">
          <cell r="C25" t="str">
            <v>13mm</v>
          </cell>
          <cell r="D25" t="str">
            <v>Adaptador Macho PVC 1/2"</v>
          </cell>
          <cell r="E25" t="str">
            <v xml:space="preserve">Suplidores electricos </v>
          </cell>
          <cell r="G25">
            <v>5.08</v>
          </cell>
          <cell r="H25">
            <v>0.91439999999999999</v>
          </cell>
          <cell r="I25">
            <v>5.9943999999999997</v>
          </cell>
        </row>
        <row r="26">
          <cell r="D26" t="str">
            <v>Adaptador Hembra PVC 4"</v>
          </cell>
          <cell r="E26" t="str">
            <v xml:space="preserve">Suplidores electricos </v>
          </cell>
          <cell r="G26">
            <v>225</v>
          </cell>
          <cell r="H26">
            <v>40.5</v>
          </cell>
          <cell r="I26">
            <v>265.5</v>
          </cell>
        </row>
        <row r="27">
          <cell r="D27" t="str">
            <v>Adaptador Hembra PVC 3"</v>
          </cell>
          <cell r="E27" t="str">
            <v xml:space="preserve">Suplidores electricos </v>
          </cell>
          <cell r="G27">
            <v>185</v>
          </cell>
          <cell r="H27">
            <v>33.299999999999997</v>
          </cell>
          <cell r="I27">
            <v>218.3</v>
          </cell>
        </row>
        <row r="28">
          <cell r="D28" t="str">
            <v>Adaptador Hembra PVC 2"</v>
          </cell>
          <cell r="E28" t="str">
            <v xml:space="preserve">Suplidores electricos </v>
          </cell>
          <cell r="G28">
            <v>261.8</v>
          </cell>
          <cell r="H28">
            <v>47.124000000000002</v>
          </cell>
          <cell r="I28">
            <v>308.92400000000004</v>
          </cell>
        </row>
        <row r="29">
          <cell r="D29" t="str">
            <v>Adaptador Hembra PVC 1 1/2"</v>
          </cell>
          <cell r="E29" t="str">
            <v xml:space="preserve">Suplidores electricos </v>
          </cell>
          <cell r="G29">
            <v>41.76</v>
          </cell>
          <cell r="H29">
            <v>7.516799999999999</v>
          </cell>
          <cell r="I29">
            <v>49.276799999999994</v>
          </cell>
        </row>
        <row r="30">
          <cell r="D30" t="str">
            <v>Adaptador Hembra PVC 1"</v>
          </cell>
          <cell r="E30" t="str">
            <v xml:space="preserve">Suplidores electricos </v>
          </cell>
          <cell r="G30">
            <v>21.91</v>
          </cell>
          <cell r="H30">
            <v>3.9438</v>
          </cell>
          <cell r="I30">
            <v>25.8538</v>
          </cell>
        </row>
        <row r="31">
          <cell r="D31" t="str">
            <v>Adaptador Hembra PVC 3/4"</v>
          </cell>
          <cell r="E31" t="str">
            <v xml:space="preserve">Suplidores electricos </v>
          </cell>
          <cell r="G31">
            <v>13.21</v>
          </cell>
          <cell r="H31">
            <v>2.3778000000000001</v>
          </cell>
          <cell r="I31">
            <v>15.587800000000001</v>
          </cell>
        </row>
        <row r="32">
          <cell r="D32" t="str">
            <v>Adaptador Hembra PVC 1/2"</v>
          </cell>
          <cell r="E32" t="str">
            <v xml:space="preserve">Suplidores electricos </v>
          </cell>
          <cell r="G32">
            <v>10.23</v>
          </cell>
          <cell r="H32">
            <v>1.8413999999999999</v>
          </cell>
          <cell r="I32">
            <v>12.071400000000001</v>
          </cell>
        </row>
        <row r="33">
          <cell r="C33" t="str">
            <v>100mm</v>
          </cell>
          <cell r="D33" t="str">
            <v>Curva 90 PVC SDR 4"</v>
          </cell>
          <cell r="E33" t="str">
            <v xml:space="preserve">Suplidores electricos </v>
          </cell>
          <cell r="G33">
            <v>261.8</v>
          </cell>
          <cell r="H33">
            <v>47.124000000000002</v>
          </cell>
          <cell r="I33">
            <v>308.92400000000004</v>
          </cell>
        </row>
        <row r="34">
          <cell r="C34" t="str">
            <v>75mm</v>
          </cell>
          <cell r="D34" t="str">
            <v>Curva 90 PVC SDR 3"</v>
          </cell>
          <cell r="E34" t="str">
            <v xml:space="preserve">Suplidores electricos </v>
          </cell>
          <cell r="G34">
            <v>177.1</v>
          </cell>
          <cell r="H34">
            <v>31.877999999999997</v>
          </cell>
          <cell r="I34">
            <v>208.97799999999998</v>
          </cell>
        </row>
        <row r="35">
          <cell r="C35" t="str">
            <v>50mm</v>
          </cell>
          <cell r="D35" t="str">
            <v>Curva 90 PVC SDR 2"</v>
          </cell>
          <cell r="E35" t="str">
            <v xml:space="preserve">Suplidores electricos </v>
          </cell>
          <cell r="G35">
            <v>55.44</v>
          </cell>
          <cell r="H35">
            <v>9.9791999999999987</v>
          </cell>
          <cell r="I35">
            <v>65.419199999999989</v>
          </cell>
        </row>
        <row r="36">
          <cell r="C36" t="str">
            <v>38mm</v>
          </cell>
          <cell r="D36" t="str">
            <v>Curva 90 PVC SDR 1 1/2"</v>
          </cell>
          <cell r="E36" t="str">
            <v xml:space="preserve">Suplidores electricos </v>
          </cell>
          <cell r="G36">
            <v>40.04</v>
          </cell>
          <cell r="H36">
            <v>7.2071999999999994</v>
          </cell>
          <cell r="I36">
            <v>47.247199999999999</v>
          </cell>
        </row>
        <row r="37">
          <cell r="C37" t="str">
            <v>25mm</v>
          </cell>
          <cell r="D37" t="str">
            <v>Curva 90 PVC SDR 1"</v>
          </cell>
          <cell r="E37" t="str">
            <v xml:space="preserve">Suplidores electricos </v>
          </cell>
          <cell r="G37">
            <v>11.24</v>
          </cell>
          <cell r="H37">
            <v>2.0232000000000001</v>
          </cell>
          <cell r="I37">
            <v>13.263200000000001</v>
          </cell>
        </row>
        <row r="38">
          <cell r="C38" t="str">
            <v>19mm</v>
          </cell>
          <cell r="D38" t="str">
            <v>Curva 90 PVC SDR 3/4"</v>
          </cell>
          <cell r="E38" t="str">
            <v xml:space="preserve">Suplidores electricos </v>
          </cell>
          <cell r="G38">
            <v>6.31</v>
          </cell>
          <cell r="H38">
            <v>1.1357999999999999</v>
          </cell>
          <cell r="I38">
            <v>7.4457999999999993</v>
          </cell>
        </row>
        <row r="39">
          <cell r="C39" t="str">
            <v>13mm</v>
          </cell>
          <cell r="D39" t="str">
            <v>Curva 90 PVC SDR 1/2"</v>
          </cell>
          <cell r="E39" t="str">
            <v xml:space="preserve">Suplidores electricos </v>
          </cell>
          <cell r="G39">
            <v>4.47</v>
          </cell>
          <cell r="H39">
            <v>0.80459999999999987</v>
          </cell>
          <cell r="I39">
            <v>5.2745999999999995</v>
          </cell>
        </row>
        <row r="40">
          <cell r="C40" t="str">
            <v>100mm</v>
          </cell>
          <cell r="D40" t="str">
            <v>Tubería Eléctrica EMT 4"</v>
          </cell>
          <cell r="E40" t="str">
            <v xml:space="preserve">Suplidores electricos </v>
          </cell>
          <cell r="G40">
            <v>2138.8000000000002</v>
          </cell>
          <cell r="H40">
            <v>384.98400000000004</v>
          </cell>
          <cell r="I40">
            <v>2523.7840000000001</v>
          </cell>
        </row>
        <row r="41">
          <cell r="C41" t="str">
            <v>75mm</v>
          </cell>
          <cell r="D41" t="str">
            <v>Tubería Eléctrica EMT 3"</v>
          </cell>
          <cell r="E41" t="str">
            <v xml:space="preserve">Suplidores electricos </v>
          </cell>
          <cell r="G41">
            <v>1232.1600000000001</v>
          </cell>
          <cell r="H41">
            <v>221.78880000000001</v>
          </cell>
          <cell r="I41">
            <v>1453.9488000000001</v>
          </cell>
        </row>
        <row r="42">
          <cell r="C42" t="str">
            <v>50mm</v>
          </cell>
          <cell r="D42" t="str">
            <v>Tubería Eléctrica EMT 2"</v>
          </cell>
          <cell r="E42" t="str">
            <v xml:space="preserve">Suplidores electricos </v>
          </cell>
          <cell r="G42">
            <v>733.43</v>
          </cell>
          <cell r="H42">
            <v>132.01739999999998</v>
          </cell>
          <cell r="I42">
            <v>865.4473999999999</v>
          </cell>
        </row>
        <row r="43">
          <cell r="C43" t="str">
            <v>38mm</v>
          </cell>
          <cell r="D43" t="str">
            <v>Tubería Eléctrica EMT 1 1/2"</v>
          </cell>
          <cell r="E43" t="str">
            <v xml:space="preserve">Suplidores electricos </v>
          </cell>
          <cell r="G43">
            <v>497.67</v>
          </cell>
          <cell r="H43">
            <v>89.580600000000004</v>
          </cell>
          <cell r="I43">
            <v>587.25060000000008</v>
          </cell>
        </row>
        <row r="44">
          <cell r="C44" t="str">
            <v>25mm</v>
          </cell>
          <cell r="D44" t="str">
            <v>Tubería Eléctrica EMT 1"</v>
          </cell>
          <cell r="E44" t="str">
            <v xml:space="preserve">Suplidores electricos </v>
          </cell>
          <cell r="G44">
            <v>432.69</v>
          </cell>
          <cell r="H44">
            <v>77.884199999999993</v>
          </cell>
          <cell r="I44">
            <v>510.57420000000002</v>
          </cell>
        </row>
        <row r="45">
          <cell r="C45" t="str">
            <v>19mm</v>
          </cell>
          <cell r="D45" t="str">
            <v>Tubería Eléctrica EMT 3/4"</v>
          </cell>
          <cell r="E45" t="str">
            <v xml:space="preserve">Suplidores electricos </v>
          </cell>
          <cell r="G45">
            <v>358.9</v>
          </cell>
          <cell r="H45">
            <v>64.60199999999999</v>
          </cell>
          <cell r="I45">
            <v>423.50199999999995</v>
          </cell>
        </row>
        <row r="46">
          <cell r="C46" t="str">
            <v>13mm</v>
          </cell>
          <cell r="D46" t="str">
            <v>Tubería Eléctrica EMT 1/2"</v>
          </cell>
          <cell r="E46" t="str">
            <v xml:space="preserve">Suplidores electricos </v>
          </cell>
          <cell r="G46">
            <v>140.02000000000001</v>
          </cell>
          <cell r="H46">
            <v>25.203600000000002</v>
          </cell>
          <cell r="I46">
            <v>165.2236</v>
          </cell>
        </row>
        <row r="47">
          <cell r="C47" t="str">
            <v>100mm</v>
          </cell>
          <cell r="D47" t="str">
            <v>Coupling EMT 4"</v>
          </cell>
          <cell r="E47" t="str">
            <v xml:space="preserve">Suplidores electricos </v>
          </cell>
          <cell r="G47">
            <v>380</v>
          </cell>
          <cell r="H47">
            <v>68.399999999999991</v>
          </cell>
          <cell r="I47">
            <v>448.4</v>
          </cell>
        </row>
        <row r="48">
          <cell r="C48" t="str">
            <v>75mm</v>
          </cell>
          <cell r="D48" t="str">
            <v>Coupling EMT 3"</v>
          </cell>
          <cell r="E48" t="str">
            <v xml:space="preserve">Suplidores electricos </v>
          </cell>
          <cell r="G48">
            <v>255</v>
          </cell>
          <cell r="H48">
            <v>45.9</v>
          </cell>
          <cell r="I48">
            <v>300.89999999999998</v>
          </cell>
        </row>
        <row r="49">
          <cell r="C49" t="str">
            <v>50mm</v>
          </cell>
          <cell r="D49" t="str">
            <v>Coupling EMT 2"</v>
          </cell>
          <cell r="E49" t="str">
            <v xml:space="preserve">Suplidores electricos </v>
          </cell>
          <cell r="G49">
            <v>73.41</v>
          </cell>
          <cell r="H49">
            <v>13.213799999999999</v>
          </cell>
          <cell r="I49">
            <v>86.623799999999989</v>
          </cell>
        </row>
        <row r="50">
          <cell r="C50" t="str">
            <v>38mm</v>
          </cell>
          <cell r="D50" t="str">
            <v>Coupling EMT 1 1/2"</v>
          </cell>
          <cell r="E50" t="str">
            <v xml:space="preserve">Suplidores electricos </v>
          </cell>
          <cell r="G50">
            <v>70.08</v>
          </cell>
          <cell r="H50">
            <v>12.6144</v>
          </cell>
          <cell r="I50">
            <v>82.694400000000002</v>
          </cell>
        </row>
        <row r="51">
          <cell r="C51" t="str">
            <v>25mm</v>
          </cell>
          <cell r="D51" t="str">
            <v>Coupling EMT 1"</v>
          </cell>
          <cell r="E51" t="str">
            <v xml:space="preserve">Suplidores electricos </v>
          </cell>
          <cell r="G51">
            <v>28.59</v>
          </cell>
          <cell r="H51">
            <v>5.1461999999999994</v>
          </cell>
          <cell r="I51">
            <v>33.736199999999997</v>
          </cell>
        </row>
        <row r="52">
          <cell r="C52" t="str">
            <v>19mm</v>
          </cell>
          <cell r="D52" t="str">
            <v>Coupling EMT 3/4"</v>
          </cell>
          <cell r="E52" t="str">
            <v xml:space="preserve">Suplidores electricos </v>
          </cell>
          <cell r="G52">
            <v>19.07</v>
          </cell>
          <cell r="H52">
            <v>3.4325999999999999</v>
          </cell>
          <cell r="I52">
            <v>22.502600000000001</v>
          </cell>
        </row>
        <row r="53">
          <cell r="C53" t="str">
            <v>13mm</v>
          </cell>
          <cell r="D53" t="str">
            <v>Coupling EMT 1/2"</v>
          </cell>
          <cell r="E53" t="str">
            <v xml:space="preserve">Suplidores electricos </v>
          </cell>
          <cell r="G53">
            <v>14.71</v>
          </cell>
          <cell r="H53">
            <v>2.6478000000000002</v>
          </cell>
          <cell r="I53">
            <v>17.357800000000001</v>
          </cell>
        </row>
        <row r="54">
          <cell r="C54" t="str">
            <v>100mm</v>
          </cell>
          <cell r="D54" t="str">
            <v>Conector EMT 4"</v>
          </cell>
          <cell r="E54" t="str">
            <v xml:space="preserve">Suplidores electricos </v>
          </cell>
          <cell r="G54">
            <v>380.76</v>
          </cell>
          <cell r="H54">
            <v>68.536799999999999</v>
          </cell>
          <cell r="I54">
            <v>449.29679999999996</v>
          </cell>
        </row>
        <row r="55">
          <cell r="C55" t="str">
            <v>75mm</v>
          </cell>
          <cell r="D55" t="str">
            <v>Conector EMT 3"</v>
          </cell>
          <cell r="E55" t="str">
            <v xml:space="preserve">Suplidores electricos </v>
          </cell>
          <cell r="G55">
            <v>255</v>
          </cell>
          <cell r="H55">
            <v>45.9</v>
          </cell>
          <cell r="I55">
            <v>300.89999999999998</v>
          </cell>
        </row>
        <row r="56">
          <cell r="C56" t="str">
            <v>50mm</v>
          </cell>
          <cell r="D56" t="str">
            <v>Conector EMT 2"</v>
          </cell>
          <cell r="E56" t="str">
            <v xml:space="preserve">Suplidores electricos </v>
          </cell>
          <cell r="G56">
            <v>95.29</v>
          </cell>
          <cell r="H56">
            <v>17.152200000000001</v>
          </cell>
          <cell r="I56">
            <v>112.44220000000001</v>
          </cell>
        </row>
        <row r="57">
          <cell r="C57" t="str">
            <v>38mm</v>
          </cell>
          <cell r="D57" t="str">
            <v>Conector EMT 1 1/2"</v>
          </cell>
          <cell r="E57" t="str">
            <v xml:space="preserve">Suplidores electricos </v>
          </cell>
          <cell r="G57">
            <v>72.290000000000006</v>
          </cell>
          <cell r="H57">
            <v>13.0122</v>
          </cell>
          <cell r="I57">
            <v>85.302199999999999</v>
          </cell>
        </row>
        <row r="58">
          <cell r="C58" t="str">
            <v>25mm</v>
          </cell>
          <cell r="D58" t="str">
            <v>Conector EMT 1"</v>
          </cell>
          <cell r="E58" t="str">
            <v xml:space="preserve">Suplidores electricos </v>
          </cell>
          <cell r="G58">
            <v>31.4</v>
          </cell>
          <cell r="H58">
            <v>5.6519999999999992</v>
          </cell>
          <cell r="I58">
            <v>37.052</v>
          </cell>
        </row>
        <row r="59">
          <cell r="C59" t="str">
            <v>19mm</v>
          </cell>
          <cell r="D59" t="str">
            <v>Conector EMT 3/4"</v>
          </cell>
          <cell r="E59" t="str">
            <v xml:space="preserve">Suplidores electricos </v>
          </cell>
          <cell r="G59">
            <v>21.59</v>
          </cell>
          <cell r="H59">
            <v>3.8861999999999997</v>
          </cell>
          <cell r="I59">
            <v>25.476199999999999</v>
          </cell>
        </row>
        <row r="60">
          <cell r="C60" t="str">
            <v>13mm</v>
          </cell>
          <cell r="D60" t="str">
            <v>Conector EMT 1/2"</v>
          </cell>
          <cell r="E60" t="str">
            <v xml:space="preserve">Suplidores electricos </v>
          </cell>
          <cell r="G60">
            <v>12.69</v>
          </cell>
          <cell r="H60">
            <v>2.2841999999999998</v>
          </cell>
          <cell r="I60">
            <v>14.9742</v>
          </cell>
        </row>
        <row r="61">
          <cell r="C61" t="str">
            <v>100mm</v>
          </cell>
          <cell r="D61" t="str">
            <v>Curva EMT 4"</v>
          </cell>
          <cell r="E61" t="str">
            <v xml:space="preserve">Suplidores electricos </v>
          </cell>
          <cell r="G61">
            <v>1041.26</v>
          </cell>
          <cell r="H61">
            <v>187.42679999999999</v>
          </cell>
          <cell r="I61">
            <v>1228.6867999999999</v>
          </cell>
        </row>
        <row r="62">
          <cell r="C62" t="str">
            <v>75mm</v>
          </cell>
          <cell r="D62" t="str">
            <v>Curva EMT 3"</v>
          </cell>
          <cell r="E62" t="str">
            <v xml:space="preserve">Suplidores electricos </v>
          </cell>
          <cell r="G62">
            <v>869.19</v>
          </cell>
          <cell r="H62">
            <v>156.45420000000001</v>
          </cell>
          <cell r="I62">
            <v>1025.6442000000002</v>
          </cell>
        </row>
        <row r="63">
          <cell r="C63" t="str">
            <v>50mm</v>
          </cell>
          <cell r="D63" t="str">
            <v>Curva EMT 2"</v>
          </cell>
          <cell r="E63" t="str">
            <v xml:space="preserve">Suplidores electricos </v>
          </cell>
          <cell r="G63">
            <v>221.76</v>
          </cell>
          <cell r="H63">
            <v>39.916799999999995</v>
          </cell>
          <cell r="I63">
            <v>261.67679999999996</v>
          </cell>
        </row>
        <row r="64">
          <cell r="C64" t="str">
            <v>38mm</v>
          </cell>
          <cell r="D64" t="str">
            <v>Curva EMT 1 1/2"</v>
          </cell>
          <cell r="E64" t="str">
            <v xml:space="preserve">Suplidores electricos </v>
          </cell>
          <cell r="G64">
            <v>125.98</v>
          </cell>
          <cell r="H64">
            <v>22.676400000000001</v>
          </cell>
          <cell r="I64">
            <v>148.65640000000002</v>
          </cell>
        </row>
        <row r="65">
          <cell r="C65" t="str">
            <v>25mm</v>
          </cell>
          <cell r="D65" t="str">
            <v>Curva EMT 1"</v>
          </cell>
          <cell r="E65" t="str">
            <v xml:space="preserve">Suplidores electricos </v>
          </cell>
          <cell r="G65">
            <v>57.94</v>
          </cell>
          <cell r="H65">
            <v>10.4292</v>
          </cell>
          <cell r="I65">
            <v>68.369199999999992</v>
          </cell>
        </row>
        <row r="66">
          <cell r="C66" t="str">
            <v>19mm</v>
          </cell>
          <cell r="D66" t="str">
            <v>Curva EMT 3/4"</v>
          </cell>
          <cell r="E66" t="str">
            <v xml:space="preserve">Suplidores electricos </v>
          </cell>
          <cell r="G66">
            <v>25.52</v>
          </cell>
          <cell r="H66">
            <v>4.5935999999999995</v>
          </cell>
          <cell r="I66">
            <v>30.113599999999998</v>
          </cell>
        </row>
        <row r="67">
          <cell r="C67" t="str">
            <v>13mm</v>
          </cell>
          <cell r="D67" t="str">
            <v>Curva EMT 1/2"</v>
          </cell>
          <cell r="E67" t="str">
            <v xml:space="preserve">Suplidores electricos </v>
          </cell>
          <cell r="G67">
            <v>15.92</v>
          </cell>
          <cell r="H67">
            <v>2.8655999999999997</v>
          </cell>
          <cell r="I67">
            <v>18.785599999999999</v>
          </cell>
        </row>
        <row r="68">
          <cell r="C68" t="str">
            <v>100mm</v>
          </cell>
          <cell r="D68" t="str">
            <v>Abrazadera EMT 4'' </v>
          </cell>
          <cell r="E68" t="str">
            <v xml:space="preserve">Suplidores electricos </v>
          </cell>
          <cell r="G68">
            <v>73.489999999999995</v>
          </cell>
          <cell r="H68">
            <v>13.228199999999999</v>
          </cell>
          <cell r="I68">
            <v>86.718199999999996</v>
          </cell>
        </row>
        <row r="69">
          <cell r="C69" t="str">
            <v>75mm</v>
          </cell>
          <cell r="D69" t="str">
            <v>Abrazadera EMT 3'' </v>
          </cell>
          <cell r="E69" t="str">
            <v xml:space="preserve">Suplidores electricos </v>
          </cell>
          <cell r="G69">
            <v>0</v>
          </cell>
          <cell r="H69">
            <v>0</v>
          </cell>
          <cell r="I69">
            <v>0</v>
          </cell>
        </row>
        <row r="70">
          <cell r="C70" t="str">
            <v>50mm</v>
          </cell>
          <cell r="D70" t="str">
            <v>Abrazadera EMT 2'' </v>
          </cell>
          <cell r="E70" t="str">
            <v xml:space="preserve">Suplidores electricos </v>
          </cell>
          <cell r="G70">
            <v>10.82</v>
          </cell>
          <cell r="H70">
            <v>1.9476</v>
          </cell>
          <cell r="I70">
            <v>12.7676</v>
          </cell>
        </row>
        <row r="71">
          <cell r="C71" t="str">
            <v>38mm</v>
          </cell>
          <cell r="D71" t="str">
            <v>Abrazadera EMT 1 1/2'' </v>
          </cell>
          <cell r="E71" t="str">
            <v xml:space="preserve">Suplidores electricos </v>
          </cell>
          <cell r="G71">
            <v>11.96</v>
          </cell>
          <cell r="H71">
            <v>2.1528</v>
          </cell>
          <cell r="I71">
            <v>14.1128</v>
          </cell>
        </row>
        <row r="72">
          <cell r="C72" t="str">
            <v>25mm</v>
          </cell>
          <cell r="D72" t="str">
            <v>Abrazadera EMT 1'' </v>
          </cell>
          <cell r="E72" t="str">
            <v xml:space="preserve">Suplidores electricos </v>
          </cell>
          <cell r="G72">
            <v>7.1</v>
          </cell>
          <cell r="H72">
            <v>1.2779999999999998</v>
          </cell>
          <cell r="I72">
            <v>8.3780000000000001</v>
          </cell>
        </row>
        <row r="73">
          <cell r="C73" t="str">
            <v>19mm</v>
          </cell>
          <cell r="D73" t="str">
            <v>Abrazadera EMT 3/4'' </v>
          </cell>
          <cell r="E73" t="str">
            <v xml:space="preserve">Suplidores electricos </v>
          </cell>
          <cell r="G73">
            <v>5.0199999999999996</v>
          </cell>
          <cell r="H73">
            <v>0.90359999999999985</v>
          </cell>
          <cell r="I73">
            <v>5.9235999999999995</v>
          </cell>
        </row>
        <row r="74">
          <cell r="C74" t="str">
            <v>13mm</v>
          </cell>
          <cell r="D74" t="str">
            <v>Abrazadera EMT 1/2'' </v>
          </cell>
          <cell r="E74" t="str">
            <v xml:space="preserve">Suplidores electricos </v>
          </cell>
          <cell r="G74">
            <v>3.93</v>
          </cell>
          <cell r="H74">
            <v>0.70740000000000003</v>
          </cell>
          <cell r="I74">
            <v>4.6374000000000004</v>
          </cell>
        </row>
        <row r="75">
          <cell r="D75" t="str">
            <v>Abrazadera Strut 4"</v>
          </cell>
          <cell r="E75" t="str">
            <v xml:space="preserve">Suplidores electricos </v>
          </cell>
          <cell r="G75">
            <v>71.209999999999994</v>
          </cell>
          <cell r="H75">
            <v>12.817799999999998</v>
          </cell>
          <cell r="I75">
            <v>84.027799999999985</v>
          </cell>
        </row>
        <row r="76">
          <cell r="D76" t="str">
            <v>Abrazadera Strut 3"</v>
          </cell>
          <cell r="E76" t="str">
            <v xml:space="preserve">Suplidores electricos </v>
          </cell>
          <cell r="G76">
            <v>58.63</v>
          </cell>
          <cell r="H76">
            <v>10.5534</v>
          </cell>
          <cell r="I76">
            <v>69.183400000000006</v>
          </cell>
        </row>
        <row r="77">
          <cell r="D77" t="str">
            <v>Abrazadera Strut 2"</v>
          </cell>
          <cell r="E77" t="str">
            <v xml:space="preserve">Suplidores electricos </v>
          </cell>
          <cell r="G77">
            <v>44.51</v>
          </cell>
          <cell r="H77">
            <v>8.0117999999999991</v>
          </cell>
          <cell r="I77">
            <v>52.521799999999999</v>
          </cell>
        </row>
        <row r="78">
          <cell r="D78" t="str">
            <v>Abrazadera Strut 1 1/2"</v>
          </cell>
          <cell r="E78" t="str">
            <v xml:space="preserve">Suplidores electricos </v>
          </cell>
          <cell r="G78">
            <v>34.46</v>
          </cell>
          <cell r="H78">
            <v>6.2027999999999999</v>
          </cell>
          <cell r="I78">
            <v>40.662800000000004</v>
          </cell>
        </row>
        <row r="79">
          <cell r="D79" t="str">
            <v>Abrazadera Strut 1"</v>
          </cell>
          <cell r="E79" t="str">
            <v xml:space="preserve">Suplidores electricos </v>
          </cell>
          <cell r="G79">
            <v>26.24</v>
          </cell>
          <cell r="H79">
            <v>4.7231999999999994</v>
          </cell>
          <cell r="I79">
            <v>30.963199999999997</v>
          </cell>
        </row>
        <row r="80">
          <cell r="D80" t="str">
            <v>Abrazadera Strut 3/4"</v>
          </cell>
          <cell r="E80" t="str">
            <v xml:space="preserve">Suplidores electricos </v>
          </cell>
          <cell r="G80">
            <v>23.34</v>
          </cell>
          <cell r="H80">
            <v>4.2012</v>
          </cell>
          <cell r="I80">
            <v>27.5412</v>
          </cell>
        </row>
        <row r="81">
          <cell r="D81" t="str">
            <v>Abrazadera Strut 1/2"</v>
          </cell>
          <cell r="E81" t="str">
            <v xml:space="preserve">Suplidores electricos </v>
          </cell>
          <cell r="G81">
            <v>17.05</v>
          </cell>
          <cell r="H81">
            <v>3.069</v>
          </cell>
          <cell r="I81">
            <v>20.119</v>
          </cell>
        </row>
        <row r="82">
          <cell r="C82" t="str">
            <v>100mm</v>
          </cell>
          <cell r="D82" t="str">
            <v>Tubería Eléctrica IMC 4"</v>
          </cell>
          <cell r="E82" t="str">
            <v xml:space="preserve">Suplidores electricos </v>
          </cell>
          <cell r="G82">
            <v>5405.4</v>
          </cell>
          <cell r="H82">
            <v>972.97199999999987</v>
          </cell>
          <cell r="I82">
            <v>6378.3719999999994</v>
          </cell>
        </row>
        <row r="83">
          <cell r="C83" t="str">
            <v>75mm</v>
          </cell>
          <cell r="D83" t="str">
            <v>Tubería Eléctrica IMC 3"</v>
          </cell>
          <cell r="E83" t="str">
            <v xml:space="preserve">Suplidores electricos </v>
          </cell>
          <cell r="G83">
            <v>3902.1</v>
          </cell>
          <cell r="H83">
            <v>702.37799999999993</v>
          </cell>
          <cell r="I83">
            <v>4604.4780000000001</v>
          </cell>
        </row>
        <row r="84">
          <cell r="C84" t="str">
            <v>50mm</v>
          </cell>
          <cell r="D84" t="str">
            <v>Tubería Eléctrica IMC 2"</v>
          </cell>
          <cell r="E84" t="str">
            <v xml:space="preserve">Suplidores electricos </v>
          </cell>
          <cell r="G84">
            <v>1216.22</v>
          </cell>
          <cell r="H84">
            <v>218.9196</v>
          </cell>
          <cell r="I84">
            <v>1435.1396</v>
          </cell>
        </row>
        <row r="85">
          <cell r="C85" t="str">
            <v>38mm</v>
          </cell>
          <cell r="D85" t="str">
            <v>Tubería Eléctrica IMC 1 1/2"</v>
          </cell>
          <cell r="E85" t="str">
            <v xml:space="preserve">Suplidores electricos </v>
          </cell>
          <cell r="G85">
            <v>989.63</v>
          </cell>
          <cell r="H85">
            <v>178.13339999999999</v>
          </cell>
          <cell r="I85">
            <v>1167.7634</v>
          </cell>
        </row>
        <row r="86">
          <cell r="C86" t="str">
            <v>25mm</v>
          </cell>
          <cell r="D86" t="str">
            <v>Tubería Eléctrica IMC 1"</v>
          </cell>
          <cell r="E86" t="str">
            <v xml:space="preserve">Suplidores electricos </v>
          </cell>
          <cell r="G86">
            <v>608</v>
          </cell>
          <cell r="H86">
            <v>109.44</v>
          </cell>
          <cell r="I86">
            <v>717.44</v>
          </cell>
        </row>
        <row r="87">
          <cell r="C87" t="str">
            <v>19mm</v>
          </cell>
          <cell r="D87" t="str">
            <v>Tubería Eléctrica IMC 3/4"</v>
          </cell>
          <cell r="E87" t="str">
            <v xml:space="preserve">Suplidores electricos </v>
          </cell>
          <cell r="G87">
            <v>513.98</v>
          </cell>
          <cell r="H87">
            <v>92.516400000000004</v>
          </cell>
          <cell r="I87">
            <v>606.49639999999999</v>
          </cell>
        </row>
        <row r="88">
          <cell r="C88" t="str">
            <v>13mm</v>
          </cell>
          <cell r="D88" t="str">
            <v>Tubería Eléctrica IMC 1/2"</v>
          </cell>
          <cell r="E88" t="str">
            <v xml:space="preserve">Suplidores electricos </v>
          </cell>
          <cell r="G88">
            <v>414.63</v>
          </cell>
          <cell r="H88">
            <v>74.633399999999995</v>
          </cell>
          <cell r="I88">
            <v>489.26339999999999</v>
          </cell>
        </row>
        <row r="89">
          <cell r="C89" t="str">
            <v>100mm</v>
          </cell>
          <cell r="D89" t="str">
            <v>Coupling IMC 4"</v>
          </cell>
          <cell r="E89" t="str">
            <v xml:space="preserve">Suplidores electricos </v>
          </cell>
          <cell r="G89">
            <v>631.29</v>
          </cell>
          <cell r="H89">
            <v>113.63219999999998</v>
          </cell>
          <cell r="I89">
            <v>744.92219999999998</v>
          </cell>
        </row>
        <row r="90">
          <cell r="C90" t="str">
            <v>75mm</v>
          </cell>
          <cell r="D90" t="str">
            <v>Coupling IMC 3"</v>
          </cell>
          <cell r="E90" t="str">
            <v xml:space="preserve">Suplidores electricos </v>
          </cell>
          <cell r="G90">
            <v>398.48</v>
          </cell>
          <cell r="H90">
            <v>71.726399999999998</v>
          </cell>
          <cell r="I90">
            <v>470.20640000000003</v>
          </cell>
        </row>
        <row r="91">
          <cell r="C91" t="str">
            <v>50mm</v>
          </cell>
          <cell r="D91" t="str">
            <v>Coupling IMC 2"</v>
          </cell>
          <cell r="E91" t="str">
            <v xml:space="preserve">Suplidores electricos </v>
          </cell>
          <cell r="G91">
            <v>150.15</v>
          </cell>
          <cell r="H91">
            <v>27.027000000000001</v>
          </cell>
          <cell r="I91">
            <v>177.17700000000002</v>
          </cell>
        </row>
        <row r="92">
          <cell r="C92" t="str">
            <v>38mm</v>
          </cell>
          <cell r="D92" t="str">
            <v>Coupling IMC 1 1/2"</v>
          </cell>
          <cell r="E92" t="str">
            <v xml:space="preserve">Suplidores electricos </v>
          </cell>
          <cell r="G92">
            <v>84.08</v>
          </cell>
          <cell r="H92">
            <v>15.134399999999999</v>
          </cell>
          <cell r="I92">
            <v>99.214399999999998</v>
          </cell>
        </row>
        <row r="93">
          <cell r="C93" t="str">
            <v>25mm</v>
          </cell>
          <cell r="D93" t="str">
            <v>Coupling IMC 1"</v>
          </cell>
          <cell r="E93" t="str">
            <v xml:space="preserve">Suplidores electricos </v>
          </cell>
          <cell r="G93">
            <v>46.28</v>
          </cell>
          <cell r="H93">
            <v>8.3303999999999991</v>
          </cell>
          <cell r="I93">
            <v>54.610399999999998</v>
          </cell>
        </row>
        <row r="94">
          <cell r="C94" t="str">
            <v>19mm</v>
          </cell>
          <cell r="D94" t="str">
            <v>Coupling IMC 3/4"</v>
          </cell>
          <cell r="E94" t="str">
            <v xml:space="preserve">Suplidores electricos </v>
          </cell>
          <cell r="G94">
            <v>25</v>
          </cell>
          <cell r="H94">
            <v>4.5</v>
          </cell>
          <cell r="I94">
            <v>29.5</v>
          </cell>
        </row>
        <row r="95">
          <cell r="C95" t="str">
            <v>13mm</v>
          </cell>
          <cell r="D95" t="str">
            <v>Coupling IMC 1/2"</v>
          </cell>
          <cell r="E95" t="str">
            <v xml:space="preserve">Suplidores electricos </v>
          </cell>
          <cell r="G95">
            <v>24.84</v>
          </cell>
          <cell r="H95">
            <v>4.4711999999999996</v>
          </cell>
          <cell r="I95">
            <v>29.311199999999999</v>
          </cell>
        </row>
        <row r="96">
          <cell r="C96" t="str">
            <v>100mm</v>
          </cell>
          <cell r="D96" t="str">
            <v>Conector HUB 4"</v>
          </cell>
          <cell r="G96">
            <v>0</v>
          </cell>
          <cell r="H96">
            <v>0</v>
          </cell>
          <cell r="I96">
            <v>0</v>
          </cell>
        </row>
        <row r="97">
          <cell r="C97" t="str">
            <v>75mm</v>
          </cell>
          <cell r="D97" t="str">
            <v>Conector HUB 3"</v>
          </cell>
          <cell r="E97" t="str">
            <v xml:space="preserve">Suplidores electricos </v>
          </cell>
          <cell r="G97">
            <v>646.79999999999995</v>
          </cell>
          <cell r="H97">
            <v>116.42399999999999</v>
          </cell>
          <cell r="I97">
            <v>763.22399999999993</v>
          </cell>
        </row>
        <row r="98">
          <cell r="C98" t="str">
            <v>50mm</v>
          </cell>
          <cell r="D98" t="str">
            <v>Conector HUB 2"</v>
          </cell>
          <cell r="E98" t="str">
            <v xml:space="preserve">Suplidores electricos </v>
          </cell>
          <cell r="G98">
            <v>332.31</v>
          </cell>
          <cell r="H98">
            <v>59.815799999999996</v>
          </cell>
          <cell r="I98">
            <v>392.12580000000003</v>
          </cell>
        </row>
        <row r="99">
          <cell r="C99" t="str">
            <v>38mm</v>
          </cell>
          <cell r="D99" t="str">
            <v>Conector HUB 1 1/2"</v>
          </cell>
          <cell r="E99" t="str">
            <v xml:space="preserve">Suplidores electricos </v>
          </cell>
          <cell r="G99">
            <v>189.42</v>
          </cell>
          <cell r="H99">
            <v>34.095599999999997</v>
          </cell>
          <cell r="I99">
            <v>223.51559999999998</v>
          </cell>
        </row>
        <row r="100">
          <cell r="C100" t="str">
            <v>25mm</v>
          </cell>
          <cell r="D100" t="str">
            <v>Conector HUB 1"</v>
          </cell>
          <cell r="E100" t="str">
            <v xml:space="preserve">Suplidores electricos </v>
          </cell>
          <cell r="G100">
            <v>103.95</v>
          </cell>
          <cell r="H100">
            <v>18.710999999999999</v>
          </cell>
          <cell r="I100">
            <v>122.661</v>
          </cell>
        </row>
        <row r="101">
          <cell r="C101" t="str">
            <v>19mm</v>
          </cell>
          <cell r="D101" t="str">
            <v>Conector HUB 3/4"</v>
          </cell>
          <cell r="E101" t="str">
            <v xml:space="preserve">Suplidores electricos </v>
          </cell>
          <cell r="G101">
            <v>112.96</v>
          </cell>
          <cell r="H101">
            <v>20.332799999999999</v>
          </cell>
          <cell r="I101">
            <v>133.2928</v>
          </cell>
        </row>
        <row r="102">
          <cell r="C102" t="str">
            <v>13mm</v>
          </cell>
          <cell r="D102" t="str">
            <v>Conector HUB 1/2"</v>
          </cell>
          <cell r="E102" t="str">
            <v xml:space="preserve">Suplidores electricos </v>
          </cell>
          <cell r="G102">
            <v>72.349999999999994</v>
          </cell>
          <cell r="H102">
            <v>13.022999999999998</v>
          </cell>
          <cell r="I102">
            <v>85.37299999999999</v>
          </cell>
        </row>
        <row r="103">
          <cell r="C103" t="str">
            <v>100mm</v>
          </cell>
          <cell r="D103" t="str">
            <v>Curva IMC 4"</v>
          </cell>
          <cell r="G103">
            <v>0</v>
          </cell>
          <cell r="H103">
            <v>0</v>
          </cell>
          <cell r="I103">
            <v>0</v>
          </cell>
        </row>
        <row r="104">
          <cell r="C104" t="str">
            <v>75mm</v>
          </cell>
          <cell r="D104" t="str">
            <v>Curva IMC 3"</v>
          </cell>
          <cell r="G104">
            <v>0</v>
          </cell>
          <cell r="H104">
            <v>0</v>
          </cell>
          <cell r="I104">
            <v>0</v>
          </cell>
        </row>
        <row r="105">
          <cell r="C105" t="str">
            <v>50mm</v>
          </cell>
          <cell r="D105" t="str">
            <v>Curva IMC 2"</v>
          </cell>
          <cell r="E105" t="str">
            <v xml:space="preserve">Suplidores electricos </v>
          </cell>
          <cell r="G105">
            <v>452.86</v>
          </cell>
          <cell r="H105">
            <v>81.514799999999994</v>
          </cell>
          <cell r="I105">
            <v>534.37480000000005</v>
          </cell>
        </row>
        <row r="106">
          <cell r="C106" t="str">
            <v>38mm</v>
          </cell>
          <cell r="D106" t="str">
            <v>Curva IMC 1 1/2"</v>
          </cell>
          <cell r="G106">
            <v>0</v>
          </cell>
          <cell r="H106">
            <v>0</v>
          </cell>
          <cell r="I106">
            <v>0</v>
          </cell>
        </row>
        <row r="107">
          <cell r="C107" t="str">
            <v>25mm</v>
          </cell>
          <cell r="D107" t="str">
            <v>Curva IMC 1"</v>
          </cell>
          <cell r="E107" t="str">
            <v xml:space="preserve">Suplidores electricos </v>
          </cell>
          <cell r="G107">
            <v>121.28</v>
          </cell>
          <cell r="H107">
            <v>21.830400000000001</v>
          </cell>
          <cell r="I107">
            <v>143.1104</v>
          </cell>
        </row>
        <row r="108">
          <cell r="C108" t="str">
            <v>19mm</v>
          </cell>
          <cell r="D108" t="str">
            <v>Curva IMC 3/4"</v>
          </cell>
          <cell r="G108">
            <v>0</v>
          </cell>
          <cell r="H108">
            <v>0</v>
          </cell>
          <cell r="I108">
            <v>0</v>
          </cell>
        </row>
        <row r="109">
          <cell r="C109" t="str">
            <v>13mm</v>
          </cell>
          <cell r="D109" t="str">
            <v>Curva IMC 1/2"</v>
          </cell>
          <cell r="G109">
            <v>0</v>
          </cell>
          <cell r="H109">
            <v>0</v>
          </cell>
          <cell r="I109">
            <v>0</v>
          </cell>
        </row>
        <row r="110">
          <cell r="C110" t="str">
            <v>100mm</v>
          </cell>
          <cell r="D110" t="str">
            <v>Tuberia Liquidtight 4"</v>
          </cell>
          <cell r="E110" t="str">
            <v xml:space="preserve">Suplidores electricos </v>
          </cell>
          <cell r="G110">
            <v>565.84</v>
          </cell>
          <cell r="H110">
            <v>101.85120000000001</v>
          </cell>
          <cell r="I110">
            <v>667.69119999999998</v>
          </cell>
        </row>
        <row r="111">
          <cell r="C111" t="str">
            <v>75mm</v>
          </cell>
          <cell r="D111" t="str">
            <v>Tuberia Liquidtight 3"</v>
          </cell>
          <cell r="E111" t="str">
            <v xml:space="preserve">Suplidores electricos </v>
          </cell>
          <cell r="G111">
            <v>506.99</v>
          </cell>
          <cell r="H111">
            <v>91.258200000000002</v>
          </cell>
          <cell r="I111">
            <v>598.2482</v>
          </cell>
        </row>
        <row r="112">
          <cell r="C112" t="str">
            <v>50mm</v>
          </cell>
          <cell r="D112" t="str">
            <v>Tuberia Liquidtight 2"</v>
          </cell>
          <cell r="E112" t="str">
            <v xml:space="preserve">Suplidores electricos </v>
          </cell>
          <cell r="G112">
            <v>214.22</v>
          </cell>
          <cell r="H112">
            <v>38.559599999999996</v>
          </cell>
          <cell r="I112">
            <v>252.77959999999999</v>
          </cell>
        </row>
        <row r="113">
          <cell r="C113" t="str">
            <v>38mm</v>
          </cell>
          <cell r="D113" t="str">
            <v>Tuberia Liquidtight 1 1/2"</v>
          </cell>
          <cell r="E113" t="str">
            <v xml:space="preserve">Suplidores electricos </v>
          </cell>
          <cell r="G113">
            <v>110.88</v>
          </cell>
          <cell r="H113">
            <v>19.958399999999997</v>
          </cell>
          <cell r="I113">
            <v>130.83839999999998</v>
          </cell>
        </row>
        <row r="114">
          <cell r="C114" t="str">
            <v>25mm</v>
          </cell>
          <cell r="D114" t="str">
            <v>Tuberia Liquidtight 1"</v>
          </cell>
          <cell r="E114" t="str">
            <v xml:space="preserve">Suplidores electricos </v>
          </cell>
          <cell r="G114">
            <v>73.260000000000005</v>
          </cell>
          <cell r="H114">
            <v>13.1868</v>
          </cell>
          <cell r="I114">
            <v>86.44680000000001</v>
          </cell>
        </row>
        <row r="115">
          <cell r="C115" t="str">
            <v>19mm</v>
          </cell>
          <cell r="D115" t="str">
            <v>Tuberia Liquidtight 3/4"</v>
          </cell>
          <cell r="E115" t="str">
            <v xml:space="preserve">Suplidores electricos </v>
          </cell>
          <cell r="G115">
            <v>44.07</v>
          </cell>
          <cell r="H115">
            <v>7.9325999999999999</v>
          </cell>
          <cell r="I115">
            <v>52.002600000000001</v>
          </cell>
        </row>
        <row r="116">
          <cell r="C116" t="str">
            <v>13mm</v>
          </cell>
          <cell r="D116" t="str">
            <v>Tuberia Liquidtight 1/2"</v>
          </cell>
          <cell r="E116" t="str">
            <v xml:space="preserve">Suplidores electricos </v>
          </cell>
          <cell r="G116">
            <v>31.51</v>
          </cell>
          <cell r="H116">
            <v>5.6718000000000002</v>
          </cell>
          <cell r="I116">
            <v>37.181800000000003</v>
          </cell>
        </row>
        <row r="117">
          <cell r="C117" t="str">
            <v>100mm</v>
          </cell>
          <cell r="D117" t="str">
            <v>Conector Liquidtight Recto 4"</v>
          </cell>
          <cell r="G117">
            <v>0</v>
          </cell>
          <cell r="H117">
            <v>0</v>
          </cell>
          <cell r="I117">
            <v>0</v>
          </cell>
        </row>
        <row r="118">
          <cell r="C118" t="str">
            <v>75mm</v>
          </cell>
          <cell r="D118" t="str">
            <v>Conector Liquidtight Recto 3"</v>
          </cell>
          <cell r="E118" t="str">
            <v xml:space="preserve">Suplidores electricos </v>
          </cell>
          <cell r="G118">
            <v>796.1</v>
          </cell>
          <cell r="H118">
            <v>143.298</v>
          </cell>
          <cell r="I118">
            <v>939.39800000000002</v>
          </cell>
        </row>
        <row r="119">
          <cell r="C119" t="str">
            <v>50mm</v>
          </cell>
          <cell r="D119" t="str">
            <v>Conector Liquidtight Recto 2"</v>
          </cell>
          <cell r="E119" t="str">
            <v xml:space="preserve">Suplidores electricos </v>
          </cell>
          <cell r="G119">
            <v>277.45</v>
          </cell>
          <cell r="H119">
            <v>49.940999999999995</v>
          </cell>
          <cell r="I119">
            <v>327.39099999999996</v>
          </cell>
        </row>
        <row r="120">
          <cell r="C120" t="str">
            <v>38mm</v>
          </cell>
          <cell r="D120" t="str">
            <v>Conector Liquidtight Recto 1 1/2"</v>
          </cell>
          <cell r="E120" t="str">
            <v xml:space="preserve">Suplidores electricos </v>
          </cell>
          <cell r="G120">
            <v>225.17</v>
          </cell>
          <cell r="H120">
            <v>40.5306</v>
          </cell>
          <cell r="I120">
            <v>265.70060000000001</v>
          </cell>
        </row>
        <row r="121">
          <cell r="C121" t="str">
            <v>25mm</v>
          </cell>
          <cell r="D121" t="str">
            <v>Conector Liquidtight Recto 1"</v>
          </cell>
          <cell r="E121" t="str">
            <v xml:space="preserve">Suplidores electricos </v>
          </cell>
          <cell r="G121">
            <v>105.96</v>
          </cell>
          <cell r="H121">
            <v>19.072799999999997</v>
          </cell>
          <cell r="I121">
            <v>125.03279999999999</v>
          </cell>
        </row>
        <row r="122">
          <cell r="C122" t="str">
            <v>19mm</v>
          </cell>
          <cell r="D122" t="str">
            <v>Conector Liquidtight Recto 3/4"</v>
          </cell>
          <cell r="E122" t="str">
            <v xml:space="preserve">Suplidores electricos </v>
          </cell>
          <cell r="G122">
            <v>70.02</v>
          </cell>
          <cell r="H122">
            <v>12.603599999999998</v>
          </cell>
          <cell r="I122">
            <v>82.623599999999996</v>
          </cell>
        </row>
        <row r="123">
          <cell r="C123" t="str">
            <v>13mm</v>
          </cell>
          <cell r="D123" t="str">
            <v>Conector Liquidtight Recto 1/2"</v>
          </cell>
          <cell r="E123" t="str">
            <v xml:space="preserve">Suplidores electricos </v>
          </cell>
          <cell r="G123">
            <v>44.98</v>
          </cell>
          <cell r="H123">
            <v>8.0963999999999992</v>
          </cell>
          <cell r="I123">
            <v>53.076399999999992</v>
          </cell>
        </row>
        <row r="124">
          <cell r="C124" t="str">
            <v>19mm</v>
          </cell>
          <cell r="D124" t="str">
            <v>Caja EMT 2x4 3/4" USA UL</v>
          </cell>
          <cell r="E124" t="str">
            <v xml:space="preserve">Suplidores electricos </v>
          </cell>
          <cell r="G124">
            <v>44.18</v>
          </cell>
          <cell r="H124">
            <v>5.2506000000000004</v>
          </cell>
          <cell r="I124">
            <v>34.4206</v>
          </cell>
        </row>
        <row r="125">
          <cell r="C125" t="str">
            <v>13mm</v>
          </cell>
          <cell r="D125" t="str">
            <v>Caja EMT 2x4 1/2" USA UL</v>
          </cell>
          <cell r="E125" t="str">
            <v xml:space="preserve">Suplidores electricos </v>
          </cell>
          <cell r="G125">
            <v>44.87</v>
          </cell>
          <cell r="H125">
            <v>5.2506000000000004</v>
          </cell>
          <cell r="I125">
            <v>34.4206</v>
          </cell>
        </row>
        <row r="126">
          <cell r="C126" t="str">
            <v>19mm</v>
          </cell>
          <cell r="D126" t="str">
            <v>Caja octagonal EMT 3/4" USA UL</v>
          </cell>
          <cell r="E126" t="str">
            <v xml:space="preserve">Suplidores electricos </v>
          </cell>
          <cell r="G126">
            <v>49.59</v>
          </cell>
          <cell r="H126">
            <v>7.6482000000000001</v>
          </cell>
          <cell r="I126">
            <v>50.138200000000005</v>
          </cell>
        </row>
        <row r="127">
          <cell r="C127" t="str">
            <v>13mm</v>
          </cell>
          <cell r="D127" t="str">
            <v>Caja octagonal EMT 1/2" USA UL</v>
          </cell>
          <cell r="E127" t="str">
            <v xml:space="preserve">Suplidores electricos </v>
          </cell>
          <cell r="G127">
            <v>50.17</v>
          </cell>
          <cell r="H127">
            <v>7.1999999999999993</v>
          </cell>
          <cell r="I127">
            <v>47.2</v>
          </cell>
        </row>
        <row r="128">
          <cell r="C128" t="str">
            <v>19mm</v>
          </cell>
          <cell r="D128" t="str">
            <v>Caja 2x4 waterproof 3/4"</v>
          </cell>
          <cell r="G128">
            <v>219.7</v>
          </cell>
          <cell r="H128">
            <v>33.514199999999995</v>
          </cell>
          <cell r="I128">
            <v>219.70419999999999</v>
          </cell>
        </row>
        <row r="129">
          <cell r="C129" t="str">
            <v>13mm</v>
          </cell>
          <cell r="D129" t="str">
            <v>Caja 2x4 waterproof 1/2"</v>
          </cell>
          <cell r="G129">
            <v>165.95</v>
          </cell>
          <cell r="H129">
            <v>25.311599999999999</v>
          </cell>
          <cell r="I129">
            <v>165.9316</v>
          </cell>
        </row>
        <row r="130">
          <cell r="C130" t="str">
            <v>25mm</v>
          </cell>
          <cell r="D130" t="str">
            <v>Caja de metal 5x5 nk 1"</v>
          </cell>
          <cell r="E130" t="str">
            <v xml:space="preserve">Suplidores electricos </v>
          </cell>
          <cell r="G130">
            <v>134.16999999999999</v>
          </cell>
          <cell r="H130">
            <v>24.150599999999997</v>
          </cell>
          <cell r="I130">
            <v>158.32059999999998</v>
          </cell>
        </row>
        <row r="131">
          <cell r="C131" t="str">
            <v>19mm</v>
          </cell>
          <cell r="D131" t="str">
            <v>Caja de metal 5x5 nk 3/4"</v>
          </cell>
          <cell r="E131" t="str">
            <v xml:space="preserve">Suplidores electricos </v>
          </cell>
          <cell r="G131">
            <v>134.16999999999999</v>
          </cell>
          <cell r="H131">
            <v>24.150599999999997</v>
          </cell>
          <cell r="I131">
            <v>158.32059999999998</v>
          </cell>
        </row>
        <row r="132">
          <cell r="C132" t="str">
            <v>13mm</v>
          </cell>
          <cell r="D132" t="str">
            <v>Caja de metal 5x5 nk 1/2"</v>
          </cell>
          <cell r="E132" t="str">
            <v xml:space="preserve">Suplidores electricos </v>
          </cell>
          <cell r="G132">
            <v>134.16999999999999</v>
          </cell>
          <cell r="H132">
            <v>24.150599999999997</v>
          </cell>
          <cell r="I132">
            <v>158.32059999999998</v>
          </cell>
        </row>
        <row r="133">
          <cell r="D133" t="str">
            <v>CAJA REG. 12X12X4 N3R</v>
          </cell>
          <cell r="E133" t="str">
            <v xml:space="preserve">Suplidores electricos </v>
          </cell>
          <cell r="G133">
            <v>576.27</v>
          </cell>
          <cell r="H133">
            <v>24.150599999999997</v>
          </cell>
          <cell r="I133">
            <v>158.32059999999998</v>
          </cell>
        </row>
        <row r="134">
          <cell r="D134" t="str">
            <v>Tapa caja EMT 2x4 Inoxidable.</v>
          </cell>
          <cell r="E134" t="str">
            <v xml:space="preserve">Suplidores electricos </v>
          </cell>
          <cell r="G134">
            <v>23.54</v>
          </cell>
          <cell r="H134">
            <v>4.2371999999999996</v>
          </cell>
          <cell r="I134">
            <v>27.777200000000001</v>
          </cell>
        </row>
        <row r="135">
          <cell r="D135" t="str">
            <v>Tapa caja octagonal EMT USA UL</v>
          </cell>
          <cell r="E135" t="str">
            <v xml:space="preserve">Suplidores electricos </v>
          </cell>
          <cell r="G135">
            <v>23.54</v>
          </cell>
          <cell r="H135">
            <v>4.2371999999999996</v>
          </cell>
          <cell r="I135">
            <v>27.777200000000001</v>
          </cell>
        </row>
        <row r="136">
          <cell r="D136" t="str">
            <v>Tapa caja waterproof 2x4</v>
          </cell>
          <cell r="E136" t="str">
            <v xml:space="preserve">Suplidores electricos </v>
          </cell>
          <cell r="G136">
            <v>106</v>
          </cell>
          <cell r="H136">
            <v>19.079999999999998</v>
          </cell>
          <cell r="I136">
            <v>125.08</v>
          </cell>
        </row>
        <row r="137">
          <cell r="D137" t="str">
            <v>Tapa caja caja de metal 5x5 USA UL</v>
          </cell>
          <cell r="E137" t="str">
            <v xml:space="preserve">Suplidores electricos </v>
          </cell>
          <cell r="G137">
            <v>28.43</v>
          </cell>
          <cell r="H137">
            <v>5.1173999999999999</v>
          </cell>
          <cell r="I137">
            <v>33.547399999999996</v>
          </cell>
        </row>
        <row r="138">
          <cell r="D138" t="str">
            <v>Caja Reg. 175X150X80MM</v>
          </cell>
          <cell r="E138" t="str">
            <v>Deposito ferretero</v>
          </cell>
          <cell r="F138">
            <v>44214</v>
          </cell>
          <cell r="G138">
            <v>330.51</v>
          </cell>
          <cell r="H138">
            <v>59.491799999999998</v>
          </cell>
          <cell r="I138">
            <v>390.0018</v>
          </cell>
        </row>
        <row r="139">
          <cell r="D139" t="str">
            <v>Caja Reg. IP65 100X100</v>
          </cell>
          <cell r="E139" t="str">
            <v>DEposito ferretero</v>
          </cell>
          <cell r="F139">
            <v>44214</v>
          </cell>
          <cell r="G139">
            <v>145</v>
          </cell>
          <cell r="H139">
            <v>26.099999999999998</v>
          </cell>
          <cell r="I139">
            <v>171.1</v>
          </cell>
        </row>
        <row r="140">
          <cell r="D140" t="str">
            <v xml:space="preserve">Riel din </v>
          </cell>
          <cell r="E140" t="str">
            <v xml:space="preserve">Suplidores electricos </v>
          </cell>
          <cell r="F140">
            <v>44215</v>
          </cell>
          <cell r="G140">
            <v>185</v>
          </cell>
          <cell r="H140">
            <v>33.299999999999997</v>
          </cell>
          <cell r="I140">
            <v>218.3</v>
          </cell>
        </row>
        <row r="141">
          <cell r="D141" t="str">
            <v>Bornera de conexión 6mm</v>
          </cell>
          <cell r="E141" t="str">
            <v xml:space="preserve">Suplidores electricos </v>
          </cell>
          <cell r="F141">
            <v>44215</v>
          </cell>
          <cell r="G141">
            <v>75</v>
          </cell>
          <cell r="H141">
            <v>13.5</v>
          </cell>
          <cell r="I141">
            <v>88.5</v>
          </cell>
        </row>
        <row r="142">
          <cell r="D142" t="str">
            <v xml:space="preserve">Freno de riel din </v>
          </cell>
          <cell r="E142" t="str">
            <v xml:space="preserve">Suplidores electricos </v>
          </cell>
          <cell r="F142">
            <v>44215</v>
          </cell>
          <cell r="G142">
            <v>68</v>
          </cell>
          <cell r="H142">
            <v>12.24</v>
          </cell>
          <cell r="I142">
            <v>80.239999999999995</v>
          </cell>
        </row>
        <row r="143">
          <cell r="D143" t="str">
            <v xml:space="preserve">Bornera de tierra 4mm </v>
          </cell>
          <cell r="E143" t="str">
            <v xml:space="preserve">Suplidores electricos </v>
          </cell>
          <cell r="F143">
            <v>44215</v>
          </cell>
          <cell r="G143">
            <v>191</v>
          </cell>
          <cell r="H143">
            <v>34.379999999999995</v>
          </cell>
          <cell r="I143">
            <v>225.38</v>
          </cell>
        </row>
        <row r="144">
          <cell r="D144" t="str">
            <v>Barra de Tierra de 19 Circuitos</v>
          </cell>
          <cell r="E144" t="str">
            <v>ESTANDAR</v>
          </cell>
          <cell r="G144">
            <v>1745.94</v>
          </cell>
          <cell r="H144">
            <v>314.26920000000001</v>
          </cell>
          <cell r="I144">
            <v>2060.2092000000002</v>
          </cell>
        </row>
        <row r="145">
          <cell r="D145" t="str">
            <v>Barra unistrup 3/4</v>
          </cell>
          <cell r="E145" t="str">
            <v xml:space="preserve">Suplidores electricos </v>
          </cell>
          <cell r="G145">
            <v>280</v>
          </cell>
          <cell r="H145">
            <v>50.4</v>
          </cell>
          <cell r="I145">
            <v>330.4</v>
          </cell>
        </row>
        <row r="146">
          <cell r="D146" t="str">
            <v xml:space="preserve">Caja reg. Famatel 310x240x125 superficie </v>
          </cell>
          <cell r="E146" t="str">
            <v>CIMELEC</v>
          </cell>
          <cell r="F146">
            <v>44221</v>
          </cell>
          <cell r="G146">
            <v>1600</v>
          </cell>
          <cell r="H146">
            <v>288</v>
          </cell>
          <cell r="I146">
            <v>1888</v>
          </cell>
        </row>
        <row r="147">
          <cell r="D147" t="str">
            <v>TRANSFORMADOR DE CONTROL ENTRADA 240-480/120-240 50VA WINSTON (YWBK50)</v>
          </cell>
          <cell r="E147" t="str">
            <v>CIMELEC</v>
          </cell>
          <cell r="F147">
            <v>44223</v>
          </cell>
          <cell r="G147">
            <v>995</v>
          </cell>
          <cell r="H147">
            <v>179.1</v>
          </cell>
          <cell r="I147">
            <v>1174.0999999999999</v>
          </cell>
        </row>
        <row r="148">
          <cell r="D148" t="str">
            <v>Conductor 12 AWG THHN</v>
          </cell>
          <cell r="E148" t="str">
            <v xml:space="preserve">Suplidores electricos </v>
          </cell>
          <cell r="G148">
            <v>7.3</v>
          </cell>
          <cell r="H148">
            <v>1.3139999999999998</v>
          </cell>
          <cell r="I148">
            <v>8.613999999999999</v>
          </cell>
        </row>
        <row r="149">
          <cell r="D149" t="str">
            <v>Conductor 10 AWG THHN</v>
          </cell>
          <cell r="E149" t="str">
            <v xml:space="preserve">Suplidores electricos </v>
          </cell>
          <cell r="G149">
            <v>11.89</v>
          </cell>
          <cell r="H149">
            <v>2.1402000000000001</v>
          </cell>
          <cell r="I149">
            <v>14.030200000000001</v>
          </cell>
        </row>
        <row r="150">
          <cell r="D150" t="str">
            <v>Conductor 8 AWG THHN</v>
          </cell>
          <cell r="E150" t="str">
            <v xml:space="preserve">Suplidores electricos </v>
          </cell>
          <cell r="G150">
            <v>19.440000000000001</v>
          </cell>
          <cell r="H150">
            <v>3.4992000000000001</v>
          </cell>
          <cell r="I150">
            <v>22.9392</v>
          </cell>
        </row>
        <row r="151">
          <cell r="D151" t="str">
            <v>Conductor 6 AWG THHN</v>
          </cell>
          <cell r="E151" t="str">
            <v xml:space="preserve">Suplidores electricos </v>
          </cell>
          <cell r="G151">
            <v>28.76</v>
          </cell>
          <cell r="H151">
            <v>5.1768000000000001</v>
          </cell>
          <cell r="I151">
            <v>33.936800000000005</v>
          </cell>
        </row>
        <row r="152">
          <cell r="D152" t="str">
            <v>Conductor 4 AWG THHN</v>
          </cell>
          <cell r="E152" t="str">
            <v xml:space="preserve">Suplidores electricos </v>
          </cell>
          <cell r="G152">
            <v>49.56</v>
          </cell>
          <cell r="H152">
            <v>8.9207999999999998</v>
          </cell>
          <cell r="I152">
            <v>58.480800000000002</v>
          </cell>
        </row>
        <row r="153">
          <cell r="D153" t="str">
            <v xml:space="preserve">Conductor 2 AWG THHN </v>
          </cell>
          <cell r="E153" t="str">
            <v xml:space="preserve">Suplidores electricos </v>
          </cell>
          <cell r="G153">
            <v>74.75</v>
          </cell>
          <cell r="H153">
            <v>13.455</v>
          </cell>
          <cell r="I153">
            <v>88.204999999999998</v>
          </cell>
        </row>
        <row r="154">
          <cell r="D154" t="str">
            <v>Conductor 1/0 AWG THHN</v>
          </cell>
          <cell r="E154" t="str">
            <v xml:space="preserve">Suplidores electricos </v>
          </cell>
          <cell r="G154">
            <v>118.93</v>
          </cell>
          <cell r="H154">
            <v>21.407399999999999</v>
          </cell>
          <cell r="I154">
            <v>140.3374</v>
          </cell>
        </row>
        <row r="155">
          <cell r="D155" t="str">
            <v>Conductor 2/0 AWG THHN</v>
          </cell>
          <cell r="E155" t="str">
            <v xml:space="preserve">Suplidores electricos </v>
          </cell>
          <cell r="G155">
            <v>133.85</v>
          </cell>
          <cell r="H155">
            <v>24.092999999999996</v>
          </cell>
          <cell r="I155">
            <v>157.94299999999998</v>
          </cell>
        </row>
        <row r="156">
          <cell r="D156" t="str">
            <v>Conductor 3/0 AWG THHN</v>
          </cell>
          <cell r="E156" t="str">
            <v xml:space="preserve">Suplidores electricos </v>
          </cell>
          <cell r="G156">
            <v>180.96</v>
          </cell>
          <cell r="H156">
            <v>32.572800000000001</v>
          </cell>
          <cell r="I156">
            <v>213.53280000000001</v>
          </cell>
        </row>
        <row r="157">
          <cell r="D157" t="str">
            <v>Conductor 4/0 AWG THHN</v>
          </cell>
          <cell r="E157" t="str">
            <v xml:space="preserve">Suplidores electricos </v>
          </cell>
          <cell r="G157">
            <v>226.2</v>
          </cell>
          <cell r="H157">
            <v>40.715999999999994</v>
          </cell>
          <cell r="I157">
            <v>266.916</v>
          </cell>
        </row>
        <row r="158">
          <cell r="D158" t="str">
            <v xml:space="preserve">Conductor RV-K 2.5mm2 </v>
          </cell>
          <cell r="G158">
            <v>5.53</v>
          </cell>
          <cell r="H158">
            <v>0.99540000000000006</v>
          </cell>
          <cell r="I158">
            <v>6.5254000000000003</v>
          </cell>
        </row>
        <row r="159">
          <cell r="D159" t="str">
            <v xml:space="preserve">Conductor RV-K 4mm2 </v>
          </cell>
          <cell r="G159">
            <v>9.0399999999999991</v>
          </cell>
          <cell r="H159">
            <v>1.6271999999999998</v>
          </cell>
          <cell r="I159">
            <v>10.667199999999999</v>
          </cell>
        </row>
        <row r="160">
          <cell r="D160" t="str">
            <v xml:space="preserve">Conductor RV-K 6mm2 </v>
          </cell>
          <cell r="G160">
            <v>14.63</v>
          </cell>
          <cell r="H160">
            <v>2.6334</v>
          </cell>
          <cell r="I160">
            <v>17.263400000000001</v>
          </cell>
        </row>
        <row r="161">
          <cell r="D161" t="str">
            <v xml:space="preserve">Conductor RV-K 10mm2 </v>
          </cell>
          <cell r="G161">
            <v>25.33</v>
          </cell>
          <cell r="H161">
            <v>4.5593999999999992</v>
          </cell>
          <cell r="I161">
            <v>29.889399999999998</v>
          </cell>
        </row>
        <row r="162">
          <cell r="D162" t="str">
            <v xml:space="preserve">Conductor RV-K 16mm2 </v>
          </cell>
          <cell r="E162" t="str">
            <v xml:space="preserve">Suplidores electricos </v>
          </cell>
          <cell r="G162">
            <v>33.049999999999997</v>
          </cell>
          <cell r="H162">
            <v>5.948999999999999</v>
          </cell>
          <cell r="I162">
            <v>38.998999999999995</v>
          </cell>
        </row>
        <row r="163">
          <cell r="D163" t="str">
            <v xml:space="preserve">Conductor RV-K 25mm2 </v>
          </cell>
          <cell r="E163" t="str">
            <v xml:space="preserve">Suplidores electricos </v>
          </cell>
          <cell r="G163">
            <v>53</v>
          </cell>
          <cell r="H163">
            <v>9.5399999999999991</v>
          </cell>
          <cell r="I163">
            <v>62.54</v>
          </cell>
        </row>
        <row r="164">
          <cell r="D164" t="str">
            <v xml:space="preserve">Conductor RV-K 35mm2 </v>
          </cell>
          <cell r="E164" t="str">
            <v xml:space="preserve">Suplidores electricos </v>
          </cell>
          <cell r="G164">
            <v>76.23</v>
          </cell>
          <cell r="H164">
            <v>13.721400000000001</v>
          </cell>
          <cell r="I164">
            <v>89.951400000000007</v>
          </cell>
        </row>
        <row r="165">
          <cell r="D165" t="str">
            <v xml:space="preserve">Conductor RV-K 50mm2 </v>
          </cell>
          <cell r="E165" t="str">
            <v xml:space="preserve">Suplidores electricos </v>
          </cell>
          <cell r="G165">
            <v>109.59</v>
          </cell>
          <cell r="H165">
            <v>19.726199999999999</v>
          </cell>
          <cell r="I165">
            <v>129.31620000000001</v>
          </cell>
        </row>
        <row r="166">
          <cell r="D166" t="str">
            <v xml:space="preserve">Conductor RV-K 70mm2 </v>
          </cell>
          <cell r="E166" t="str">
            <v xml:space="preserve">Suplidores electricos </v>
          </cell>
          <cell r="G166">
            <v>145</v>
          </cell>
          <cell r="H166">
            <v>26.099999999999998</v>
          </cell>
          <cell r="I166">
            <v>171.1</v>
          </cell>
        </row>
        <row r="167">
          <cell r="D167" t="str">
            <v xml:space="preserve">Conductor RV-K 95mm2 </v>
          </cell>
          <cell r="E167" t="str">
            <v xml:space="preserve">Suplidores electricos </v>
          </cell>
          <cell r="G167">
            <v>195</v>
          </cell>
          <cell r="H167">
            <v>35.1</v>
          </cell>
          <cell r="I167">
            <v>230.1</v>
          </cell>
        </row>
        <row r="168">
          <cell r="C168" t="str">
            <v>120mm2</v>
          </cell>
          <cell r="D168" t="str">
            <v xml:space="preserve">Conductor RV-K 120mm2 </v>
          </cell>
          <cell r="E168" t="str">
            <v xml:space="preserve">Suplidores electricos </v>
          </cell>
          <cell r="G168">
            <v>235</v>
          </cell>
          <cell r="H168">
            <v>42.3</v>
          </cell>
          <cell r="I168">
            <v>277.3</v>
          </cell>
        </row>
        <row r="169">
          <cell r="C169" t="str">
            <v>150mm2</v>
          </cell>
          <cell r="D169" t="str">
            <v xml:space="preserve">Conductor RV-K 150mm2 </v>
          </cell>
          <cell r="G169">
            <v>0</v>
          </cell>
          <cell r="H169">
            <v>0</v>
          </cell>
          <cell r="I169">
            <v>0</v>
          </cell>
        </row>
        <row r="170">
          <cell r="C170" t="str">
            <v>185mm2</v>
          </cell>
          <cell r="D170" t="str">
            <v xml:space="preserve">Conductor RV-K 185mm2 </v>
          </cell>
          <cell r="G170">
            <v>0</v>
          </cell>
          <cell r="H170">
            <v>0</v>
          </cell>
          <cell r="I170">
            <v>0</v>
          </cell>
        </row>
        <row r="171">
          <cell r="C171" t="str">
            <v>240mm2</v>
          </cell>
          <cell r="D171" t="str">
            <v xml:space="preserve">Conductor RV-K 240mm2 </v>
          </cell>
          <cell r="G171">
            <v>396.26</v>
          </cell>
          <cell r="H171">
            <v>71.326799999999992</v>
          </cell>
          <cell r="I171">
            <v>467.58679999999998</v>
          </cell>
        </row>
        <row r="172">
          <cell r="B172" t="str">
            <v>LIVING-LIGHT</v>
          </cell>
          <cell r="C172" t="str">
            <v>120v/20A</v>
          </cell>
          <cell r="D172" t="str">
            <v>Tomacorriente 20A Livinglight</v>
          </cell>
          <cell r="G172">
            <v>775.51</v>
          </cell>
          <cell r="H172">
            <v>139.59180000000001</v>
          </cell>
          <cell r="I172">
            <v>915.10180000000003</v>
          </cell>
        </row>
        <row r="173">
          <cell r="B173" t="str">
            <v>MATIX</v>
          </cell>
          <cell r="C173" t="str">
            <v>120v/20A</v>
          </cell>
          <cell r="D173" t="str">
            <v>Tomacorriente 15A Matix (AM5115D + 503SB/SA)</v>
          </cell>
          <cell r="G173">
            <v>436.93</v>
          </cell>
          <cell r="H173">
            <v>78.647400000000005</v>
          </cell>
          <cell r="I173">
            <v>515.57740000000001</v>
          </cell>
        </row>
        <row r="174">
          <cell r="B174" t="str">
            <v>MATIX</v>
          </cell>
          <cell r="C174" t="str">
            <v>120v/20A GFCI</v>
          </cell>
          <cell r="D174" t="str">
            <v>Tomacorriente GFCI 20A Matix (AM5028GFR)</v>
          </cell>
          <cell r="G174">
            <v>1903.52</v>
          </cell>
          <cell r="H174">
            <v>342.6336</v>
          </cell>
          <cell r="I174">
            <v>2246.1536000000001</v>
          </cell>
        </row>
        <row r="175">
          <cell r="B175" t="str">
            <v>MATIX</v>
          </cell>
          <cell r="C175" t="str">
            <v>220V/20A</v>
          </cell>
          <cell r="D175" t="str">
            <v>Tomacorriente 20A 250V Matix</v>
          </cell>
          <cell r="G175">
            <v>0</v>
          </cell>
          <cell r="H175">
            <v>0</v>
          </cell>
          <cell r="I175">
            <v>0</v>
          </cell>
        </row>
        <row r="176">
          <cell r="B176" t="str">
            <v>LEVITON</v>
          </cell>
          <cell r="C176" t="str">
            <v>120v/20A</v>
          </cell>
          <cell r="D176" t="str">
            <v>Tomacorriente 20A Leviton</v>
          </cell>
          <cell r="G176">
            <v>123.58</v>
          </cell>
          <cell r="H176">
            <v>22.244399999999999</v>
          </cell>
          <cell r="I176">
            <v>145.8244</v>
          </cell>
        </row>
        <row r="177">
          <cell r="B177" t="str">
            <v>LEVITON</v>
          </cell>
          <cell r="C177" t="str">
            <v>120v/20A GFCI</v>
          </cell>
          <cell r="D177" t="str">
            <v>Tomacorriente GFCI 20A Leviton</v>
          </cell>
          <cell r="G177">
            <v>895.99</v>
          </cell>
          <cell r="H177">
            <v>161.2782</v>
          </cell>
          <cell r="I177">
            <v>1057.2682</v>
          </cell>
        </row>
        <row r="178">
          <cell r="B178" t="str">
            <v>LEVITON</v>
          </cell>
          <cell r="C178" t="str">
            <v>220V/20A</v>
          </cell>
          <cell r="D178" t="str">
            <v>Tomacorriente 20A 250V Leviton 5821</v>
          </cell>
          <cell r="G178">
            <v>175</v>
          </cell>
          <cell r="H178">
            <v>31.5</v>
          </cell>
          <cell r="I178">
            <v>206.5</v>
          </cell>
        </row>
        <row r="182">
          <cell r="B182" t="str">
            <v>MATIX</v>
          </cell>
          <cell r="C182" t="str">
            <v>Tapa termoplástico</v>
          </cell>
          <cell r="D182" t="str">
            <v>Tapa para tomacorriente MATIX (AM503/3N)</v>
          </cell>
          <cell r="G182">
            <v>75</v>
          </cell>
          <cell r="H182">
            <v>13.5</v>
          </cell>
          <cell r="I182">
            <v>88.5</v>
          </cell>
        </row>
        <row r="183">
          <cell r="B183" t="str">
            <v>MATIX</v>
          </cell>
        </row>
        <row r="184">
          <cell r="B184" t="str">
            <v>MATIX</v>
          </cell>
        </row>
        <row r="185">
          <cell r="B185" t="str">
            <v>LEVITON</v>
          </cell>
          <cell r="C185" t="str">
            <v>Tapa 220v</v>
          </cell>
          <cell r="D185" t="str">
            <v>Tapa para tomacorriente 20A 250V Leviton 5821, 80704</v>
          </cell>
          <cell r="G185">
            <v>30</v>
          </cell>
          <cell r="H185">
            <v>5.3999999999999995</v>
          </cell>
          <cell r="I185">
            <v>35.4</v>
          </cell>
        </row>
        <row r="186">
          <cell r="B186" t="str">
            <v>LEVITON</v>
          </cell>
          <cell r="C186" t="str">
            <v>Tapa GFCI</v>
          </cell>
          <cell r="D186" t="str">
            <v>Tapa para tomacorriente GFCI 20A Leviton</v>
          </cell>
          <cell r="G186">
            <v>126</v>
          </cell>
          <cell r="H186">
            <v>22.68</v>
          </cell>
          <cell r="I186">
            <v>148.68</v>
          </cell>
        </row>
        <row r="187">
          <cell r="B187" t="str">
            <v>LEVITON</v>
          </cell>
          <cell r="C187" t="str">
            <v>Tapa Inox.</v>
          </cell>
          <cell r="D187" t="str">
            <v>Tapa inox. para tomacorriente 20A Leviton, 84003-40</v>
          </cell>
          <cell r="G187">
            <v>91.24</v>
          </cell>
          <cell r="H187">
            <v>16.423199999999998</v>
          </cell>
          <cell r="I187">
            <v>107.66319999999999</v>
          </cell>
        </row>
        <row r="188">
          <cell r="B188" t="str">
            <v>LEVITON</v>
          </cell>
          <cell r="C188" t="str">
            <v>Tapa termoplástico</v>
          </cell>
          <cell r="D188" t="str">
            <v>Tapa para tomacorriente 20A Leviton, PJ8</v>
          </cell>
          <cell r="G188">
            <v>61.84</v>
          </cell>
          <cell r="H188">
            <v>11.1312</v>
          </cell>
          <cell r="I188">
            <v>72.97120000000001</v>
          </cell>
        </row>
        <row r="190">
          <cell r="B190" t="str">
            <v>LIVING-LIGHT</v>
          </cell>
          <cell r="C190" t="str">
            <v>Sencillo</v>
          </cell>
          <cell r="D190" t="str">
            <v>Apagador Sencillo 20A Livinglight</v>
          </cell>
          <cell r="G190">
            <v>923.14</v>
          </cell>
          <cell r="H190">
            <v>166.1652</v>
          </cell>
          <cell r="I190">
            <v>1089.3052</v>
          </cell>
        </row>
        <row r="191">
          <cell r="B191" t="str">
            <v>LIVING-LIGHT</v>
          </cell>
          <cell r="C191" t="str">
            <v>Doble</v>
          </cell>
          <cell r="D191" t="str">
            <v>Apagador Dobel 20A Livinglight</v>
          </cell>
          <cell r="G191">
            <v>0</v>
          </cell>
          <cell r="H191">
            <v>0</v>
          </cell>
          <cell r="I191">
            <v>0</v>
          </cell>
        </row>
        <row r="192">
          <cell r="B192" t="str">
            <v>LIVING-LIGHT</v>
          </cell>
          <cell r="C192" t="str">
            <v>Triple</v>
          </cell>
          <cell r="D192" t="str">
            <v>Apagador Triple 20A Livinglight</v>
          </cell>
          <cell r="G192">
            <v>0</v>
          </cell>
          <cell r="H192">
            <v>0</v>
          </cell>
          <cell r="I192">
            <v>0</v>
          </cell>
        </row>
        <row r="193">
          <cell r="B193" t="str">
            <v>LIVING-LIGHT</v>
          </cell>
          <cell r="C193" t="str">
            <v>3-way</v>
          </cell>
          <cell r="D193" t="str">
            <v>Apagador tres vías 20A Livinglight</v>
          </cell>
          <cell r="G193">
            <v>0</v>
          </cell>
          <cell r="H193">
            <v>0</v>
          </cell>
          <cell r="I193">
            <v>0</v>
          </cell>
        </row>
        <row r="194">
          <cell r="B194" t="str">
            <v>MATIX</v>
          </cell>
          <cell r="C194" t="str">
            <v>Sencillo</v>
          </cell>
          <cell r="D194" t="str">
            <v>Apagador Sencillo 20A Matix (AM5001 + 503SB/SA+ AM503/1N)</v>
          </cell>
          <cell r="G194">
            <v>306.87</v>
          </cell>
          <cell r="H194">
            <v>55.236599999999996</v>
          </cell>
          <cell r="I194">
            <v>362.10660000000001</v>
          </cell>
        </row>
        <row r="195">
          <cell r="B195" t="str">
            <v>MATIX</v>
          </cell>
          <cell r="C195" t="str">
            <v>Doble</v>
          </cell>
          <cell r="D195" t="str">
            <v>Apagador Doble 20A Matix (2xAM5001 + 503SB/SA+ AM503/2N)</v>
          </cell>
          <cell r="G195">
            <v>479.21999999999997</v>
          </cell>
          <cell r="H195">
            <v>86.259599999999992</v>
          </cell>
          <cell r="I195">
            <v>565.4796</v>
          </cell>
        </row>
        <row r="196">
          <cell r="B196" t="str">
            <v>MATIX</v>
          </cell>
          <cell r="C196" t="str">
            <v>Triple</v>
          </cell>
          <cell r="D196" t="str">
            <v>Apagador Triple 20A Matix  (3xAM5001 + 503SB/SA+ AM503/3N)</v>
          </cell>
          <cell r="G196">
            <v>651.56999999999994</v>
          </cell>
          <cell r="H196">
            <v>117.28259999999999</v>
          </cell>
          <cell r="I196">
            <v>768.85259999999994</v>
          </cell>
        </row>
        <row r="197">
          <cell r="B197" t="str">
            <v>MATIX</v>
          </cell>
          <cell r="C197" t="str">
            <v>3-way</v>
          </cell>
          <cell r="D197" t="str">
            <v>Apagador tres vías 20A Matix (AM5003 + 503SB/SA+ AM503/1N)</v>
          </cell>
          <cell r="G197">
            <v>324.63</v>
          </cell>
          <cell r="H197">
            <v>58.433399999999999</v>
          </cell>
          <cell r="I197">
            <v>383.0634</v>
          </cell>
        </row>
        <row r="198">
          <cell r="B198" t="str">
            <v>LEVITON</v>
          </cell>
          <cell r="C198" t="str">
            <v>Sencillo</v>
          </cell>
          <cell r="D198" t="str">
            <v>Apagador Sencillo 20A Leviton</v>
          </cell>
          <cell r="G198">
            <v>218.3</v>
          </cell>
          <cell r="H198">
            <v>39.294000000000004</v>
          </cell>
          <cell r="I198">
            <v>257.59399999999999</v>
          </cell>
        </row>
        <row r="199">
          <cell r="B199" t="str">
            <v>LEVITON</v>
          </cell>
          <cell r="D199" t="str">
            <v>Apagador Doble 20A Leviton</v>
          </cell>
          <cell r="G199">
            <v>0</v>
          </cell>
          <cell r="H199">
            <v>0</v>
          </cell>
          <cell r="I199">
            <v>0</v>
          </cell>
        </row>
        <row r="200">
          <cell r="B200" t="str">
            <v>LEVITON</v>
          </cell>
          <cell r="D200" t="str">
            <v>Apagador Triple 20A Leviton</v>
          </cell>
          <cell r="G200">
            <v>0</v>
          </cell>
          <cell r="H200">
            <v>0</v>
          </cell>
          <cell r="I200">
            <v>0</v>
          </cell>
        </row>
        <row r="201">
          <cell r="B201" t="str">
            <v>LEVITON</v>
          </cell>
          <cell r="D201" t="str">
            <v>Apagador tres vías 20A Leviton</v>
          </cell>
          <cell r="G201">
            <v>326.61</v>
          </cell>
          <cell r="H201">
            <v>58.7898</v>
          </cell>
          <cell r="I201">
            <v>385.39980000000003</v>
          </cell>
        </row>
        <row r="202">
          <cell r="D202" t="str">
            <v>Tarugo para varilla roscada 3/8</v>
          </cell>
          <cell r="G202">
            <v>16.04</v>
          </cell>
          <cell r="H202">
            <v>2.8871999999999995</v>
          </cell>
          <cell r="I202">
            <v>18.927199999999999</v>
          </cell>
        </row>
        <row r="203">
          <cell r="D203" t="str">
            <v>Arandela plana Galv. 3/8</v>
          </cell>
          <cell r="G203">
            <v>0.7</v>
          </cell>
          <cell r="H203">
            <v>0.126</v>
          </cell>
          <cell r="I203">
            <v>0.82599999999999996</v>
          </cell>
        </row>
        <row r="204">
          <cell r="D204" t="str">
            <v>Tuerca para varilla roscada 3/8</v>
          </cell>
          <cell r="G204">
            <v>1</v>
          </cell>
          <cell r="H204">
            <v>0.18</v>
          </cell>
          <cell r="I204">
            <v>1.18</v>
          </cell>
        </row>
        <row r="205">
          <cell r="D205" t="str">
            <v>varilla roscada 3/8</v>
          </cell>
          <cell r="G205">
            <v>94.32</v>
          </cell>
          <cell r="H205">
            <v>16.977599999999999</v>
          </cell>
          <cell r="I205">
            <v>111.29759999999999</v>
          </cell>
        </row>
        <row r="206">
          <cell r="B206" t="str">
            <v>Conectores</v>
          </cell>
          <cell r="D206" t="str">
            <v>Conectores Spring Amarillos 10-12</v>
          </cell>
          <cell r="G206">
            <v>8.3800000000000008</v>
          </cell>
          <cell r="H206">
            <v>1.5084000000000002</v>
          </cell>
          <cell r="I206">
            <v>9.8884000000000007</v>
          </cell>
        </row>
        <row r="207">
          <cell r="B207" t="str">
            <v>Tornillos</v>
          </cell>
          <cell r="D207" t="str">
            <v xml:space="preserve">Tornillos para tarugo de plomo </v>
          </cell>
          <cell r="G207">
            <v>10</v>
          </cell>
          <cell r="H207">
            <v>1.7999999999999998</v>
          </cell>
          <cell r="I207">
            <v>11.8</v>
          </cell>
        </row>
        <row r="208">
          <cell r="B208" t="str">
            <v>Tornillos</v>
          </cell>
          <cell r="D208" t="str">
            <v>Tornillo Diablito 5X50(10X2X")</v>
          </cell>
          <cell r="G208">
            <v>1.1186440677966103</v>
          </cell>
          <cell r="H208">
            <v>0.20135593220338985</v>
          </cell>
          <cell r="I208">
            <v>1.32</v>
          </cell>
        </row>
        <row r="209">
          <cell r="B209" t="str">
            <v>Tornillos</v>
          </cell>
          <cell r="D209" t="str">
            <v>Tornillo Tirafondo 10X1- 1/2</v>
          </cell>
          <cell r="E209" t="str">
            <v xml:space="preserve">Marba Dominicana </v>
          </cell>
          <cell r="F209">
            <v>44215</v>
          </cell>
          <cell r="G209">
            <v>3.14</v>
          </cell>
          <cell r="H209">
            <v>0.56520000000000004</v>
          </cell>
          <cell r="I209">
            <v>3.7052</v>
          </cell>
        </row>
        <row r="210">
          <cell r="D210" t="str">
            <v>TARUGO DE PLOMO LARGA 3/8 X 2. 1/2"</v>
          </cell>
          <cell r="G210">
            <v>61.85</v>
          </cell>
          <cell r="H210">
            <v>11.132999999999999</v>
          </cell>
          <cell r="I210">
            <v>72.983000000000004</v>
          </cell>
        </row>
        <row r="211">
          <cell r="B211" t="str">
            <v>Tarugos</v>
          </cell>
          <cell r="D211" t="str">
            <v>Tarugo Plástico 5/16 X 1 1/2 Azul</v>
          </cell>
          <cell r="E211" t="str">
            <v xml:space="preserve">Marba Dominicana </v>
          </cell>
          <cell r="G211">
            <v>1</v>
          </cell>
          <cell r="H211">
            <v>0.18</v>
          </cell>
          <cell r="I211">
            <v>1.18</v>
          </cell>
        </row>
        <row r="212">
          <cell r="B212" t="str">
            <v>Tarugos</v>
          </cell>
          <cell r="D212" t="str">
            <v>Tarugos 5/8"</v>
          </cell>
          <cell r="G212">
            <v>25</v>
          </cell>
          <cell r="H212">
            <v>4.5</v>
          </cell>
          <cell r="I212">
            <v>29.5</v>
          </cell>
        </row>
        <row r="213">
          <cell r="D213" t="str">
            <v>Arandela acero inoxidable plana 1/4"</v>
          </cell>
          <cell r="E213" t="str">
            <v xml:space="preserve">Marba Dominicana </v>
          </cell>
          <cell r="G213">
            <v>2</v>
          </cell>
          <cell r="H213">
            <v>0.36</v>
          </cell>
          <cell r="I213">
            <v>2.36</v>
          </cell>
        </row>
        <row r="214">
          <cell r="B214" t="str">
            <v>Arandelas</v>
          </cell>
          <cell r="D214" t="str">
            <v>Arandelas para tarugo de plomo</v>
          </cell>
          <cell r="G214">
            <v>1.2</v>
          </cell>
          <cell r="H214">
            <v>0.216</v>
          </cell>
          <cell r="I214">
            <v>1.4159999999999999</v>
          </cell>
        </row>
        <row r="215">
          <cell r="D215" t="str">
            <v>Cable de Goma 12AWG</v>
          </cell>
        </row>
        <row r="216">
          <cell r="D216" t="str">
            <v>Interruptor Orbis QRD 24h/120V</v>
          </cell>
          <cell r="G216">
            <v>1750</v>
          </cell>
          <cell r="H216">
            <v>315</v>
          </cell>
          <cell r="I216">
            <v>2065</v>
          </cell>
        </row>
        <row r="217">
          <cell r="D217" t="str">
            <v>Contactor Modular 25A 2NA 127V Schneider Electric</v>
          </cell>
          <cell r="G217">
            <v>1400</v>
          </cell>
          <cell r="H217">
            <v>252</v>
          </cell>
          <cell r="I217">
            <v>1652</v>
          </cell>
        </row>
        <row r="218">
          <cell r="D218" t="str">
            <v>Barrena 5/16 4x6</v>
          </cell>
          <cell r="E218" t="str">
            <v xml:space="preserve">Deposito ferretero </v>
          </cell>
          <cell r="F218">
            <v>44214</v>
          </cell>
          <cell r="G218">
            <v>185</v>
          </cell>
          <cell r="H218">
            <v>33.299999999999997</v>
          </cell>
          <cell r="I218">
            <v>218.3</v>
          </cell>
        </row>
        <row r="219">
          <cell r="D219" t="str">
            <v>Disco ultrafino 4. 1/2</v>
          </cell>
          <cell r="E219" t="str">
            <v xml:space="preserve">Deposito ferretero </v>
          </cell>
          <cell r="F219">
            <v>44214</v>
          </cell>
          <cell r="G219">
            <v>120</v>
          </cell>
          <cell r="H219">
            <v>21.599999999999998</v>
          </cell>
          <cell r="I219">
            <v>141.6</v>
          </cell>
        </row>
        <row r="220">
          <cell r="D220" t="str">
            <v>Nivel 18 STHT42073</v>
          </cell>
          <cell r="E220" t="str">
            <v xml:space="preserve">Deposito ferretero </v>
          </cell>
          <cell r="F220">
            <v>44214</v>
          </cell>
          <cell r="G220">
            <v>750</v>
          </cell>
          <cell r="H220">
            <v>135</v>
          </cell>
          <cell r="I220">
            <v>885</v>
          </cell>
        </row>
        <row r="221">
          <cell r="D221" t="str">
            <v xml:space="preserve">Multiconductor 3x12 AWG </v>
          </cell>
          <cell r="G221">
            <v>30</v>
          </cell>
          <cell r="H221">
            <v>5.3999999999999995</v>
          </cell>
          <cell r="I221">
            <v>35.4</v>
          </cell>
        </row>
        <row r="222">
          <cell r="D222" t="str">
            <v>Detector color. Marca: Telemecanique Modelo: XUKOARCTL2</v>
          </cell>
          <cell r="E222" t="str">
            <v>Tecnielectric</v>
          </cell>
          <cell r="F222">
            <v>44211</v>
          </cell>
          <cell r="G222">
            <v>8035</v>
          </cell>
          <cell r="H222">
            <v>1446.3</v>
          </cell>
          <cell r="I222">
            <v>9481.2999999999993</v>
          </cell>
        </row>
        <row r="223">
          <cell r="D223" t="str">
            <v xml:space="preserve">Porta fusible 32AP/Riel con luz </v>
          </cell>
          <cell r="E223" t="str">
            <v>Tecnielectric</v>
          </cell>
          <cell r="F223">
            <v>44222</v>
          </cell>
          <cell r="G223">
            <v>69.62</v>
          </cell>
          <cell r="H223">
            <v>12.531600000000001</v>
          </cell>
          <cell r="I223">
            <v>82.151600000000002</v>
          </cell>
        </row>
        <row r="224">
          <cell r="D224" t="str">
            <v>Fusible 02A 10X38MM</v>
          </cell>
          <cell r="E224" t="str">
            <v>Tecnielectric</v>
          </cell>
          <cell r="F224">
            <v>44222</v>
          </cell>
          <cell r="G224">
            <v>12.76</v>
          </cell>
          <cell r="H224">
            <v>2.2967999999999997</v>
          </cell>
          <cell r="I224">
            <v>15.056799999999999</v>
          </cell>
        </row>
        <row r="225">
          <cell r="D225" t="str">
            <v>Diferencial 40AMP 4POLOS 30MA  Marca: SCHNEIDER</v>
          </cell>
          <cell r="E225" t="str">
            <v>CIMELEC</v>
          </cell>
          <cell r="F225">
            <v>44214</v>
          </cell>
          <cell r="G225">
            <v>1500</v>
          </cell>
          <cell r="H225">
            <v>270</v>
          </cell>
          <cell r="I225">
            <v>1770</v>
          </cell>
        </row>
        <row r="226">
          <cell r="D226" t="str">
            <v>Int. Modular 32AMP 4POLOS 6KA EASY9</v>
          </cell>
          <cell r="E226" t="str">
            <v>CIMELEC</v>
          </cell>
          <cell r="F226">
            <v>44214</v>
          </cell>
          <cell r="G226">
            <v>750</v>
          </cell>
          <cell r="H226">
            <v>135</v>
          </cell>
          <cell r="I226">
            <v>885</v>
          </cell>
        </row>
        <row r="227">
          <cell r="D227" t="str">
            <v xml:space="preserve">Monitor de fase a 480V  </v>
          </cell>
          <cell r="E227" t="str">
            <v>CIMELEC</v>
          </cell>
          <cell r="F227">
            <v>44222</v>
          </cell>
          <cell r="G227">
            <v>7500</v>
          </cell>
          <cell r="H227">
            <v>1350</v>
          </cell>
          <cell r="I227">
            <v>8850</v>
          </cell>
        </row>
        <row r="228">
          <cell r="D228" t="str">
            <v>Monitor de fase a 480V  (GIC)</v>
          </cell>
          <cell r="E228" t="str">
            <v>ELECTROCONTROL</v>
          </cell>
          <cell r="F228">
            <v>44222</v>
          </cell>
          <cell r="G228">
            <v>1840</v>
          </cell>
          <cell r="H228">
            <v>331.2</v>
          </cell>
          <cell r="I228">
            <v>2171.1999999999998</v>
          </cell>
        </row>
        <row r="229">
          <cell r="D229" t="str">
            <v>Monitor de fase a 480V  (3UG46) Marca: Siemens</v>
          </cell>
          <cell r="E229" t="str">
            <v xml:space="preserve">WECH AUTOCONTROLES </v>
          </cell>
          <cell r="F229">
            <v>44222</v>
          </cell>
          <cell r="G229">
            <v>19750</v>
          </cell>
          <cell r="H229">
            <v>3555</v>
          </cell>
          <cell r="I229">
            <v>23305</v>
          </cell>
        </row>
        <row r="230">
          <cell r="D230" t="str">
            <v>Breaker 250A 3P 600V HGM HYUNDAI</v>
          </cell>
          <cell r="E230" t="str">
            <v>TECNIELECTRIC</v>
          </cell>
          <cell r="F230">
            <v>44223</v>
          </cell>
          <cell r="G230">
            <v>4075.87</v>
          </cell>
          <cell r="H230">
            <v>733.65659999999991</v>
          </cell>
          <cell r="I230">
            <v>4809.5266000000001</v>
          </cell>
        </row>
        <row r="231">
          <cell r="D231" t="str">
            <v>Bobina de disparoP/EZC250 110VAC</v>
          </cell>
          <cell r="E231" t="str">
            <v>TECNIELECTRIC</v>
          </cell>
          <cell r="F231">
            <v>44223</v>
          </cell>
          <cell r="G231">
            <v>1821.3</v>
          </cell>
          <cell r="H231">
            <v>327.834</v>
          </cell>
          <cell r="I231">
            <v>2149.134</v>
          </cell>
        </row>
        <row r="232">
          <cell r="D232" t="str">
            <v>Terminal de ojo Cable #2 Topaz</v>
          </cell>
          <cell r="G232">
            <v>60.42</v>
          </cell>
          <cell r="H232">
            <v>10.8756</v>
          </cell>
          <cell r="I232">
            <v>71.295600000000007</v>
          </cell>
        </row>
        <row r="233">
          <cell r="D233" t="str">
            <v>Terminal Tipo silla P/conductor 2 AWG</v>
          </cell>
          <cell r="G233">
            <v>106.932</v>
          </cell>
          <cell r="H233">
            <v>19.24776</v>
          </cell>
          <cell r="I233">
            <v>126.17976</v>
          </cell>
        </row>
        <row r="235">
          <cell r="D235" t="str">
            <v>Conduleta Botagua 4"</v>
          </cell>
          <cell r="G235">
            <v>1392.41</v>
          </cell>
          <cell r="H235">
            <v>250.63380000000001</v>
          </cell>
          <cell r="I235">
            <v>1643.0438000000001</v>
          </cell>
        </row>
        <row r="236">
          <cell r="C236" t="str">
            <v>75mm</v>
          </cell>
          <cell r="D236" t="str">
            <v>Conduleta Botagua 3"</v>
          </cell>
          <cell r="G236">
            <v>1500.58</v>
          </cell>
          <cell r="H236">
            <v>270.1044</v>
          </cell>
          <cell r="I236">
            <v>1770.6843999999999</v>
          </cell>
        </row>
        <row r="237">
          <cell r="C237" t="str">
            <v>50mm</v>
          </cell>
          <cell r="D237" t="str">
            <v>Conduleta Botagua 2"</v>
          </cell>
          <cell r="G237">
            <v>278.12</v>
          </cell>
          <cell r="H237">
            <v>50.061599999999999</v>
          </cell>
          <cell r="I237">
            <v>328.1816</v>
          </cell>
        </row>
        <row r="238">
          <cell r="C238" t="str">
            <v>38mm</v>
          </cell>
          <cell r="D238" t="str">
            <v>Conduleta Botagua 1 1/2"</v>
          </cell>
          <cell r="G238">
            <v>187.57</v>
          </cell>
          <cell r="H238">
            <v>33.762599999999999</v>
          </cell>
          <cell r="I238">
            <v>221.33259999999999</v>
          </cell>
        </row>
        <row r="239">
          <cell r="C239" t="str">
            <v>25mm</v>
          </cell>
          <cell r="D239" t="str">
            <v>Conduleta Botagua 1"</v>
          </cell>
          <cell r="G239">
            <v>99.93</v>
          </cell>
          <cell r="H239">
            <v>17.987400000000001</v>
          </cell>
          <cell r="I239">
            <v>117.91740000000001</v>
          </cell>
        </row>
        <row r="240">
          <cell r="C240" t="str">
            <v>19mm</v>
          </cell>
          <cell r="D240" t="str">
            <v>Conduleta Botagua 3/4"</v>
          </cell>
          <cell r="G240">
            <v>67.05</v>
          </cell>
          <cell r="H240">
            <v>12.068999999999999</v>
          </cell>
          <cell r="I240">
            <v>79.119</v>
          </cell>
        </row>
        <row r="241">
          <cell r="C241" t="str">
            <v>13mm</v>
          </cell>
          <cell r="D241" t="str">
            <v>Conduleta Botagua 1/2"</v>
          </cell>
          <cell r="G241">
            <v>34.64</v>
          </cell>
          <cell r="H241">
            <v>6.2351999999999999</v>
          </cell>
          <cell r="I241">
            <v>40.8752</v>
          </cell>
        </row>
        <row r="242">
          <cell r="D242" t="str">
            <v>Bandeja de 60x200mm PVC</v>
          </cell>
          <cell r="G242">
            <v>2500</v>
          </cell>
          <cell r="H242">
            <v>450</v>
          </cell>
          <cell r="I242">
            <v>2950</v>
          </cell>
        </row>
        <row r="243">
          <cell r="D243" t="str">
            <v>Tapa de bandeja 200mm  PVC</v>
          </cell>
          <cell r="G243">
            <v>1000</v>
          </cell>
          <cell r="H243">
            <v>180</v>
          </cell>
          <cell r="I243">
            <v>1180</v>
          </cell>
        </row>
        <row r="244">
          <cell r="D244" t="str">
            <v>Terminal tipo manguita para cable #2</v>
          </cell>
          <cell r="G244">
            <v>45</v>
          </cell>
          <cell r="H244">
            <v>8.1</v>
          </cell>
          <cell r="I244">
            <v>53.1</v>
          </cell>
        </row>
        <row r="245">
          <cell r="D245" t="str">
            <v>Terminal tipo manguita para cable #6</v>
          </cell>
          <cell r="G245">
            <v>21</v>
          </cell>
          <cell r="H245">
            <v>3.78</v>
          </cell>
          <cell r="I245">
            <v>24.78</v>
          </cell>
        </row>
        <row r="246">
          <cell r="D246" t="str">
            <v>Tape de goma 3m</v>
          </cell>
          <cell r="G246">
            <v>890</v>
          </cell>
          <cell r="H246">
            <v>160.19999999999999</v>
          </cell>
          <cell r="I246">
            <v>1050.2</v>
          </cell>
        </row>
        <row r="247">
          <cell r="D247" t="str">
            <v>Tape de vinil super 33</v>
          </cell>
          <cell r="G247">
            <v>400</v>
          </cell>
          <cell r="H247">
            <v>72</v>
          </cell>
          <cell r="I247">
            <v>472</v>
          </cell>
        </row>
        <row r="248">
          <cell r="D248" t="str">
            <v>Bandeja de 60x100mm PVC</v>
          </cell>
          <cell r="G248">
            <v>1600</v>
          </cell>
          <cell r="H248">
            <v>288</v>
          </cell>
          <cell r="I248">
            <v>1888</v>
          </cell>
        </row>
        <row r="249">
          <cell r="D249" t="str">
            <v>Tapa de bandeja 60x100 PVC</v>
          </cell>
          <cell r="G249">
            <v>900</v>
          </cell>
          <cell r="H249">
            <v>162</v>
          </cell>
          <cell r="I249">
            <v>1062</v>
          </cell>
        </row>
        <row r="250">
          <cell r="G250">
            <v>0</v>
          </cell>
          <cell r="H250">
            <v>0</v>
          </cell>
          <cell r="I250">
            <v>0</v>
          </cell>
        </row>
        <row r="251">
          <cell r="B251" t="str">
            <v>Cimelight</v>
          </cell>
          <cell r="C251" t="str">
            <v>Estanca</v>
          </cell>
          <cell r="D251" t="str">
            <v>Luminaria Marca: Cimelight Modelo: ASH-HY-236-2 + 2 TUBOS LED (T8-9W-6500K)</v>
          </cell>
          <cell r="G251">
            <v>1660</v>
          </cell>
          <cell r="H251">
            <v>298.8</v>
          </cell>
          <cell r="I251">
            <v>1958.8</v>
          </cell>
        </row>
        <row r="252">
          <cell r="C252" t="str">
            <v>Downlight</v>
          </cell>
          <cell r="D252" t="str">
            <v>Luminaria Marca: Cimelight LED 8" 100-265V 18W 6500K 1440LM D225/205 mm</v>
          </cell>
          <cell r="G252">
            <v>270</v>
          </cell>
          <cell r="H252">
            <v>48.6</v>
          </cell>
          <cell r="I252">
            <v>318.60000000000002</v>
          </cell>
        </row>
        <row r="253">
          <cell r="B253" t="str">
            <v>inlity</v>
          </cell>
          <cell r="C253" t="str">
            <v>LED Batten Light</v>
          </cell>
          <cell r="D253" t="str">
            <v>Marca: INLITY BTC33048 BATTEN LIGHT 3 TUBOS 48W, 4800 LM, 5000K, 50000 HORAS, 100-240V</v>
          </cell>
          <cell r="G253">
            <v>3655.3642857142854</v>
          </cell>
          <cell r="H253">
            <v>657.96557142857137</v>
          </cell>
          <cell r="I253">
            <v>4313.3298571428568</v>
          </cell>
        </row>
        <row r="254">
          <cell r="D254" t="str">
            <v>CUADRO 220V 3F+N+T IP55 INTEGRADO   VILLA 36</v>
          </cell>
          <cell r="G254">
            <v>102974.91</v>
          </cell>
          <cell r="H254">
            <v>18535.483799999998</v>
          </cell>
          <cell r="I254">
            <v>121510.39380000001</v>
          </cell>
        </row>
        <row r="255">
          <cell r="D255" t="str">
            <v xml:space="preserve">CUADRO 220V 3F+N+T IP55 INTEGRADO  </v>
          </cell>
          <cell r="G255">
            <v>71622.570000000007</v>
          </cell>
          <cell r="H255">
            <v>12892.062600000001</v>
          </cell>
          <cell r="I255">
            <v>84514.632600000012</v>
          </cell>
        </row>
        <row r="256">
          <cell r="D256" t="str">
            <v>CUADRO 220V 3F+N+T IP55 INTEGRADO  VILLA 19</v>
          </cell>
          <cell r="G256">
            <v>93745.73</v>
          </cell>
          <cell r="H256">
            <v>16874.231399999997</v>
          </cell>
          <cell r="I256">
            <v>110619.9614</v>
          </cell>
        </row>
        <row r="257">
          <cell r="D257" t="str">
            <v>CUADRO 220V 3F+N+T IP55 INTEGRADO  VILLA 18</v>
          </cell>
          <cell r="G257">
            <v>93745.73</v>
          </cell>
          <cell r="H257">
            <v>16874.231399999997</v>
          </cell>
          <cell r="I257">
            <v>110619.9614</v>
          </cell>
        </row>
        <row r="258">
          <cell r="D258" t="str">
            <v>CUADRO 220V 3F+N+T IP55 INTEGRADO  VILLA  5</v>
          </cell>
          <cell r="G258">
            <v>56749.53</v>
          </cell>
          <cell r="H258">
            <v>10214.9154</v>
          </cell>
          <cell r="I258">
            <v>66964.445399999997</v>
          </cell>
        </row>
        <row r="259">
          <cell r="D259" t="str">
            <v>CUADRO 220V 3F+N+T IP55 INTEGRADO  VILLA 38</v>
          </cell>
          <cell r="G259">
            <v>85469.01</v>
          </cell>
          <cell r="H259">
            <v>15384.421799999998</v>
          </cell>
          <cell r="I259">
            <v>100853.43179999999</v>
          </cell>
        </row>
        <row r="260">
          <cell r="D260" t="str">
            <v>CUADRO 220V 3F+N+T IP55 INTEGRADO  VILLA  46</v>
          </cell>
          <cell r="G260">
            <v>78779.5</v>
          </cell>
          <cell r="H260">
            <v>14180.31</v>
          </cell>
          <cell r="I260">
            <v>92959.81</v>
          </cell>
        </row>
        <row r="261">
          <cell r="D261" t="str">
            <v>CUADRO 220V 3F+N+T IP55 INTEGRADO  VILLA 42</v>
          </cell>
          <cell r="G261">
            <v>80302.61</v>
          </cell>
          <cell r="H261">
            <v>14454.469799999999</v>
          </cell>
          <cell r="I261">
            <v>94757.079800000007</v>
          </cell>
        </row>
        <row r="262">
          <cell r="D262" t="str">
            <v>CUADRO 220V 3F+N+T IP55 INTEGRADO VILLA 44</v>
          </cell>
          <cell r="G262">
            <v>76216.570000000007</v>
          </cell>
          <cell r="H262">
            <v>13718.982600000001</v>
          </cell>
          <cell r="I262">
            <v>89935.55260000001</v>
          </cell>
        </row>
        <row r="266">
          <cell r="D266" t="str">
            <v>Patch Cords</v>
          </cell>
        </row>
        <row r="267">
          <cell r="D267" t="str">
            <v>Patch Panel 24 Puertos</v>
          </cell>
        </row>
        <row r="268">
          <cell r="D268" t="str">
            <v>Organizador de Cables Horizontal</v>
          </cell>
        </row>
        <row r="269">
          <cell r="D269" t="str">
            <v>Gabinete de pared 11U</v>
          </cell>
        </row>
        <row r="270">
          <cell r="D270" t="str">
            <v>Ventilador</v>
          </cell>
        </row>
        <row r="271">
          <cell r="D271" t="str">
            <v>Supresor de picos para computo con regleta</v>
          </cell>
        </row>
        <row r="272">
          <cell r="D272" t="str">
            <v>Switch</v>
          </cell>
        </row>
        <row r="273">
          <cell r="D273" t="str">
            <v>Barra TMGB 2"x1/4x10"</v>
          </cell>
        </row>
        <row r="274">
          <cell r="D274" t="str">
            <v>Canasta 100mmx50mm</v>
          </cell>
        </row>
        <row r="277">
          <cell r="C277">
            <v>30</v>
          </cell>
          <cell r="D277" t="str">
            <v xml:space="preserve">QO130M150: PANEL SQUARE D 30POLOS 1PH 150AM MB </v>
          </cell>
          <cell r="G277">
            <v>7779.51</v>
          </cell>
          <cell r="H277">
            <v>1400.3117999999999</v>
          </cell>
          <cell r="I277">
            <v>9179.8217999999997</v>
          </cell>
        </row>
        <row r="278">
          <cell r="C278">
            <v>24</v>
          </cell>
          <cell r="D278" t="str">
            <v>QO124L125PG: CAJA BREAKER PoN SQUARE D 1F 24-34P NEMA1 125A</v>
          </cell>
          <cell r="G278">
            <v>7274.82</v>
          </cell>
          <cell r="H278">
            <v>1309.4675999999999</v>
          </cell>
          <cell r="I278">
            <v>8584.2875999999997</v>
          </cell>
        </row>
        <row r="279">
          <cell r="C279">
            <v>24</v>
          </cell>
          <cell r="D279" t="str">
            <v>QOC30UF: TAPA</v>
          </cell>
          <cell r="G279">
            <v>1047.9000000000001</v>
          </cell>
          <cell r="H279">
            <v>188.62200000000001</v>
          </cell>
          <cell r="I279">
            <v>1236.5220000000002</v>
          </cell>
        </row>
        <row r="280">
          <cell r="C280">
            <v>30</v>
          </cell>
          <cell r="D280" t="str">
            <v xml:space="preserve">QOC24UF: TAPA </v>
          </cell>
          <cell r="G280">
            <v>310</v>
          </cell>
          <cell r="H280">
            <v>55.8</v>
          </cell>
          <cell r="I280">
            <v>365.8</v>
          </cell>
        </row>
        <row r="281">
          <cell r="B281" t="str">
            <v xml:space="preserve">15 A 1P </v>
          </cell>
          <cell r="C281" t="str">
            <v>QO115</v>
          </cell>
          <cell r="D281" t="str">
            <v>Interruptor Termomagnetico 15 A 1P : QO115</v>
          </cell>
          <cell r="G281">
            <v>330.18</v>
          </cell>
          <cell r="H281">
            <v>59.432400000000001</v>
          </cell>
          <cell r="I281">
            <v>389.61239999999998</v>
          </cell>
        </row>
        <row r="282">
          <cell r="B282" t="str">
            <v>15 A 1P GFCI</v>
          </cell>
          <cell r="D282" t="str">
            <v xml:space="preserve">Interruptor Termomagnetico 15 A 1P GFCI: </v>
          </cell>
          <cell r="G282">
            <v>0</v>
          </cell>
          <cell r="H282">
            <v>0</v>
          </cell>
          <cell r="I282">
            <v>0</v>
          </cell>
        </row>
        <row r="283">
          <cell r="B283" t="str">
            <v xml:space="preserve">20 A 1P </v>
          </cell>
          <cell r="C283" t="str">
            <v>QO120</v>
          </cell>
          <cell r="D283" t="str">
            <v>Interruptor Termomagnetico 20 A 1P : QO120</v>
          </cell>
          <cell r="G283">
            <v>330.18</v>
          </cell>
          <cell r="H283">
            <v>59.432400000000001</v>
          </cell>
          <cell r="I283">
            <v>389.61239999999998</v>
          </cell>
        </row>
        <row r="284">
          <cell r="B284" t="str">
            <v>20 A 1P GFCI</v>
          </cell>
          <cell r="D284" t="str">
            <v xml:space="preserve">Interruptor Termomagnetico 20 A 1P GFCI: </v>
          </cell>
          <cell r="G284">
            <v>0</v>
          </cell>
          <cell r="H284">
            <v>0</v>
          </cell>
          <cell r="I284">
            <v>0</v>
          </cell>
        </row>
        <row r="285">
          <cell r="B285" t="str">
            <v xml:space="preserve">30 A 1P </v>
          </cell>
          <cell r="C285" t="str">
            <v>QO130</v>
          </cell>
          <cell r="D285" t="str">
            <v>Interruptor Termomagnetico 30 A 1P : QO130</v>
          </cell>
          <cell r="G285">
            <v>330.18</v>
          </cell>
          <cell r="H285">
            <v>59.432400000000001</v>
          </cell>
          <cell r="I285">
            <v>389.61239999999998</v>
          </cell>
        </row>
        <row r="286">
          <cell r="B286" t="str">
            <v xml:space="preserve">15 A 2P </v>
          </cell>
          <cell r="D286" t="str">
            <v xml:space="preserve">Interruptor Termomagnetico 15 A 2P : </v>
          </cell>
          <cell r="G286">
            <v>0</v>
          </cell>
          <cell r="H286">
            <v>0</v>
          </cell>
          <cell r="I286">
            <v>0</v>
          </cell>
        </row>
        <row r="287">
          <cell r="B287" t="str">
            <v xml:space="preserve">20 A 2P </v>
          </cell>
          <cell r="C287" t="str">
            <v>QO220</v>
          </cell>
          <cell r="D287" t="str">
            <v>Interruptor Termomagnetico 20 A 2P : QO220</v>
          </cell>
          <cell r="G287">
            <v>760</v>
          </cell>
          <cell r="H287">
            <v>136.79999999999998</v>
          </cell>
          <cell r="I287">
            <v>896.8</v>
          </cell>
        </row>
        <row r="288">
          <cell r="B288" t="str">
            <v xml:space="preserve">30 A 2P </v>
          </cell>
          <cell r="C288" t="str">
            <v>QO230</v>
          </cell>
          <cell r="D288" t="str">
            <v>Interruptor Termomagnetico 30 A 2P : QO230</v>
          </cell>
          <cell r="G288">
            <v>760</v>
          </cell>
          <cell r="H288">
            <v>136.79999999999998</v>
          </cell>
          <cell r="I288">
            <v>896.8</v>
          </cell>
        </row>
        <row r="289">
          <cell r="B289" t="str">
            <v xml:space="preserve">40 A 2P </v>
          </cell>
          <cell r="D289" t="str">
            <v xml:space="preserve">Interruptor Termomagnetico 40 A 2P : </v>
          </cell>
          <cell r="G289">
            <v>0</v>
          </cell>
          <cell r="H289">
            <v>0</v>
          </cell>
          <cell r="I289">
            <v>0</v>
          </cell>
        </row>
        <row r="290">
          <cell r="B290" t="str">
            <v xml:space="preserve">50 A 2P </v>
          </cell>
          <cell r="C290" t="str">
            <v>QO250</v>
          </cell>
          <cell r="D290" t="str">
            <v>Interruptor Termomagnetico 50 A 2P : QO250</v>
          </cell>
          <cell r="G290">
            <v>760</v>
          </cell>
          <cell r="H290">
            <v>136.79999999999998</v>
          </cell>
          <cell r="I290">
            <v>896.8</v>
          </cell>
        </row>
        <row r="291">
          <cell r="B291" t="str">
            <v xml:space="preserve">60 A 2P </v>
          </cell>
          <cell r="D291" t="str">
            <v xml:space="preserve">Interruptor Termomagnetico 60 A 2P : </v>
          </cell>
          <cell r="G291">
            <v>0</v>
          </cell>
          <cell r="H291">
            <v>0</v>
          </cell>
          <cell r="I291">
            <v>0</v>
          </cell>
        </row>
        <row r="292">
          <cell r="B292" t="str">
            <v xml:space="preserve">70 A 2P </v>
          </cell>
          <cell r="D292" t="str">
            <v xml:space="preserve">Interruptor Termomagnetico 70 A 2P : </v>
          </cell>
          <cell r="G292">
            <v>0</v>
          </cell>
          <cell r="H292">
            <v>0</v>
          </cell>
          <cell r="I292">
            <v>0</v>
          </cell>
        </row>
        <row r="293">
          <cell r="B293" t="str">
            <v xml:space="preserve">80 A 2P </v>
          </cell>
          <cell r="D293" t="str">
            <v xml:space="preserve">Interruptor Termomagnetico 80 A 2P : </v>
          </cell>
          <cell r="G293">
            <v>0</v>
          </cell>
          <cell r="H293">
            <v>0</v>
          </cell>
          <cell r="I293">
            <v>0</v>
          </cell>
        </row>
        <row r="294">
          <cell r="B294" t="str">
            <v xml:space="preserve">90 A 2P </v>
          </cell>
          <cell r="D294" t="str">
            <v xml:space="preserve">Interruptor Termomagnetico 90 A 2P : </v>
          </cell>
          <cell r="G294">
            <v>0</v>
          </cell>
          <cell r="H294">
            <v>0</v>
          </cell>
          <cell r="I294">
            <v>0</v>
          </cell>
        </row>
        <row r="296">
          <cell r="D296" t="str">
            <v>ZOCALO PORTACONTADOR SIN BREAKER 200A/2 124.53 124.53</v>
          </cell>
          <cell r="G296">
            <v>7250</v>
          </cell>
          <cell r="H296">
            <v>1305</v>
          </cell>
          <cell r="I296">
            <v>8555</v>
          </cell>
        </row>
        <row r="297">
          <cell r="D297" t="str">
            <v>EN CAJA METALICA NEMA 3R, CONTENIENDO:</v>
          </cell>
        </row>
        <row r="298">
          <cell r="D298" t="str">
            <v>ZOCALO TIPO MILBANK DE 5 CLIPS DE 200A/2.</v>
          </cell>
        </row>
        <row r="299">
          <cell r="D299" t="str">
            <v>ESPACIO PARA BREAKER HGM 200A/2</v>
          </cell>
        </row>
        <row r="300">
          <cell r="D300" t="str">
            <v>CASQUILLO PARA BARREL LOCK PARA ACERO INOXIDABLE</v>
          </cell>
        </row>
        <row r="301">
          <cell r="D301" t="str">
            <v>CASQUILLO INTERIOR DE BRONCE</v>
          </cell>
        </row>
        <row r="302">
          <cell r="D302" t="str">
            <v>CLAVIJA PARA PORTACANDADO.</v>
          </cell>
        </row>
        <row r="303">
          <cell r="D303" t="str">
            <v>PORTEZUELA PARA BREAKER</v>
          </cell>
        </row>
        <row r="304">
          <cell r="D304" t="str">
            <v>CONECTORES PARA NEUTRO Y CONEXION A TIERRA.</v>
          </cell>
        </row>
        <row r="305">
          <cell r="D305" t="str">
            <v>INTERRUPTOR PRINCIPAL: 150A</v>
          </cell>
          <cell r="G305">
            <v>5980</v>
          </cell>
          <cell r="H305">
            <v>1076.3999999999999</v>
          </cell>
          <cell r="I305">
            <v>7056.4</v>
          </cell>
        </row>
        <row r="306">
          <cell r="D306" t="str">
            <v>CONECTOR VARILLA TIERRA 5/8 R-22</v>
          </cell>
          <cell r="G306">
            <v>89.11</v>
          </cell>
          <cell r="H306">
            <v>16.0398</v>
          </cell>
          <cell r="I306">
            <v>105.1498</v>
          </cell>
        </row>
        <row r="307">
          <cell r="D307" t="str">
            <v>VARILLA TIERRA COBRE 5/8'' X 8'</v>
          </cell>
          <cell r="G307">
            <v>767.08</v>
          </cell>
          <cell r="H307">
            <v>138.0744</v>
          </cell>
          <cell r="I307">
            <v>905.15440000000001</v>
          </cell>
        </row>
        <row r="308">
          <cell r="D308" t="str">
            <v>ALAMBRE DESNUDO TRENZADO 6AWG</v>
          </cell>
          <cell r="G308">
            <v>30.52</v>
          </cell>
          <cell r="H308">
            <v>5.4935999999999998</v>
          </cell>
          <cell r="I308">
            <v>36.013599999999997</v>
          </cell>
        </row>
        <row r="320">
          <cell r="D320" t="str">
            <v>QO11224L125G</v>
          </cell>
          <cell r="G320">
            <v>50677.11</v>
          </cell>
          <cell r="H320">
            <v>108424</v>
          </cell>
        </row>
        <row r="321">
          <cell r="D321" t="str">
            <v>QO11624L125G</v>
          </cell>
          <cell r="G321">
            <v>57216.42</v>
          </cell>
          <cell r="H321">
            <v>108010</v>
          </cell>
        </row>
        <row r="322">
          <cell r="D322" t="str">
            <v>QO124L125G</v>
          </cell>
          <cell r="G322">
            <v>67201.100000000006</v>
          </cell>
          <cell r="H322">
            <v>108000</v>
          </cell>
        </row>
        <row r="325">
          <cell r="C325">
            <v>12</v>
          </cell>
          <cell r="D325" t="str">
            <v>QOC16U</v>
          </cell>
          <cell r="G325">
            <v>25656.65</v>
          </cell>
          <cell r="H325">
            <v>108011</v>
          </cell>
        </row>
        <row r="326">
          <cell r="C326">
            <v>16</v>
          </cell>
          <cell r="D326" t="str">
            <v>QOC16U</v>
          </cell>
          <cell r="G326">
            <v>25656.65</v>
          </cell>
          <cell r="H326">
            <v>108011</v>
          </cell>
        </row>
        <row r="329">
          <cell r="C329">
            <v>42</v>
          </cell>
          <cell r="D329" t="str">
            <v>QOC42U</v>
          </cell>
          <cell r="G329">
            <v>0</v>
          </cell>
        </row>
        <row r="330">
          <cell r="D330" t="str">
            <v>N.A.</v>
          </cell>
          <cell r="G330">
            <v>0</v>
          </cell>
        </row>
        <row r="331">
          <cell r="D331" t="str">
            <v>QOM70VH</v>
          </cell>
          <cell r="G331">
            <v>76819.117599999998</v>
          </cell>
          <cell r="H331">
            <v>108599</v>
          </cell>
        </row>
        <row r="332">
          <cell r="D332" t="str">
            <v>QOM90VH</v>
          </cell>
          <cell r="G332">
            <v>76819.117599999998</v>
          </cell>
          <cell r="H332">
            <v>108600</v>
          </cell>
        </row>
        <row r="333">
          <cell r="D333" t="str">
            <v>QOM100VH</v>
          </cell>
          <cell r="G333">
            <v>76819.117599999998</v>
          </cell>
          <cell r="H333">
            <v>108601</v>
          </cell>
        </row>
        <row r="334">
          <cell r="D334" t="str">
            <v>QOM125VH</v>
          </cell>
          <cell r="G334">
            <v>116564.0539</v>
          </cell>
          <cell r="H334">
            <v>108602</v>
          </cell>
        </row>
        <row r="335">
          <cell r="D335" t="str">
            <v>QOM2100VH</v>
          </cell>
          <cell r="G335">
            <v>152660</v>
          </cell>
          <cell r="H335">
            <v>108414</v>
          </cell>
        </row>
        <row r="336">
          <cell r="D336" t="str">
            <v>QOM2125VH</v>
          </cell>
          <cell r="G336">
            <v>152660</v>
          </cell>
          <cell r="H336">
            <v>108604</v>
          </cell>
        </row>
        <row r="337">
          <cell r="D337" t="str">
            <v>QOM2150VH</v>
          </cell>
          <cell r="G337">
            <v>152660</v>
          </cell>
          <cell r="H337">
            <v>108605</v>
          </cell>
        </row>
        <row r="338">
          <cell r="D338" t="str">
            <v>QOM2175VH</v>
          </cell>
          <cell r="G338">
            <v>152660</v>
          </cell>
          <cell r="H338">
            <v>108606</v>
          </cell>
        </row>
        <row r="339">
          <cell r="D339" t="str">
            <v>QOM2200VH</v>
          </cell>
          <cell r="G339">
            <v>152660</v>
          </cell>
          <cell r="H339">
            <v>108607</v>
          </cell>
        </row>
        <row r="340">
          <cell r="D340" t="str">
            <v>QOM2225VH</v>
          </cell>
          <cell r="G340">
            <v>152660</v>
          </cell>
          <cell r="H340">
            <v>108608</v>
          </cell>
        </row>
        <row r="341">
          <cell r="D341">
            <v>100</v>
          </cell>
        </row>
        <row r="342">
          <cell r="D342">
            <v>200</v>
          </cell>
        </row>
        <row r="343">
          <cell r="D343" t="str">
            <v>Indirecta</v>
          </cell>
        </row>
        <row r="344">
          <cell r="D344" t="str">
            <v>Base Medidor Clase 100 MS1254JCBM + HB125</v>
          </cell>
          <cell r="G344">
            <v>69220.41</v>
          </cell>
          <cell r="H344">
            <v>108913</v>
          </cell>
        </row>
        <row r="345">
          <cell r="D345" t="str">
            <v>Base Medidor Clase 200 RC200S</v>
          </cell>
          <cell r="G345">
            <v>281283</v>
          </cell>
          <cell r="H345">
            <v>108916</v>
          </cell>
        </row>
        <row r="346">
          <cell r="D346" t="str">
            <v>base para medidor: ms1004j</v>
          </cell>
          <cell r="G346">
            <v>42527.55</v>
          </cell>
          <cell r="H346">
            <v>108913</v>
          </cell>
        </row>
        <row r="347">
          <cell r="D347" t="str">
            <v>Base Medidor Clase 200 UTRS202B</v>
          </cell>
          <cell r="G347">
            <v>52211.65</v>
          </cell>
          <cell r="H347">
            <v>108915</v>
          </cell>
        </row>
        <row r="348">
          <cell r="D348" t="str">
            <v>base para interruptor principal: qo2125bnrb</v>
          </cell>
          <cell r="G348">
            <v>52706.59</v>
          </cell>
          <cell r="H348">
            <v>101</v>
          </cell>
        </row>
        <row r="349">
          <cell r="D349" t="str">
            <v>LD22-2</v>
          </cell>
          <cell r="G349">
            <v>12963.36</v>
          </cell>
          <cell r="H349">
            <v>108902</v>
          </cell>
        </row>
        <row r="350">
          <cell r="D350" t="str">
            <v>PK7GTA</v>
          </cell>
          <cell r="G350">
            <v>4898.55</v>
          </cell>
          <cell r="H350">
            <v>102</v>
          </cell>
        </row>
        <row r="351">
          <cell r="D351" t="str">
            <v>QO260VH</v>
          </cell>
          <cell r="G351">
            <v>79472.899999999994</v>
          </cell>
          <cell r="H351">
            <v>108590</v>
          </cell>
        </row>
        <row r="352">
          <cell r="D352" t="str">
            <v>QO270VH</v>
          </cell>
          <cell r="G352">
            <v>94359.531300000002</v>
          </cell>
          <cell r="H352">
            <v>108591</v>
          </cell>
        </row>
        <row r="353">
          <cell r="D353" t="str">
            <v>QO280VH</v>
          </cell>
          <cell r="G353">
            <v>108869.5901</v>
          </cell>
          <cell r="H353">
            <v>108592</v>
          </cell>
        </row>
        <row r="354">
          <cell r="D354" t="str">
            <v>QO290VH</v>
          </cell>
          <cell r="G354">
            <v>109480.5585</v>
          </cell>
          <cell r="H354">
            <v>108593</v>
          </cell>
        </row>
        <row r="355">
          <cell r="D355" t="str">
            <v>QO2100VH</v>
          </cell>
          <cell r="G355">
            <v>109480.5585</v>
          </cell>
          <cell r="H355">
            <v>103</v>
          </cell>
        </row>
        <row r="356">
          <cell r="D356" t="str">
            <v>QO2125VH</v>
          </cell>
          <cell r="G356">
            <v>109480.5585</v>
          </cell>
          <cell r="H356">
            <v>108595</v>
          </cell>
        </row>
        <row r="357">
          <cell r="D357" t="str">
            <v>QO2150VH</v>
          </cell>
          <cell r="G357">
            <v>190531.1306</v>
          </cell>
          <cell r="H357">
            <v>108596</v>
          </cell>
        </row>
        <row r="358">
          <cell r="D358" t="str">
            <v>QO2175VH</v>
          </cell>
          <cell r="G358">
            <v>124721.6934</v>
          </cell>
          <cell r="H358">
            <v>108597</v>
          </cell>
        </row>
        <row r="359">
          <cell r="D359" t="str">
            <v>QO2200VH</v>
          </cell>
          <cell r="G359">
            <v>124721.6934</v>
          </cell>
          <cell r="H359">
            <v>108598</v>
          </cell>
        </row>
        <row r="360">
          <cell r="D360" t="str">
            <v>TGP 3x12 AWG</v>
          </cell>
          <cell r="G360">
            <v>1800</v>
          </cell>
          <cell r="H360">
            <v>101800</v>
          </cell>
        </row>
        <row r="361">
          <cell r="D361" t="str">
            <v>TGP 3x10 AWG</v>
          </cell>
          <cell r="G361">
            <v>2660.3703</v>
          </cell>
          <cell r="H361">
            <v>101801</v>
          </cell>
        </row>
        <row r="362">
          <cell r="D362" t="str">
            <v>Lámparas Marca: Sylvania Modelo: 408-EO-48-2 (2x4) + DIFUSOR 2x4 + 3 TUBOS</v>
          </cell>
          <cell r="G362">
            <v>39398.297500000001</v>
          </cell>
          <cell r="H362">
            <v>102000</v>
          </cell>
        </row>
        <row r="363">
          <cell r="D363" t="str">
            <v>Lámparas Marca: Sylvania Modelo: 408-EO-48-3 (2x4) + DIFUSOR 2x4 + 3 TUBOS</v>
          </cell>
          <cell r="G363">
            <v>47484</v>
          </cell>
          <cell r="H363">
            <v>102000</v>
          </cell>
        </row>
        <row r="364">
          <cell r="D364" t="str">
            <v>Lampara fluorescente Modelo: 705-E0-48-2, Sylvania o similar, 120v,  64w, balastro electronico.</v>
          </cell>
          <cell r="G364">
            <v>22356.273099999999</v>
          </cell>
          <cell r="H364">
            <v>102007</v>
          </cell>
        </row>
        <row r="365">
          <cell r="D365" t="str">
            <v>Lámpara exterior sodio 2250-2-150 hps-240v cobra c/ Fotocelda</v>
          </cell>
          <cell r="G365">
            <v>169254.8352</v>
          </cell>
          <cell r="H365">
            <v>102006</v>
          </cell>
        </row>
        <row r="366">
          <cell r="D366" t="str">
            <v>Lampara fluorescente Modelo: 1415-1B tipo parche, Fluorescente de 26W.</v>
          </cell>
          <cell r="G366">
            <v>30336.669300000001</v>
          </cell>
          <cell r="H366">
            <v>102003</v>
          </cell>
        </row>
        <row r="367">
          <cell r="D367" t="str">
            <v>Lampara tipo toortuga, Modelo: TO008WH-L, Fluorescente de 26W.</v>
          </cell>
          <cell r="G367">
            <v>6182.0039999999999</v>
          </cell>
          <cell r="H367">
            <v>102004</v>
          </cell>
        </row>
        <row r="368">
          <cell r="D368" t="str">
            <v>Lámpara de Emergencia, E40.</v>
          </cell>
          <cell r="G368">
            <v>15255.8475</v>
          </cell>
          <cell r="H368">
            <v>102005</v>
          </cell>
        </row>
        <row r="369">
          <cell r="D369" t="str">
            <v>Rotulo de Salida Modelo: E-50R-AC/DC</v>
          </cell>
          <cell r="G369">
            <v>26555</v>
          </cell>
          <cell r="H369">
            <v>102100</v>
          </cell>
        </row>
        <row r="370">
          <cell r="D370" t="str">
            <v>Lamp 412-EO-96-2</v>
          </cell>
          <cell r="G370">
            <v>61992</v>
          </cell>
          <cell r="H370">
            <v>102501</v>
          </cell>
        </row>
        <row r="371">
          <cell r="D371" t="str">
            <v>lámpara exterior sodio vacv-1-175met</v>
          </cell>
          <cell r="G371">
            <v>141250</v>
          </cell>
          <cell r="H371">
            <v>102009</v>
          </cell>
        </row>
        <row r="372">
          <cell r="D372" t="str">
            <v>Tub fluor F96/865 T8 6500k</v>
          </cell>
          <cell r="G372">
            <v>4202</v>
          </cell>
          <cell r="H372">
            <v>102502</v>
          </cell>
        </row>
        <row r="373">
          <cell r="D373" t="str">
            <v>dif cuad blanco</v>
          </cell>
          <cell r="G373">
            <v>5869.9544999999998</v>
          </cell>
          <cell r="H373">
            <v>102001</v>
          </cell>
        </row>
        <row r="374">
          <cell r="G374">
            <v>0</v>
          </cell>
        </row>
        <row r="375">
          <cell r="G375">
            <v>0</v>
          </cell>
        </row>
        <row r="376">
          <cell r="G376">
            <v>0</v>
          </cell>
        </row>
        <row r="377">
          <cell r="G377">
            <v>0</v>
          </cell>
        </row>
        <row r="378">
          <cell r="D378" t="str">
            <v>Apagador sencillo, placa metalica, 120VAC, 15 A.</v>
          </cell>
          <cell r="G378">
            <v>2492.7800000000002</v>
          </cell>
          <cell r="H378">
            <v>104055</v>
          </cell>
        </row>
        <row r="379">
          <cell r="D379" t="str">
            <v>Apagador doble, placa metalica, 120VAC, 15 A.</v>
          </cell>
          <cell r="G379">
            <v>6825.2790999999997</v>
          </cell>
          <cell r="H379">
            <v>104055</v>
          </cell>
        </row>
        <row r="380">
          <cell r="G380">
            <v>0</v>
          </cell>
        </row>
        <row r="396">
          <cell r="D396" t="str">
            <v>Salida Telefonica</v>
          </cell>
          <cell r="G396">
            <v>2084</v>
          </cell>
        </row>
        <row r="397">
          <cell r="D397" t="str">
            <v>Tablero Telefonico 10x20 con regleta TC1184R Square D</v>
          </cell>
          <cell r="G397">
            <v>142257</v>
          </cell>
          <cell r="H397">
            <v>105550</v>
          </cell>
        </row>
        <row r="398">
          <cell r="D398" t="str">
            <v>Tablero Telefonico 10x20 con regleta TC1184S Square D</v>
          </cell>
          <cell r="G398">
            <v>78212</v>
          </cell>
          <cell r="H398">
            <v>105551</v>
          </cell>
        </row>
        <row r="399">
          <cell r="D399" t="str">
            <v>Cable Telefonico para intemperie 10 pares 24 AWG</v>
          </cell>
          <cell r="G399">
            <v>2193.556</v>
          </cell>
          <cell r="H399">
            <v>105016</v>
          </cell>
        </row>
        <row r="400">
          <cell r="D400" t="str">
            <v>Cable UTP CAT 6e</v>
          </cell>
          <cell r="G400">
            <v>495</v>
          </cell>
          <cell r="H400">
            <v>105005</v>
          </cell>
        </row>
        <row r="401">
          <cell r="G401">
            <v>0</v>
          </cell>
        </row>
        <row r="402">
          <cell r="D402" t="str">
            <v>Salida de Datos, Placa + Jack</v>
          </cell>
          <cell r="G402">
            <v>4344</v>
          </cell>
          <cell r="H402">
            <v>105600</v>
          </cell>
        </row>
        <row r="403">
          <cell r="D403" t="str">
            <v>Salida de Voz, Placa + Jack</v>
          </cell>
          <cell r="G403">
            <v>4344</v>
          </cell>
          <cell r="H403">
            <v>105601</v>
          </cell>
        </row>
        <row r="404">
          <cell r="D404" t="str">
            <v>Patch Cords</v>
          </cell>
          <cell r="G404">
            <v>3315</v>
          </cell>
          <cell r="H404">
            <v>105602</v>
          </cell>
        </row>
        <row r="405">
          <cell r="D405" t="str">
            <v>Patch Panel 24 Puertos</v>
          </cell>
          <cell r="G405">
            <v>85000</v>
          </cell>
          <cell r="H405">
            <v>105008</v>
          </cell>
        </row>
        <row r="406">
          <cell r="D406" t="str">
            <v>Organizador de Cables Horizontal</v>
          </cell>
          <cell r="G406">
            <v>46500</v>
          </cell>
          <cell r="H406">
            <v>105009</v>
          </cell>
        </row>
        <row r="407">
          <cell r="D407" t="str">
            <v>Gabinete de pared 11U</v>
          </cell>
          <cell r="G407">
            <v>358188</v>
          </cell>
          <cell r="H407">
            <v>105001</v>
          </cell>
        </row>
        <row r="408">
          <cell r="D408" t="str">
            <v>Ventilador</v>
          </cell>
          <cell r="G408">
            <v>20725</v>
          </cell>
          <cell r="H408">
            <v>105800</v>
          </cell>
        </row>
        <row r="409">
          <cell r="D409" t="str">
            <v>Supresor de picos para computo con regleta</v>
          </cell>
          <cell r="G409">
            <v>82025</v>
          </cell>
          <cell r="H409">
            <v>105701</v>
          </cell>
        </row>
        <row r="410">
          <cell r="D410" t="str">
            <v>Switch</v>
          </cell>
          <cell r="G410">
            <v>430000</v>
          </cell>
          <cell r="H410">
            <v>105012</v>
          </cell>
        </row>
        <row r="411">
          <cell r="D411" t="str">
            <v>Barra TMGB 2"x1/4x10"</v>
          </cell>
          <cell r="G411">
            <v>104600</v>
          </cell>
          <cell r="H411">
            <v>105700</v>
          </cell>
        </row>
        <row r="412">
          <cell r="D412" t="str">
            <v>Canasta 100mmx50mm</v>
          </cell>
          <cell r="G412">
            <v>14900</v>
          </cell>
          <cell r="H412">
            <v>105015</v>
          </cell>
        </row>
        <row r="417">
          <cell r="D417" t="str">
            <v>Timbre 120 V</v>
          </cell>
          <cell r="G417">
            <v>22600</v>
          </cell>
          <cell r="H417">
            <v>105503</v>
          </cell>
        </row>
        <row r="418">
          <cell r="D418" t="str">
            <v>Boton Pulsador Para Timbre</v>
          </cell>
          <cell r="G418">
            <v>2825</v>
          </cell>
          <cell r="H418">
            <v>105502</v>
          </cell>
        </row>
        <row r="419">
          <cell r="D419" t="str">
            <v>Timer Data Micro2+</v>
          </cell>
          <cell r="G419">
            <v>62000</v>
          </cell>
          <cell r="H419">
            <v>105501</v>
          </cell>
        </row>
        <row r="420">
          <cell r="D420" t="str">
            <v>General Alarm Siren, Model A</v>
          </cell>
          <cell r="G420">
            <v>282000</v>
          </cell>
          <cell r="H420">
            <v>105500</v>
          </cell>
        </row>
        <row r="424">
          <cell r="D424" t="str">
            <v>Rotulo de Salida Modelo: E-50R-AC/DC</v>
          </cell>
          <cell r="G424">
            <v>23710.2222</v>
          </cell>
          <cell r="H424">
            <v>106500</v>
          </cell>
        </row>
        <row r="425">
          <cell r="D425" t="str">
            <v>Panel de Alarma Direccionable</v>
          </cell>
          <cell r="G425">
            <v>550448.99</v>
          </cell>
          <cell r="H425">
            <v>106501</v>
          </cell>
        </row>
        <row r="426">
          <cell r="D426" t="str">
            <v>Bateria 12v, 12 amp</v>
          </cell>
          <cell r="G426">
            <v>50850</v>
          </cell>
          <cell r="H426">
            <v>106502</v>
          </cell>
        </row>
        <row r="427">
          <cell r="D427" t="str">
            <v>Estacion manual de incendio direccionable + protectores</v>
          </cell>
          <cell r="G427">
            <v>60266.666700000002</v>
          </cell>
          <cell r="H427">
            <v>106503</v>
          </cell>
        </row>
        <row r="428">
          <cell r="D428" t="str">
            <v xml:space="preserve">Sirena con luz estroboscopica 12-24 V </v>
          </cell>
          <cell r="G428">
            <v>55020</v>
          </cell>
          <cell r="H428">
            <v>106504</v>
          </cell>
        </row>
        <row r="429">
          <cell r="D429" t="str">
            <v>Sensor humo</v>
          </cell>
          <cell r="G429">
            <v>65000</v>
          </cell>
          <cell r="H429">
            <v>106505</v>
          </cell>
        </row>
        <row r="430">
          <cell r="D430" t="str">
            <v>Sensor Temperatura</v>
          </cell>
          <cell r="G430">
            <v>50000</v>
          </cell>
          <cell r="H430">
            <v>106506</v>
          </cell>
        </row>
        <row r="431">
          <cell r="D431" t="str">
            <v>Sensor de Gas Macurco GD-2a</v>
          </cell>
          <cell r="G431">
            <v>100000</v>
          </cell>
          <cell r="H431">
            <v>106507</v>
          </cell>
        </row>
        <row r="432">
          <cell r="D432" t="str">
            <v>Modulo de Entrada</v>
          </cell>
          <cell r="G432">
            <v>135600</v>
          </cell>
          <cell r="H432">
            <v>106508</v>
          </cell>
        </row>
        <row r="433">
          <cell r="D433" t="str">
            <v>Electrovalvula</v>
          </cell>
          <cell r="G433">
            <v>375000</v>
          </cell>
          <cell r="H433">
            <v>106509</v>
          </cell>
        </row>
        <row r="434">
          <cell r="D434" t="str">
            <v>Extintor con agua de presión</v>
          </cell>
          <cell r="G434">
            <v>119025</v>
          </cell>
          <cell r="H434">
            <v>106001</v>
          </cell>
        </row>
        <row r="435">
          <cell r="D435" t="str">
            <v>Extintor ABC de 4.5kg con Gabinete</v>
          </cell>
          <cell r="G435">
            <v>71300</v>
          </cell>
          <cell r="H435">
            <v>106000</v>
          </cell>
        </row>
        <row r="436">
          <cell r="D436" t="str">
            <v>Extintor tipo K con Gabinete</v>
          </cell>
          <cell r="G436">
            <v>208150</v>
          </cell>
          <cell r="H436">
            <v>106002</v>
          </cell>
        </row>
        <row r="437">
          <cell r="D437" t="str">
            <v>Cable de Alarma Blindado 2 x 18 AWG</v>
          </cell>
          <cell r="G437">
            <v>84750</v>
          </cell>
          <cell r="H437">
            <v>106510</v>
          </cell>
        </row>
        <row r="438">
          <cell r="D438" t="str">
            <v>Cable de Alarma Blindado 2 x 16 AWG</v>
          </cell>
          <cell r="G438">
            <v>84750</v>
          </cell>
          <cell r="H438">
            <v>106511</v>
          </cell>
        </row>
        <row r="444">
          <cell r="D444" t="str">
            <v>Abanico orbital TMT</v>
          </cell>
          <cell r="G444">
            <v>45000</v>
          </cell>
          <cell r="H444">
            <v>102090</v>
          </cell>
        </row>
        <row r="448">
          <cell r="D448" t="str">
            <v xml:space="preserve">Interruptor Termomagnetico de 15 A 1P </v>
          </cell>
          <cell r="G448">
            <v>11800</v>
          </cell>
          <cell r="H448">
            <v>108500</v>
          </cell>
        </row>
        <row r="449">
          <cell r="D449" t="str">
            <v>Interruptor Termomagnetico de 15 A 1P GFCI</v>
          </cell>
          <cell r="G449">
            <v>40597</v>
          </cell>
          <cell r="H449">
            <v>108501</v>
          </cell>
        </row>
        <row r="450">
          <cell r="D450" t="str">
            <v xml:space="preserve">Interruptor Termomagnetico de 20 A 1P </v>
          </cell>
          <cell r="G450">
            <v>11800</v>
          </cell>
          <cell r="H450">
            <v>108502</v>
          </cell>
        </row>
        <row r="451">
          <cell r="D451" t="str">
            <v>Interruptor Termomagnetico de 20 A 1P GFCI</v>
          </cell>
          <cell r="G451">
            <v>40597</v>
          </cell>
          <cell r="H451">
            <v>108503</v>
          </cell>
        </row>
        <row r="452">
          <cell r="D452" t="str">
            <v xml:space="preserve">Interruptor Termomagnetico de 30 A 1P </v>
          </cell>
          <cell r="G452">
            <v>13688</v>
          </cell>
          <cell r="H452">
            <v>108504</v>
          </cell>
        </row>
        <row r="453">
          <cell r="D453" t="str">
            <v xml:space="preserve">Interruptor Termomagnetico de 15 A 2P </v>
          </cell>
          <cell r="G453">
            <v>24582</v>
          </cell>
          <cell r="H453">
            <v>108505</v>
          </cell>
        </row>
        <row r="454">
          <cell r="D454" t="str">
            <v xml:space="preserve">Interruptor Termomagnetico de 20 A 2P </v>
          </cell>
          <cell r="G454">
            <v>24582</v>
          </cell>
          <cell r="H454">
            <v>108506</v>
          </cell>
        </row>
        <row r="455">
          <cell r="D455" t="str">
            <v xml:space="preserve">Interruptor Termomagnetico de 30 A 2P </v>
          </cell>
          <cell r="G455">
            <v>27347</v>
          </cell>
          <cell r="H455">
            <v>108507</v>
          </cell>
        </row>
        <row r="456">
          <cell r="D456" t="str">
            <v xml:space="preserve">Interruptor Termomagnetico de 40 A 2P </v>
          </cell>
          <cell r="G456">
            <v>33828</v>
          </cell>
          <cell r="H456">
            <v>108508</v>
          </cell>
        </row>
        <row r="457">
          <cell r="D457" t="str">
            <v xml:space="preserve">Interruptor Termomagnetico de 50 A 2P </v>
          </cell>
          <cell r="G457">
            <v>35551</v>
          </cell>
          <cell r="H457">
            <v>108509</v>
          </cell>
        </row>
        <row r="458">
          <cell r="D458" t="str">
            <v xml:space="preserve">Interruptor Termomagnetico de 60 A 2P </v>
          </cell>
          <cell r="G458">
            <v>35551</v>
          </cell>
          <cell r="H458">
            <v>108510</v>
          </cell>
        </row>
        <row r="459">
          <cell r="D459" t="str">
            <v xml:space="preserve">Interruptor Termomagnetico de 70 A 2P </v>
          </cell>
          <cell r="G459">
            <v>35913</v>
          </cell>
          <cell r="H459">
            <v>108511</v>
          </cell>
        </row>
        <row r="460">
          <cell r="D460" t="str">
            <v xml:space="preserve">Interruptor Termomagnetico de 80 A 2P </v>
          </cell>
          <cell r="G460">
            <v>76571</v>
          </cell>
          <cell r="H460">
            <v>108512</v>
          </cell>
        </row>
        <row r="461">
          <cell r="D461" t="str">
            <v xml:space="preserve">Interruptor Termomagnetico de 90 A 2P </v>
          </cell>
          <cell r="G461">
            <v>86996</v>
          </cell>
          <cell r="H461">
            <v>108513</v>
          </cell>
        </row>
        <row r="462">
          <cell r="D462" t="str">
            <v>Canalizacion - zanja</v>
          </cell>
          <cell r="G462">
            <v>3000</v>
          </cell>
          <cell r="H462">
            <v>107002</v>
          </cell>
        </row>
        <row r="463">
          <cell r="D463" t="str">
            <v xml:space="preserve">Cajas de registro </v>
          </cell>
          <cell r="G463">
            <v>95000</v>
          </cell>
          <cell r="H463">
            <v>107001</v>
          </cell>
        </row>
        <row r="464">
          <cell r="D464" t="str">
            <v xml:space="preserve">Pedestal Electrico </v>
          </cell>
          <cell r="G464">
            <v>250000</v>
          </cell>
          <cell r="H464">
            <v>107000</v>
          </cell>
        </row>
        <row r="465">
          <cell r="D465" t="str">
            <v>Soldadura Exotérmica</v>
          </cell>
          <cell r="G465">
            <v>3796.8</v>
          </cell>
          <cell r="H465">
            <v>108901</v>
          </cell>
        </row>
        <row r="466">
          <cell r="D466" t="str">
            <v>Fondo Falso</v>
          </cell>
          <cell r="G466">
            <v>50000</v>
          </cell>
          <cell r="H466">
            <v>107003</v>
          </cell>
        </row>
        <row r="467">
          <cell r="D467" t="str">
            <v>CH SPT2ULTRA Eaton</v>
          </cell>
          <cell r="G467">
            <v>214700</v>
          </cell>
          <cell r="H467">
            <v>108900</v>
          </cell>
        </row>
        <row r="468">
          <cell r="D468" t="str">
            <v>Poste Tubo HG 3" 6 mts</v>
          </cell>
          <cell r="G468">
            <v>25900</v>
          </cell>
          <cell r="H468">
            <v>34100</v>
          </cell>
        </row>
        <row r="469">
          <cell r="D469" t="str">
            <v xml:space="preserve">Transformador 25 KVA, 34,5/120/240 v auto potegido </v>
          </cell>
          <cell r="G469">
            <v>3500000</v>
          </cell>
          <cell r="H469">
            <v>995001</v>
          </cell>
        </row>
        <row r="470">
          <cell r="D470" t="str">
            <v xml:space="preserve">Cajas de registro </v>
          </cell>
          <cell r="G470">
            <v>95000</v>
          </cell>
          <cell r="H470">
            <v>107001</v>
          </cell>
        </row>
        <row r="471">
          <cell r="D471" t="str">
            <v xml:space="preserve">barra de tierra </v>
          </cell>
          <cell r="G471">
            <v>8703.4860000000008</v>
          </cell>
          <cell r="H471">
            <v>104</v>
          </cell>
        </row>
      </sheetData>
      <sheetData sheetId="4"/>
      <sheetData sheetId="5">
        <row r="4">
          <cell r="B4" t="str">
            <v>Sistema</v>
          </cell>
          <cell r="M4" t="str">
            <v>Tipo Cableado</v>
          </cell>
        </row>
        <row r="5">
          <cell r="B5" t="str">
            <v>120V 1Ø</v>
          </cell>
          <cell r="I5" t="str">
            <v>LIVING-LIGHT</v>
          </cell>
          <cell r="J5" t="str">
            <v>120v/20A</v>
          </cell>
          <cell r="K5" t="str">
            <v>Tapa 220v</v>
          </cell>
          <cell r="L5" t="str">
            <v>Sencillo</v>
          </cell>
          <cell r="M5" t="str">
            <v>Coaxial QRG6</v>
          </cell>
        </row>
        <row r="6">
          <cell r="B6" t="str">
            <v>240V 1Ø</v>
          </cell>
          <cell r="I6" t="str">
            <v>MATIX</v>
          </cell>
          <cell r="J6" t="str">
            <v>120v/20A GFCI</v>
          </cell>
          <cell r="K6" t="str">
            <v>Tapa GFCI</v>
          </cell>
          <cell r="L6" t="str">
            <v>Doble</v>
          </cell>
          <cell r="M6" t="str">
            <v>CAT-6</v>
          </cell>
        </row>
        <row r="7">
          <cell r="B7" t="str">
            <v>240V 3Ø</v>
          </cell>
          <cell r="I7" t="str">
            <v>LEVITON</v>
          </cell>
          <cell r="J7" t="str">
            <v>220V/20A</v>
          </cell>
          <cell r="K7" t="str">
            <v>Tapa Inox.</v>
          </cell>
          <cell r="L7" t="str">
            <v>Triple</v>
          </cell>
          <cell r="M7" t="str">
            <v>CAT-5e</v>
          </cell>
        </row>
        <row r="8">
          <cell r="B8" t="str">
            <v>480V 3Ø</v>
          </cell>
          <cell r="K8" t="str">
            <v>Tapa termoplástico</v>
          </cell>
          <cell r="L8" t="str">
            <v>3-way</v>
          </cell>
          <cell r="M8" t="str">
            <v>3-way</v>
          </cell>
        </row>
        <row r="9">
          <cell r="B9" t="str">
            <v>240V 1Ø Acom.</v>
          </cell>
          <cell r="L9" t="str">
            <v>Int. Horario</v>
          </cell>
          <cell r="M9" t="str">
            <v>Telefónico</v>
          </cell>
        </row>
        <row r="10">
          <cell r="L10" t="str">
            <v>N.A.</v>
          </cell>
          <cell r="M10"/>
        </row>
        <row r="11">
          <cell r="M11"/>
        </row>
        <row r="12">
          <cell r="M12"/>
        </row>
        <row r="13">
          <cell r="M13"/>
        </row>
        <row r="14">
          <cell r="M14"/>
        </row>
        <row r="15">
          <cell r="M15"/>
        </row>
        <row r="16">
          <cell r="M16"/>
        </row>
        <row r="17">
          <cell r="M17"/>
        </row>
        <row r="18">
          <cell r="M18"/>
        </row>
      </sheetData>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ERIALES"/>
      <sheetName val="Sheet1"/>
      <sheetName val="ACOM. PRINC."/>
      <sheetName val="COMEDOR, SIST&gt; ELECT"/>
      <sheetName val="GIMNASIO"/>
      <sheetName val="VESTIDORES"/>
      <sheetName val="VESTIDORES_2"/>
      <sheetName val="x4"/>
      <sheetName val="x5"/>
      <sheetName val="x6"/>
      <sheetName val="x7"/>
      <sheetName val="8"/>
      <sheetName val="9"/>
      <sheetName val="10"/>
      <sheetName val="x12"/>
      <sheetName val="13"/>
      <sheetName val="x14"/>
      <sheetName val="COMEDOR"/>
      <sheetName val="AULA TIPO 72m"/>
      <sheetName val="PASILLOS"/>
      <sheetName val="GENERAL (1)"/>
      <sheetName val="PREESCOLAR"/>
      <sheetName val="SISTEMA DE GAS"/>
      <sheetName val="ILUM. EXTERIOR"/>
      <sheetName val="ILUM. PASOS CUBIERTOS"/>
      <sheetName val="ACOM. PRINCIPAL"/>
      <sheetName val="ALIM. TABLERO"/>
      <sheetName val="ALIM. TABLERO2"/>
      <sheetName val="ALIM. TABLERO3"/>
      <sheetName val="ACOM. TEL."/>
      <sheetName val="TIMBRES"/>
      <sheetName val="CS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materiales"/>
      <sheetName val="Oferta contrato"/>
      <sheetName val="1"/>
      <sheetName val="2"/>
      <sheetName val="3"/>
      <sheetName val="4"/>
      <sheetName val="5"/>
      <sheetName val="6"/>
      <sheetName val="7"/>
      <sheetName val="8"/>
      <sheetName val="9"/>
      <sheetName val="10"/>
      <sheetName val="11"/>
      <sheetName val="12"/>
      <sheetName val="13"/>
      <sheetName val="Oferta planos"/>
      <sheetName val="1P"/>
      <sheetName val="2P"/>
      <sheetName val="3P"/>
      <sheetName val="4P"/>
      <sheetName val="5P"/>
      <sheetName val="6P"/>
      <sheetName val="7P"/>
      <sheetName val="8P"/>
      <sheetName val="9P"/>
      <sheetName val="10P"/>
      <sheetName val="11P"/>
      <sheetName val="12P"/>
      <sheetName val="13P"/>
      <sheetName val="14P"/>
      <sheetName val="15P"/>
      <sheetName val="16P"/>
      <sheetName val="17P"/>
      <sheetName val="18P"/>
      <sheetName val="OBRAS ELECTRICAS ADICIONALES"/>
      <sheetName val="7P_ADIC."/>
      <sheetName val="11P_ADIC."/>
      <sheetName val="ELECTRICO_ADIC."/>
    </sheetNames>
    <sheetDataSet>
      <sheetData sheetId="0"/>
      <sheetData sheetId="1">
        <row r="1">
          <cell r="I1" t="str">
            <v>1-8 RHH/RRH-2 Tierra</v>
          </cell>
        </row>
        <row r="2">
          <cell r="I2" t="str">
            <v>3-6 RHH/RRH-2 Fases y Neutro</v>
          </cell>
        </row>
        <row r="3">
          <cell r="I3" t="str">
            <v>3-4 RHH/RRH-2 Fases y Neutro</v>
          </cell>
        </row>
        <row r="4">
          <cell r="I4" t="str">
            <v>Abanico marca TMT tipo orbital 360º</v>
          </cell>
        </row>
        <row r="5">
          <cell r="I5" t="str">
            <v>Adaptador hembra SCH 40 con rosca Campana cementada 12 mm 1/2"</v>
          </cell>
        </row>
        <row r="6">
          <cell r="I6" t="str">
            <v>Adaptador macho SCH 40 con rosca Campana cementada 12 mm 1/2"</v>
          </cell>
        </row>
        <row r="7">
          <cell r="I7" t="str">
            <v>Aislante térmico una cara espesor de 5 mm</v>
          </cell>
        </row>
        <row r="8">
          <cell r="I8" t="str">
            <v>Alambre galvanizado #16 (1.5mm)</v>
          </cell>
        </row>
        <row r="9">
          <cell r="I9" t="str">
            <v>Alambre negro</v>
          </cell>
        </row>
        <row r="10">
          <cell r="I10" t="str">
            <v>Alambre negro #16 1.68mm. (46k x rollo)</v>
          </cell>
        </row>
        <row r="11">
          <cell r="I11" t="str">
            <v>Aldabas</v>
          </cell>
        </row>
        <row r="12">
          <cell r="I12" t="str">
            <v>Angular 25x4.5 mm (1"X 3/16")</v>
          </cell>
        </row>
        <row r="13">
          <cell r="I13" t="str">
            <v>Angular 38x3,17 mm (1,1/2"x1/8")</v>
          </cell>
        </row>
        <row r="14">
          <cell r="I14" t="str">
            <v>Angular 50x3.17 mm (2"X1/8")</v>
          </cell>
        </row>
        <row r="15">
          <cell r="I15" t="str">
            <v>Angular 50x4.75 mm (2"X3/16")</v>
          </cell>
        </row>
        <row r="16">
          <cell r="I16" t="str">
            <v>Angular 50x50x3mm</v>
          </cell>
        </row>
        <row r="17">
          <cell r="I17" t="str">
            <v>Angular para cielo suspendido TG 10´  (3.05 m)</v>
          </cell>
        </row>
        <row r="18">
          <cell r="I18" t="str">
            <v>Apagador doble 15A color marfil (P&amp;S 690)</v>
          </cell>
        </row>
        <row r="19">
          <cell r="I19" t="str">
            <v>Apagador sencillo 15A color marfil (P&amp;S 660)</v>
          </cell>
        </row>
        <row r="20">
          <cell r="I20" t="str">
            <v>Arandela plana 1/2"</v>
          </cell>
        </row>
        <row r="21">
          <cell r="I21" t="str">
            <v>Arandela plana 5/8"</v>
          </cell>
        </row>
        <row r="22">
          <cell r="I22" t="str">
            <v>Arena</v>
          </cell>
        </row>
        <row r="23">
          <cell r="I23" t="str">
            <v>Azulejo 20x30</v>
          </cell>
        </row>
        <row r="24">
          <cell r="I24" t="str">
            <v>Back-hoe</v>
          </cell>
        </row>
        <row r="25">
          <cell r="I25" t="str">
            <v>Baldosa 0,42x0,63</v>
          </cell>
        </row>
        <row r="26">
          <cell r="I26" t="str">
            <v>Baldosa 0,60x0,315</v>
          </cell>
        </row>
        <row r="27">
          <cell r="I27" t="str">
            <v>Baldosa 0,60x0,42</v>
          </cell>
        </row>
        <row r="28">
          <cell r="I28" t="str">
            <v>Baldosa 0,60x0,63</v>
          </cell>
        </row>
        <row r="29">
          <cell r="I29" t="str">
            <v>Baldosa 0,72x0,63</v>
          </cell>
        </row>
        <row r="30">
          <cell r="I30" t="str">
            <v>Baldosa 0,90x0,315</v>
          </cell>
        </row>
        <row r="31">
          <cell r="I31" t="str">
            <v>Baldosa 0,90x0,42</v>
          </cell>
        </row>
        <row r="32">
          <cell r="I32" t="str">
            <v>Baldosa 0,90x0,63</v>
          </cell>
        </row>
        <row r="33">
          <cell r="I33" t="str">
            <v>Baldosa 1,02x0,42</v>
          </cell>
        </row>
        <row r="34">
          <cell r="I34" t="str">
            <v>Baldosa 1,02x0,63</v>
          </cell>
        </row>
        <row r="35">
          <cell r="I35" t="str">
            <v>Baldosa 1,08x0,42</v>
          </cell>
        </row>
        <row r="36">
          <cell r="I36" t="str">
            <v>Baldosa 1,08x0,63</v>
          </cell>
        </row>
        <row r="37">
          <cell r="I37" t="str">
            <v>Baldosa 1,20x0,315</v>
          </cell>
        </row>
        <row r="38">
          <cell r="I38" t="str">
            <v>Baldosa 1,20x0,42</v>
          </cell>
        </row>
        <row r="39">
          <cell r="I39" t="str">
            <v>Baldosa 1,20x0,63</v>
          </cell>
        </row>
        <row r="40">
          <cell r="I40" t="str">
            <v>Baldosa 1,50x0,315</v>
          </cell>
        </row>
        <row r="41">
          <cell r="I41" t="str">
            <v>Baldosa 1,50x0,42</v>
          </cell>
        </row>
        <row r="42">
          <cell r="I42" t="str">
            <v>Baldosa 1,50x0,63</v>
          </cell>
        </row>
        <row r="43">
          <cell r="I43" t="str">
            <v>Barra discapacitados 60cm</v>
          </cell>
        </row>
        <row r="44">
          <cell r="I44" t="str">
            <v>Barra discapacitados 90cm</v>
          </cell>
        </row>
        <row r="45">
          <cell r="I45" t="str">
            <v>Barra roscada 1/2"x36"</v>
          </cell>
        </row>
        <row r="46">
          <cell r="I46" t="str">
            <v>Barra TMGB 2"x1/4x10"</v>
          </cell>
        </row>
        <row r="47">
          <cell r="I47" t="str">
            <v>Base de medidor clase 200 nema 3 con interruptor 150A</v>
          </cell>
        </row>
        <row r="48">
          <cell r="I48" t="str">
            <v>Bastidor 12 UR con accesorios</v>
          </cell>
        </row>
        <row r="49">
          <cell r="I49" t="str">
            <v>Beccgard Structural Minio Rojo (CUBETA)</v>
          </cell>
        </row>
        <row r="50">
          <cell r="I50" t="str">
            <v>Beccgard Structural Minio Rojo (GALÓN)</v>
          </cell>
        </row>
        <row r="51">
          <cell r="I51" t="str">
            <v>Beccgard Structural Primar Amarillo (GALÓN)</v>
          </cell>
        </row>
        <row r="52">
          <cell r="I52" t="str">
            <v>Beccgard Structural Primer Amarillo (CUBETA)</v>
          </cell>
        </row>
        <row r="53">
          <cell r="I53" t="str">
            <v>Bloque 12x20x40 clase A</v>
          </cell>
        </row>
        <row r="54">
          <cell r="I54" t="str">
            <v>Bocina con luz estroboscopica</v>
          </cell>
        </row>
        <row r="55">
          <cell r="I55" t="str">
            <v>Bondex regular saco 25 kg</v>
          </cell>
        </row>
        <row r="56">
          <cell r="I56" t="str">
            <v>Botaguas esmaltado 18"x1,83m #26 blanca</v>
          </cell>
        </row>
        <row r="57">
          <cell r="I57" t="str">
            <v>Breaker 1/15A</v>
          </cell>
        </row>
        <row r="58">
          <cell r="I58" t="str">
            <v>Breaker 1/20A</v>
          </cell>
        </row>
        <row r="59">
          <cell r="I59" t="str">
            <v>Breaker 2/90 A</v>
          </cell>
        </row>
        <row r="60">
          <cell r="I60" t="str">
            <v xml:space="preserve">Breaker de 30 A 1P </v>
          </cell>
        </row>
        <row r="61">
          <cell r="I61" t="str">
            <v xml:space="preserve">Breaker de 50 A 2P </v>
          </cell>
        </row>
        <row r="62">
          <cell r="I62" t="str">
            <v xml:space="preserve">Breaker de 60 A 2P </v>
          </cell>
        </row>
        <row r="63">
          <cell r="I63" t="str">
            <v xml:space="preserve">Breaker de 70 A 2P </v>
          </cell>
        </row>
        <row r="64">
          <cell r="I64" t="str">
            <v>Breaker GFCI falla a tierra 1/20A</v>
          </cell>
        </row>
        <row r="65">
          <cell r="I65" t="str">
            <v>Brocha 2</v>
          </cell>
        </row>
        <row r="66">
          <cell r="I66" t="str">
            <v>Brocha 4</v>
          </cell>
        </row>
        <row r="67">
          <cell r="I67" t="str">
            <v>btAD</v>
          </cell>
        </row>
        <row r="68">
          <cell r="I68" t="str">
            <v>btAi</v>
          </cell>
        </row>
        <row r="69">
          <cell r="I69" t="str">
            <v>Cable #16 AWG FPLR</v>
          </cell>
        </row>
        <row r="70">
          <cell r="I70" t="str">
            <v>Cable #16 para sistema de incendios</v>
          </cell>
        </row>
        <row r="72">
          <cell r="I72" t="str">
            <v>Cable 12 AWG THHN (L,N, T, R)</v>
          </cell>
        </row>
        <row r="73">
          <cell r="I73" t="str">
            <v>Cable AWG cobre #6</v>
          </cell>
        </row>
        <row r="74">
          <cell r="I74" t="str">
            <v>Cable telefònico 4 pares</v>
          </cell>
        </row>
        <row r="75">
          <cell r="I75" t="str">
            <v>Cable Telefonico para intemperie 10 pares 24 AWG</v>
          </cell>
        </row>
        <row r="76">
          <cell r="I76" t="str">
            <v>Cable TGP No.3x12 AWG</v>
          </cell>
        </row>
        <row r="77">
          <cell r="I77" t="str">
            <v>Cable THHN #12 azul</v>
          </cell>
        </row>
        <row r="78">
          <cell r="I78" t="str">
            <v>Cable THHN #12 blanco</v>
          </cell>
        </row>
        <row r="79">
          <cell r="I79" t="str">
            <v>Cable THHN #12 negro</v>
          </cell>
        </row>
        <row r="80">
          <cell r="I80" t="str">
            <v>Cable THHN #12 rojo</v>
          </cell>
        </row>
        <row r="81">
          <cell r="I81" t="str">
            <v>Cable THHN #12 verde</v>
          </cell>
        </row>
        <row r="82">
          <cell r="I82" t="str">
            <v>Cable THHN cobre calibre 1/0</v>
          </cell>
        </row>
        <row r="83">
          <cell r="I83" t="str">
            <v>Cable para timbre 2x22</v>
          </cell>
        </row>
        <row r="84">
          <cell r="I84" t="str">
            <v>Cable UTP Cat 6 4 par</v>
          </cell>
        </row>
        <row r="85">
          <cell r="I85" t="str">
            <v>Cable UTP CAT 6e</v>
          </cell>
        </row>
        <row r="86">
          <cell r="I86" t="str">
            <v>Caja americana octogonal pesada UL 1/2"-3/4"</v>
          </cell>
        </row>
        <row r="87">
          <cell r="I87" t="str">
            <v>Caja de registro prefabricada de 31x31</v>
          </cell>
        </row>
        <row r="88">
          <cell r="I88" t="str">
            <v>Caja para intemperie rectangular UL 3H 1/2"</v>
          </cell>
        </row>
        <row r="89">
          <cell r="I89" t="str">
            <v>Caja rectangular 1/2" p/ intemperie B-5</v>
          </cell>
        </row>
        <row r="90">
          <cell r="I90" t="str">
            <v>Cajas de registro para varillas cooper well</v>
          </cell>
        </row>
        <row r="91">
          <cell r="I91" t="str">
            <v>Cajas de registros para llaves de paso</v>
          </cell>
        </row>
        <row r="92">
          <cell r="I92" t="str">
            <v>Canal 1 A VF X-12-2 NA 640</v>
          </cell>
        </row>
        <row r="93">
          <cell r="I93" t="str">
            <v>Canal 12.7x12.7x1.14mm na 640</v>
          </cell>
        </row>
        <row r="94">
          <cell r="I94" t="str">
            <v>Canasta 100mmx50mm</v>
          </cell>
        </row>
        <row r="95">
          <cell r="I95" t="str">
            <v>Candado</v>
          </cell>
        </row>
        <row r="96">
          <cell r="I96" t="str">
            <v>Canoa esmaltada #26 20 cm altura; 15 cm profundidad</v>
          </cell>
        </row>
        <row r="97">
          <cell r="I97" t="str">
            <v>Cemento saco de 50 kg</v>
          </cell>
        </row>
        <row r="98">
          <cell r="I98" t="str">
            <v>Cenicero</v>
          </cell>
        </row>
        <row r="99">
          <cell r="I99" t="str">
            <v>Cerradura Manija recta yale s/llave</v>
          </cell>
        </row>
        <row r="100">
          <cell r="I100" t="str">
            <v>Cinta de precaución</v>
          </cell>
        </row>
        <row r="101">
          <cell r="I101" t="str">
            <v>Cinta junta de papel 2"x250'</v>
          </cell>
        </row>
        <row r="102">
          <cell r="I102" t="str">
            <v>clavo acero bar  50mm (2) 2.7mm</v>
          </cell>
        </row>
        <row r="103">
          <cell r="I103" t="str">
            <v>clavo c/cabeza  50mm 2"</v>
          </cell>
        </row>
        <row r="104">
          <cell r="I104" t="str">
            <v>clavo s/cabeza  50mm (2")</v>
          </cell>
        </row>
        <row r="105">
          <cell r="I105" t="str">
            <v>clavo tiros café</v>
          </cell>
        </row>
        <row r="106">
          <cell r="I106" t="str">
            <v>Clavos de 3/4 acero explosivo</v>
          </cell>
        </row>
        <row r="107">
          <cell r="I107" t="str">
            <v>Codo 45° sanitaria DWV P.G. Campana cementada 75 mm 3"</v>
          </cell>
        </row>
        <row r="108">
          <cell r="I108" t="str">
            <v>Codo 45° SCH 40 Campana cementada 12 mm 1/2"</v>
          </cell>
        </row>
        <row r="109">
          <cell r="I109" t="str">
            <v>Codo 90° sanitaria DWV P.G. Campana cementada 100 mm 4"</v>
          </cell>
        </row>
        <row r="110">
          <cell r="I110" t="str">
            <v>Codo 90° sanitaria DWV P.G. Campana cementada 50 mm 2"</v>
          </cell>
        </row>
        <row r="111">
          <cell r="I111" t="str">
            <v>Codo 90° sanitaria DWV P.G. Campana cementada 75 mm 3"</v>
          </cell>
        </row>
        <row r="112">
          <cell r="I112" t="str">
            <v>Codo 90° SCH 40 Campana cementada 12 mm 1/2"</v>
          </cell>
        </row>
        <row r="113">
          <cell r="I113" t="str">
            <v>Columna tipo A 3,15 m</v>
          </cell>
        </row>
        <row r="114">
          <cell r="I114" t="str">
            <v>Columna tipo C 3,15 m</v>
          </cell>
        </row>
        <row r="115">
          <cell r="I115" t="str">
            <v>Columna tipo C 3,29 m</v>
          </cell>
        </row>
        <row r="116">
          <cell r="I116" t="str">
            <v>Columna tipo C 3,42 m</v>
          </cell>
        </row>
        <row r="117">
          <cell r="I117" t="str">
            <v>Columna tipo C 3,52 m</v>
          </cell>
        </row>
        <row r="118">
          <cell r="I118" t="str">
            <v>Columna tipo C 3,57 m</v>
          </cell>
        </row>
        <row r="119">
          <cell r="I119" t="str">
            <v>Columna tipo C 3,71 m</v>
          </cell>
        </row>
        <row r="120">
          <cell r="I120" t="str">
            <v>Columna tipo C 3,78 m</v>
          </cell>
        </row>
        <row r="121">
          <cell r="I121" t="str">
            <v>Columna tipo C 3,99 m</v>
          </cell>
        </row>
        <row r="122">
          <cell r="I122" t="str">
            <v>Columna tipo C 4,2 m</v>
          </cell>
        </row>
        <row r="123">
          <cell r="I123" t="str">
            <v>Columna tipo CA 3,15 m</v>
          </cell>
        </row>
        <row r="124">
          <cell r="I124" t="str">
            <v>Columna tipo CA 3,52m</v>
          </cell>
        </row>
        <row r="125">
          <cell r="I125" t="str">
            <v>Columna tipo CA 3,57 m</v>
          </cell>
        </row>
        <row r="126">
          <cell r="I126" t="str">
            <v>Columna tipo CA 3,78 m</v>
          </cell>
        </row>
        <row r="127">
          <cell r="I127" t="str">
            <v>Columna tipo CT 3,52 m</v>
          </cell>
        </row>
        <row r="128">
          <cell r="I128" t="str">
            <v>Columna tipo CT 3,71 m</v>
          </cell>
        </row>
        <row r="129">
          <cell r="I129" t="str">
            <v>Columna tipo CT 3,78 m</v>
          </cell>
        </row>
        <row r="130">
          <cell r="I130" t="str">
            <v>Columna tipo CT 3,99 m</v>
          </cell>
        </row>
        <row r="131">
          <cell r="I131" t="str">
            <v>Columna tipo E 3,29 m</v>
          </cell>
        </row>
        <row r="132">
          <cell r="I132" t="str">
            <v>Columna tipo E 3,52 m</v>
          </cell>
        </row>
        <row r="133">
          <cell r="I133" t="str">
            <v>Columna tipo E 3,57 m</v>
          </cell>
        </row>
        <row r="134">
          <cell r="I134" t="str">
            <v>Columna tipo E 3,71 m</v>
          </cell>
        </row>
        <row r="135">
          <cell r="I135" t="str">
            <v>Columna tipo E 3,99 m</v>
          </cell>
        </row>
        <row r="136">
          <cell r="I136" t="str">
            <v>Columna tipo E 4,2 m</v>
          </cell>
        </row>
        <row r="137">
          <cell r="I137" t="str">
            <v>Columna tipo EA 3,52 m</v>
          </cell>
        </row>
        <row r="138">
          <cell r="I138" t="str">
            <v>Columna tipo EA 3,57 m</v>
          </cell>
        </row>
        <row r="139">
          <cell r="I139" t="str">
            <v>Columna tipo EA 3,71 m</v>
          </cell>
        </row>
        <row r="140">
          <cell r="I140" t="str">
            <v>Columna tipo EA 3,99 m</v>
          </cell>
        </row>
        <row r="141">
          <cell r="I141" t="str">
            <v>Columna tipo EA 4,2 m</v>
          </cell>
        </row>
        <row r="142">
          <cell r="I142" t="str">
            <v>Columna tipo ET 3,52 m</v>
          </cell>
        </row>
        <row r="143">
          <cell r="I143" t="str">
            <v>Columna tipo ET 3,71 m</v>
          </cell>
        </row>
        <row r="144">
          <cell r="I144" t="str">
            <v>Columna tipo F 3,57 m</v>
          </cell>
        </row>
        <row r="145">
          <cell r="I145" t="str">
            <v>Conduit EMT UL 25 mm</v>
          </cell>
        </row>
        <row r="146">
          <cell r="I146" t="str">
            <v>Tubo conduit PVC SCH40 38 mm</v>
          </cell>
        </row>
        <row r="147">
          <cell r="I147" t="str">
            <v>Conduleta botaguas  19 mm EMT UL</v>
          </cell>
        </row>
        <row r="148">
          <cell r="I148" t="str">
            <v>Conduleta botaguas  50 mm EMT UL</v>
          </cell>
        </row>
        <row r="149">
          <cell r="I149" t="str">
            <v>Conduleta botaguas 25 mm</v>
          </cell>
        </row>
        <row r="150">
          <cell r="I150" t="str">
            <v>Conector de resorte 3M 22-12 awg</v>
          </cell>
        </row>
        <row r="151">
          <cell r="I151" t="str">
            <v>Conector EMT Sello UL USA presión 12 mm 1/2"</v>
          </cell>
        </row>
        <row r="152">
          <cell r="I152" t="str">
            <v xml:space="preserve">Conector hembra conduit UL SCH 40 12 mm 1/2" </v>
          </cell>
        </row>
        <row r="153">
          <cell r="I153" t="str">
            <v>Conectores de presión 19 mm EMT UL</v>
          </cell>
        </row>
        <row r="154">
          <cell r="I154" t="str">
            <v>Conectores de presión EMT UL</v>
          </cell>
        </row>
        <row r="155">
          <cell r="I155" t="str">
            <v>Conectores de presión EMT UL 25 mm</v>
          </cell>
        </row>
        <row r="156">
          <cell r="I156" t="str">
            <v>Cuerda p/ albañil</v>
          </cell>
        </row>
        <row r="157">
          <cell r="I157" t="str">
            <v>Cumbrera esmaltada 18"x1,83m #26 blanca</v>
          </cell>
        </row>
        <row r="158">
          <cell r="I158" t="str">
            <v>Curva  de 90° conduit UL doble campana cementada 12 mm 1/2"</v>
          </cell>
        </row>
        <row r="159">
          <cell r="I159" t="str">
            <v>Diluyente Odorless Esmaltes</v>
          </cell>
        </row>
        <row r="160">
          <cell r="I160" t="str">
            <v>Disco corte acero 9"</v>
          </cell>
        </row>
        <row r="161">
          <cell r="I161" t="str">
            <v>Dispensador papel higiénico</v>
          </cell>
        </row>
        <row r="162">
          <cell r="I162" t="str">
            <v>Dispensador toallas papel blanco</v>
          </cell>
        </row>
        <row r="163">
          <cell r="I163" t="str">
            <v>Ducto para dos medidores (10075ET2 CH)</v>
          </cell>
        </row>
        <row r="164">
          <cell r="I164" t="str">
            <v>Electrovalvula</v>
          </cell>
        </row>
        <row r="165">
          <cell r="I165" t="str">
            <v>Espejo 75cmx120cm</v>
          </cell>
        </row>
        <row r="166">
          <cell r="I166" t="str">
            <v xml:space="preserve">Estación manual de incendio </v>
          </cell>
        </row>
        <row r="167">
          <cell r="I167" t="str">
            <v>Extintor ABC de 4.5kg con Gabinete</v>
          </cell>
        </row>
        <row r="168">
          <cell r="I168" t="str">
            <v>Extintor tipo K con Gabinete</v>
          </cell>
        </row>
        <row r="169">
          <cell r="I169" t="str">
            <v>Fast Dry Esmalte Fergurson</v>
          </cell>
        </row>
        <row r="170">
          <cell r="I170" t="str">
            <v>Fleje gris (2m)</v>
          </cell>
        </row>
        <row r="171">
          <cell r="I171" t="str">
            <v>Fondo Falso</v>
          </cell>
        </row>
        <row r="172">
          <cell r="I172" t="str">
            <v>Formaleta 1"x12"</v>
          </cell>
        </row>
        <row r="173">
          <cell r="I173" t="str">
            <v>Formaleta 1x12</v>
          </cell>
        </row>
        <row r="174">
          <cell r="I174" t="str">
            <v>Fragura bolsa de dos kilos</v>
          </cell>
        </row>
        <row r="175">
          <cell r="I175" t="str">
            <v>Gabinete de pared 11U</v>
          </cell>
        </row>
        <row r="176">
          <cell r="I176" t="str">
            <v>Gaza EMT 2H americanca 1/2" 12 mm UL</v>
          </cell>
        </row>
        <row r="177">
          <cell r="I177" t="str">
            <v>Gazas para varilla cooper well</v>
          </cell>
        </row>
        <row r="178">
          <cell r="I178" t="str">
            <v>Gijos</v>
          </cell>
        </row>
        <row r="179">
          <cell r="I179" t="str">
            <v>Inodoro Ecoline blanco</v>
          </cell>
        </row>
        <row r="180">
          <cell r="I180" t="str">
            <v>Inodoro infantil Ecoline de American Standard</v>
          </cell>
        </row>
        <row r="181">
          <cell r="I181" t="str">
            <v>Inodoro para discapacitados</v>
          </cell>
        </row>
        <row r="182">
          <cell r="I182" t="str">
            <v>Kit instalacion para inodoro de 4"</v>
          </cell>
        </row>
        <row r="183">
          <cell r="I183" t="str">
            <v>Ladrillos de barro</v>
          </cell>
        </row>
        <row r="184">
          <cell r="I184" t="str">
            <v>Lamina de cielo suspendido 0,61 x 0,61</v>
          </cell>
        </row>
        <row r="185">
          <cell r="I185" t="str">
            <v>Lámina gypsum blanca 1/2"x4'x8'</v>
          </cell>
        </row>
        <row r="186">
          <cell r="I186" t="str">
            <v>Lamina hierro liso galvanizado #20 0,91x1,83</v>
          </cell>
        </row>
        <row r="187">
          <cell r="I187" t="str">
            <v>Lámina hierro pulido 1,22x2,44 #18</v>
          </cell>
        </row>
        <row r="188">
          <cell r="I188" t="str">
            <v>Lámina metalock esmaltada blanca</v>
          </cell>
        </row>
        <row r="189">
          <cell r="I189" t="str">
            <v>Lámina ondulada esmaltado blanco 1,83x1,05m #26</v>
          </cell>
        </row>
        <row r="190">
          <cell r="I190" t="str">
            <v>Lámina ondulada esmaltado blanco 2,44x1,05m #26</v>
          </cell>
        </row>
        <row r="191">
          <cell r="I191" t="str">
            <v>Lámina ondulada esmaltado blanco 3,66x1,05m #26</v>
          </cell>
        </row>
        <row r="192">
          <cell r="I192" t="str">
            <v>Làmina punta de diamante 3 mm</v>
          </cell>
        </row>
        <row r="193">
          <cell r="I193" t="str">
            <v>Lampara de emergencia E-40</v>
          </cell>
        </row>
        <row r="194">
          <cell r="I194" t="str">
            <v>Lampara fluorescente Modelo: 705-E0-48-2, Sylvania o similar, 120v,  64w, balastro electronico.</v>
          </cell>
        </row>
        <row r="195">
          <cell r="I195" t="str">
            <v>Làmpara tortuga modélo P36703-36</v>
          </cell>
        </row>
        <row r="196">
          <cell r="I196" t="str">
            <v>Lastre</v>
          </cell>
        </row>
        <row r="197">
          <cell r="I197" t="str">
            <v>Lavatorio Aqualyne blanco 1H Empotrar</v>
          </cell>
        </row>
        <row r="198">
          <cell r="I198" t="str">
            <v>Llava Ecoline para lavatorio Aqualyne</v>
          </cell>
        </row>
        <row r="199">
          <cell r="I199" t="str">
            <v>Llave control 1/2 a 3/8 escuadra caja amarilla</v>
          </cell>
        </row>
        <row r="200">
          <cell r="I200" t="str">
            <v>Llave de chorro cromada de 1/2" con rosca</v>
          </cell>
        </row>
        <row r="201">
          <cell r="I201" t="str">
            <v>Llave de control 1/2"x1/2"</v>
          </cell>
        </row>
        <row r="202">
          <cell r="I202" t="str">
            <v>Llave de paso</v>
          </cell>
        </row>
        <row r="203">
          <cell r="I203" t="str">
            <v>Luminaria Sylvania 408-EO-48-2 (2x4) con difusor cuadriculado blanco</v>
          </cell>
        </row>
        <row r="204">
          <cell r="I204" t="str">
            <v>Luminaria UL 1415 2b DIF#1</v>
          </cell>
        </row>
        <row r="205">
          <cell r="I205" t="str">
            <v>Malla ciclón galvanizada #10 2 m (50x50mm)</v>
          </cell>
        </row>
        <row r="206">
          <cell r="I206" t="str">
            <v>Malla electrosoldada 2,35x6 metros(4,88 mm)</v>
          </cell>
        </row>
        <row r="207">
          <cell r="I207" t="str">
            <v>Malla jordomex 1,22x2,44x1,5mm (#3)</v>
          </cell>
        </row>
        <row r="208">
          <cell r="I208" t="str">
            <v>Malla jordomex 1.22x2.44x3mm</v>
          </cell>
        </row>
        <row r="209">
          <cell r="I209" t="str">
            <v>Malla jordomex 1.22x2.44x3mm (#1)</v>
          </cell>
        </row>
        <row r="210">
          <cell r="I210" t="str">
            <v>Masilla cubeta 58 lbs E.F. T/Morada</v>
          </cell>
        </row>
        <row r="211">
          <cell r="I211" t="str">
            <v>Mecha</v>
          </cell>
        </row>
        <row r="212">
          <cell r="I212" t="str">
            <v>Mueble con fregadero y cachera</v>
          </cell>
        </row>
        <row r="213">
          <cell r="I213" t="str">
            <v>Mueble de recepcion con puerta laterals</v>
          </cell>
        </row>
        <row r="214">
          <cell r="I214" t="str">
            <v>Extractor</v>
          </cell>
        </row>
        <row r="215">
          <cell r="I215" t="str">
            <v>Nipple 1/2"x3" galvanizado</v>
          </cell>
        </row>
        <row r="216">
          <cell r="I216" t="str">
            <v>Ocre</v>
          </cell>
        </row>
        <row r="217">
          <cell r="I217" t="str">
            <v>Organizador de Cables Horizontal</v>
          </cell>
        </row>
        <row r="218">
          <cell r="I218" t="str">
            <v>Orinal con llave push</v>
          </cell>
        </row>
        <row r="219">
          <cell r="I219" t="str">
            <v>Paleta inc 5mm 96"</v>
          </cell>
        </row>
        <row r="220">
          <cell r="I220" t="str">
            <v xml:space="preserve">Panel de incendio Notifier de Honeywell  </v>
          </cell>
        </row>
        <row r="221">
          <cell r="I221" t="str">
            <v>Patch Cords</v>
          </cell>
        </row>
        <row r="222">
          <cell r="I222" t="str">
            <v>Patch Panel 24 Puertos</v>
          </cell>
        </row>
        <row r="223">
          <cell r="I223" t="str">
            <v>Pegamento PVC</v>
          </cell>
        </row>
        <row r="224">
          <cell r="I224" t="str">
            <v>Perfil #1 09 MF</v>
          </cell>
        </row>
        <row r="225">
          <cell r="I225" t="str">
            <v>Perfil #1 L 13 MF</v>
          </cell>
        </row>
        <row r="226">
          <cell r="I226" t="str">
            <v>Perfil HG para portón arrollable (6m)</v>
          </cell>
        </row>
        <row r="227">
          <cell r="I227" t="str">
            <v>Perling  70X50X1.50 mm RT0-16</v>
          </cell>
        </row>
        <row r="228">
          <cell r="I228" t="str">
            <v>Perling 150X50X1.50 mm RT3-16</v>
          </cell>
        </row>
        <row r="229">
          <cell r="I229" t="str">
            <v>Perling 150X50X2.38 mm RT3-13</v>
          </cell>
        </row>
        <row r="230">
          <cell r="I230" t="str">
            <v>Perling 200X50X1.50 mm RT4-16</v>
          </cell>
        </row>
        <row r="231">
          <cell r="I231" t="str">
            <v>Perling 200X50X2.38 mm RT4-13</v>
          </cell>
        </row>
        <row r="232">
          <cell r="I232" t="str">
            <v>Perling 200X50X3.17 mm RT4-11</v>
          </cell>
        </row>
        <row r="233">
          <cell r="I233" t="str">
            <v>Piedra cuarta</v>
          </cell>
        </row>
        <row r="234">
          <cell r="I234" t="str">
            <v>Piedra para drenaje</v>
          </cell>
        </row>
        <row r="235">
          <cell r="I235" t="str">
            <v>Pintura acrílica similar a Goltex</v>
          </cell>
        </row>
        <row r="236">
          <cell r="I236" t="str">
            <v>Pizarras Panoramicas 1,22x4,88</v>
          </cell>
        </row>
        <row r="237">
          <cell r="I237" t="str">
            <v>Placa 100x100x3,17mm</v>
          </cell>
        </row>
        <row r="238">
          <cell r="I238" t="str">
            <v>Placa 300x300x3,17mm</v>
          </cell>
        </row>
        <row r="239">
          <cell r="I239" t="str">
            <v>Placa acero inoxidable para toma doble</v>
          </cell>
        </row>
        <row r="240">
          <cell r="I240" t="str">
            <v>Placa acero inoxidable para toma sencillo</v>
          </cell>
        </row>
        <row r="241">
          <cell r="I241" t="str">
            <v>Placa telefónica</v>
          </cell>
        </row>
        <row r="242">
          <cell r="I242" t="str">
            <v>Platina 38x3 mm (1.1/2"X1/8")</v>
          </cell>
        </row>
        <row r="243">
          <cell r="I243" t="str">
            <v>Platina 38x5 mm (1.1/2"X3/16")</v>
          </cell>
        </row>
        <row r="244">
          <cell r="I244" t="str">
            <v>Platina 50x3.17 mm (2"X1/8")</v>
          </cell>
        </row>
        <row r="245">
          <cell r="I245" t="str">
            <v>Polvo Piedra</v>
          </cell>
        </row>
        <row r="246">
          <cell r="I246" t="str">
            <v>Precinta fibrolit 20cmx2.44mx11mm</v>
          </cell>
        </row>
        <row r="247">
          <cell r="I247" t="str">
            <v>Puerta de madera con marco</v>
          </cell>
        </row>
        <row r="248">
          <cell r="I248" t="str">
            <v>Puertas de vidrios (P6)</v>
          </cell>
        </row>
        <row r="249">
          <cell r="I249" t="str">
            <v>Quarry Tile 20cmx20cm</v>
          </cell>
        </row>
        <row r="250">
          <cell r="I250" t="str">
            <v>Reducción sanitaria P.G. 75mmx38mm</v>
          </cell>
        </row>
        <row r="251">
          <cell r="I251" t="str">
            <v>Regla 1" x 2" p/ vara semiduro</v>
          </cell>
        </row>
        <row r="252">
          <cell r="I252" t="str">
            <v>Regla 1" x 3" p/vara semiduro</v>
          </cell>
        </row>
        <row r="253">
          <cell r="I253" t="str">
            <v>Remache pop alumnio 3/16"x1/2"</v>
          </cell>
        </row>
        <row r="254">
          <cell r="I254" t="str">
            <v>Repello grueso (saco 40 kg)</v>
          </cell>
        </row>
        <row r="255">
          <cell r="I255" t="str">
            <v>Rotulo de Salida Modelo: E-50R-AC/DC</v>
          </cell>
        </row>
        <row r="256">
          <cell r="I256" t="str">
            <v>Saco concremix (40 kg)</v>
          </cell>
        </row>
        <row r="257">
          <cell r="I257" t="str">
            <v>Salida de Datos, Placa + Jack</v>
          </cell>
        </row>
        <row r="258">
          <cell r="I258" t="str">
            <v>Salida de Voz, Placa + Jack</v>
          </cell>
        </row>
        <row r="259">
          <cell r="I259" t="str">
            <v>Sellador para concreto</v>
          </cell>
        </row>
        <row r="260">
          <cell r="I260" t="str">
            <v>Sensor de gas</v>
          </cell>
        </row>
        <row r="261">
          <cell r="I261" t="str">
            <v>Sensor de humo</v>
          </cell>
        </row>
        <row r="262">
          <cell r="I262" t="str">
            <v>Separador para cerámica</v>
          </cell>
        </row>
        <row r="263">
          <cell r="I263" t="str">
            <v>Silicon pref multi EH trans</v>
          </cell>
        </row>
        <row r="264">
          <cell r="I264" t="str">
            <v>Sistema de cloración</v>
          </cell>
        </row>
        <row r="265">
          <cell r="I265" t="str">
            <v>Sistema de tratamiento de aguas, tanque séptico, y FAFA</v>
          </cell>
        </row>
        <row r="266">
          <cell r="I266" t="str">
            <v xml:space="preserve">Soldadura 6013-3/32 </v>
          </cell>
        </row>
        <row r="267">
          <cell r="I267" t="str">
            <v>Soldadura 6013-3/32"</v>
          </cell>
        </row>
        <row r="268">
          <cell r="I268" t="str">
            <v>Soldadura exotérmica</v>
          </cell>
        </row>
        <row r="269">
          <cell r="I269" t="str">
            <v>Stud 3x10 en TG.</v>
          </cell>
        </row>
        <row r="270">
          <cell r="I270" t="str">
            <v>Suministrador de jabón</v>
          </cell>
        </row>
        <row r="271">
          <cell r="I271" t="str">
            <v>Supresor de picos para computo con regleta</v>
          </cell>
        </row>
        <row r="272">
          <cell r="I272" t="str">
            <v xml:space="preserve">Switch Marca: HP Modelo: V1910-24G 24 Giga +4 SFP L3 Lite </v>
          </cell>
        </row>
        <row r="273">
          <cell r="I273" t="str">
            <v>Centro cargas CH18B100CPF</v>
          </cell>
        </row>
        <row r="274">
          <cell r="I274" t="str">
            <v>Tablero 24 polos barras 225amp 120/240v IP2X150 CH24B 200EPF</v>
          </cell>
        </row>
        <row r="275">
          <cell r="I275" t="str">
            <v>Tablero Telefonico 10x20 con regleta TC1184R</v>
          </cell>
        </row>
        <row r="276">
          <cell r="I276" t="str">
            <v>Tapa octogonal pesada</v>
          </cell>
        </row>
        <row r="277">
          <cell r="I277" t="str">
            <v>Tape 3M Super 33 negro 20 m</v>
          </cell>
        </row>
        <row r="278">
          <cell r="I278" t="str">
            <v>TE SCH 40 Campana cementada 12 mm 1/2"</v>
          </cell>
        </row>
        <row r="279">
          <cell r="I279" t="str">
            <v>Tee principal para cielo suspendido 12´ (3.66 m)</v>
          </cell>
        </row>
        <row r="280">
          <cell r="I280" t="str">
            <v>Tee secundaria para cielo suspendido 2' (0.61 m)</v>
          </cell>
        </row>
        <row r="281">
          <cell r="I281" t="str">
            <v>Tee secundaria para cielo suspendido 4´ (1.22 m)</v>
          </cell>
        </row>
        <row r="282">
          <cell r="I282" t="str">
            <v>Teflón 1/2 x 12m</v>
          </cell>
        </row>
        <row r="283">
          <cell r="I283" t="str">
            <v>Temporizador marca Intermátic</v>
          </cell>
        </row>
        <row r="284">
          <cell r="I284" t="str">
            <v>Terminal aislado 3M de horquilla 12-10 awg</v>
          </cell>
        </row>
        <row r="285">
          <cell r="I285" t="str">
            <v>Terrazo (30x30)</v>
          </cell>
        </row>
        <row r="286">
          <cell r="I286" t="str">
            <v>Thinner Fino</v>
          </cell>
        </row>
        <row r="287">
          <cell r="I287" t="str">
            <v>Timbre (Campana marca Eagle 611) de 6"</v>
          </cell>
        </row>
        <row r="288">
          <cell r="I288" t="str">
            <v>Toma corriente industrial CR20-1 110V 20 Amp 3L</v>
          </cell>
        </row>
        <row r="289">
          <cell r="I289" t="str">
            <v>Toma para voz y datos</v>
          </cell>
        </row>
        <row r="290">
          <cell r="I290" t="str">
            <v>Tope para puerta</v>
          </cell>
        </row>
        <row r="291">
          <cell r="I291" t="str">
            <v>Tornillo anclaje 3/8"x5"</v>
          </cell>
        </row>
        <row r="292">
          <cell r="I292" t="str">
            <v>Tornillo PAN PHI 8X3/4 NA</v>
          </cell>
        </row>
        <row r="293">
          <cell r="I293" t="str">
            <v>Tornillo para gypsum punta fina 6x1-1/4"</v>
          </cell>
        </row>
        <row r="294">
          <cell r="I294" t="str">
            <v>Tornillo para techo punta broca 50 mm</v>
          </cell>
        </row>
        <row r="295">
          <cell r="I295" t="str">
            <v>Tornillo punta broca 6x7/16" (Frijolillo)</v>
          </cell>
        </row>
        <row r="296">
          <cell r="I296" t="str">
            <v>Tornillo solera</v>
          </cell>
        </row>
        <row r="297">
          <cell r="I297" t="str">
            <v>Trampa sanitaria PG con registro</v>
          </cell>
        </row>
        <row r="298">
          <cell r="I298" t="str">
            <v>T-Track 3"x10 en TG.</v>
          </cell>
        </row>
        <row r="299">
          <cell r="I299" t="str">
            <v>Tubería PVC cementada SCH 40 12 mm 1/2"</v>
          </cell>
        </row>
        <row r="300">
          <cell r="I300" t="str">
            <v>Tubería PVC cementada SDR 26 75 mm 3"</v>
          </cell>
        </row>
        <row r="301">
          <cell r="I301" t="str">
            <v>Tubería PVC cementada SDR 32,5 75 mm 3"</v>
          </cell>
        </row>
        <row r="302">
          <cell r="I302" t="str">
            <v>Tubería PVC cementada SDR 41 100 mm 4"</v>
          </cell>
        </row>
        <row r="303">
          <cell r="I303" t="str">
            <v>Tubería PVC cementada SDR 41 50 mm 2"</v>
          </cell>
        </row>
        <row r="304">
          <cell r="I304" t="str">
            <v>Tubería PVC con empaque SDR 32,5 100 mm 4"</v>
          </cell>
        </row>
        <row r="305">
          <cell r="I305" t="str">
            <v>Tubo 12 mm EMT UL</v>
          </cell>
        </row>
        <row r="306">
          <cell r="I306" t="str">
            <v>Tubo 19 mm EMT UL</v>
          </cell>
        </row>
        <row r="307">
          <cell r="I307" t="str">
            <v>Tubo 2 A VF X-11-1 NA 640</v>
          </cell>
        </row>
        <row r="308">
          <cell r="I308" t="str">
            <v>Tubo 38 mm EMT UL</v>
          </cell>
        </row>
        <row r="309">
          <cell r="I309" t="str">
            <v>Tubo 75mmx1.80MM</v>
          </cell>
        </row>
        <row r="310">
          <cell r="I310" t="str">
            <v>Tubo abasto 3/8 a 1/2 mosaico</v>
          </cell>
        </row>
        <row r="311">
          <cell r="I311" t="str">
            <v>Tubo conduit 50 mm UL</v>
          </cell>
        </row>
        <row r="312">
          <cell r="I312" t="str">
            <v>Tubo conduit UL SCH 40 12 mm 1/2"</v>
          </cell>
        </row>
        <row r="313">
          <cell r="I313" t="str">
            <v>Tubo de abasto 1/2"</v>
          </cell>
        </row>
        <row r="314">
          <cell r="I314" t="str">
            <v>Tubo drenaflex 100mm</v>
          </cell>
        </row>
        <row r="315">
          <cell r="I315" t="str">
            <v>Tubo EMT 19 mm UL</v>
          </cell>
        </row>
        <row r="316">
          <cell r="I316" t="str">
            <v>Tubo EMT Sello UL USA 12 mm 1/2"</v>
          </cell>
        </row>
        <row r="317">
          <cell r="I317" t="str">
            <v>Tubo EMT UL 50 mm</v>
          </cell>
        </row>
        <row r="318">
          <cell r="I318" t="str">
            <v>Tubo estructural 92x92x1,5 mm</v>
          </cell>
        </row>
        <row r="319">
          <cell r="I319" t="str">
            <v>Tubo estructural 92x92x2,38 mm</v>
          </cell>
        </row>
        <row r="320">
          <cell r="I320" t="str">
            <v>Tubo flourescentef32T8 6500k</v>
          </cell>
        </row>
        <row r="321">
          <cell r="I321" t="str">
            <v>Tubo galvanizado malla 38mm x ced 20 (1.1/2")</v>
          </cell>
        </row>
        <row r="322">
          <cell r="I322" t="str">
            <v>Tubo HG 42 mm x 4 mm</v>
          </cell>
        </row>
        <row r="323">
          <cell r="I323" t="str">
            <v>Tubo negro estructural cuadrado 38x38 x1,8 mm</v>
          </cell>
        </row>
        <row r="324">
          <cell r="I324" t="str">
            <v>Tubo negro estructural cuadrado 50x50 x1,5 mm</v>
          </cell>
        </row>
        <row r="325">
          <cell r="I325" t="str">
            <v>Tubo negro estructural cuadrado 50x50 x1,8 mm</v>
          </cell>
        </row>
        <row r="326">
          <cell r="I326" t="str">
            <v>Tubo negro estructural cuadrado 92x92 x1,5mm</v>
          </cell>
        </row>
        <row r="327">
          <cell r="I327" t="str">
            <v>Tubo negro estructural rectangular 100x150 x1,8 mm</v>
          </cell>
        </row>
        <row r="328">
          <cell r="I328" t="str">
            <v>Tuerca hexagonal 1/2"</v>
          </cell>
        </row>
        <row r="329">
          <cell r="I329" t="str">
            <v>Union conduit UL SCH 40 12 mm 1/2"</v>
          </cell>
        </row>
        <row r="330">
          <cell r="I330" t="str">
            <v>Union drenafort</v>
          </cell>
        </row>
        <row r="331">
          <cell r="I331" t="str">
            <v>Unión SCH 40 toda rosca 12 mm 1/2"</v>
          </cell>
        </row>
        <row r="332">
          <cell r="I332" t="str">
            <v>Vagoneta</v>
          </cell>
        </row>
        <row r="333">
          <cell r="I333" t="str">
            <v>Válvula de bola SCH 40 12 mm 1/2"</v>
          </cell>
        </row>
        <row r="334">
          <cell r="I334" t="str">
            <v>Varilla cooper well</v>
          </cell>
        </row>
        <row r="335">
          <cell r="I335" t="str">
            <v>Varilla deformada  g40 #3 3/8"</v>
          </cell>
        </row>
        <row r="336">
          <cell r="I336" t="str">
            <v>Varilla grafilada #2 (5,25mm)</v>
          </cell>
        </row>
        <row r="337">
          <cell r="I337" t="str">
            <v>Varilla lisa  g40 #3 3/8"</v>
          </cell>
        </row>
        <row r="338">
          <cell r="I338" t="str">
            <v>Varilla lisa  g40 #4 1/2"</v>
          </cell>
        </row>
        <row r="339">
          <cell r="I339" t="str">
            <v>Varilla roscada  tipo U #4</v>
          </cell>
        </row>
        <row r="340">
          <cell r="I340" t="str">
            <v>Ventilador</v>
          </cell>
        </row>
        <row r="341">
          <cell r="I341" t="str">
            <v>Vidrio impri nieve inc 4x183x244</v>
          </cell>
        </row>
        <row r="342">
          <cell r="I342" t="str">
            <v>Ye drenafort</v>
          </cell>
        </row>
        <row r="343">
          <cell r="I343" t="str">
            <v>Zacate San Agustin</v>
          </cell>
        </row>
        <row r="345">
          <cell r="I345" t="str">
            <v>Apagador doble 15A color marfil (P&amp;S 690) (P&amp;S 690)</v>
          </cell>
        </row>
        <row r="346">
          <cell r="I346" t="str">
            <v xml:space="preserve">Breaker de 40 A 2P </v>
          </cell>
        </row>
        <row r="347">
          <cell r="I347" t="str">
            <v>Supresor de transientes 80 KVA</v>
          </cell>
        </row>
        <row r="348">
          <cell r="I348" t="str">
            <v>Bastidor de 24 puertos y accesorios</v>
          </cell>
        </row>
        <row r="349">
          <cell r="I349" t="str">
            <v>Làmina durock</v>
          </cell>
        </row>
        <row r="350">
          <cell r="I350" t="str">
            <v>Tanques de gas (100 lbs)</v>
          </cell>
        </row>
        <row r="351">
          <cell r="I351" t="str">
            <v>Tubería flexible para gas</v>
          </cell>
        </row>
        <row r="352">
          <cell r="I352" t="str">
            <v>Acoples para gas</v>
          </cell>
        </row>
        <row r="353">
          <cell r="I353" t="str">
            <v>Lámparas externas doble foco interperie</v>
          </cell>
        </row>
        <row r="354">
          <cell r="I354" t="str">
            <v>Centro de carga CH30L200</v>
          </cell>
        </row>
        <row r="355">
          <cell r="I355" t="str">
            <v>Centro de carga CH20L125</v>
          </cell>
        </row>
        <row r="356">
          <cell r="I356" t="str">
            <v>Breaker 2x150A</v>
          </cell>
        </row>
        <row r="357">
          <cell r="I357" t="str">
            <v>BT 24 CH 24</v>
          </cell>
        </row>
        <row r="358">
          <cell r="I358" t="str">
            <v>Regulador 2da etapa, inteligente</v>
          </cell>
        </row>
        <row r="359">
          <cell r="I359" t="str">
            <v>Mangueras para gas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materiales"/>
      <sheetName val="Oferta contrato"/>
      <sheetName val="1"/>
      <sheetName val="2"/>
      <sheetName val="3"/>
      <sheetName val="4"/>
      <sheetName val="5"/>
      <sheetName val="6"/>
      <sheetName val="7"/>
      <sheetName val="8"/>
      <sheetName val="9"/>
      <sheetName val="10"/>
      <sheetName val="11"/>
      <sheetName val="12"/>
      <sheetName val="13"/>
      <sheetName val="Oferta planos"/>
      <sheetName val="1P"/>
      <sheetName val="2P"/>
      <sheetName val="3P"/>
      <sheetName val="4P"/>
      <sheetName val="5P"/>
      <sheetName val="6P"/>
      <sheetName val="7P"/>
      <sheetName val="8P"/>
      <sheetName val="9P"/>
      <sheetName val="10P"/>
      <sheetName val="11P"/>
      <sheetName val="12P"/>
      <sheetName val="13P"/>
      <sheetName val="14P"/>
      <sheetName val="15P"/>
      <sheetName val="16P"/>
      <sheetName val="17P"/>
      <sheetName val="18P"/>
      <sheetName val="OBRAS ELECTRICAS ADICIONALES"/>
      <sheetName val="7P_ADIC."/>
      <sheetName val="11P_ADIC."/>
      <sheetName val="ELECTRICO_ADIC."/>
    </sheetNames>
    <sheetDataSet>
      <sheetData sheetId="0" refreshError="1"/>
      <sheetData sheetId="1">
        <row r="1">
          <cell r="I1" t="str">
            <v>1-8 RHH/RRH-2 Tierra</v>
          </cell>
        </row>
        <row r="2">
          <cell r="I2" t="str">
            <v>3-6 RHH/RRH-2 Fases y Neutro</v>
          </cell>
        </row>
        <row r="3">
          <cell r="I3" t="str">
            <v>3-4 RHH/RRH-2 Fases y Neutro</v>
          </cell>
        </row>
        <row r="4">
          <cell r="I4" t="str">
            <v>Abanico marca TMT tipo orbital 360º</v>
          </cell>
        </row>
        <row r="5">
          <cell r="I5" t="str">
            <v>Adaptador hembra SCH 40 con rosca Campana cementada 12 mm 1/2"</v>
          </cell>
        </row>
        <row r="6">
          <cell r="I6" t="str">
            <v>Adaptador macho SCH 40 con rosca Campana cementada 12 mm 1/2"</v>
          </cell>
        </row>
        <row r="7">
          <cell r="I7" t="str">
            <v>Aislante térmico una cara espesor de 5 mm</v>
          </cell>
        </row>
        <row r="8">
          <cell r="I8" t="str">
            <v>Alambre galvanizado #16 (1.5mm)</v>
          </cell>
        </row>
        <row r="9">
          <cell r="I9" t="str">
            <v>Alambre negro</v>
          </cell>
        </row>
        <row r="10">
          <cell r="I10" t="str">
            <v>Alambre negro #16 1.68mm. (46k x rollo)</v>
          </cell>
        </row>
        <row r="11">
          <cell r="I11" t="str">
            <v>Aldabas</v>
          </cell>
        </row>
        <row r="12">
          <cell r="I12" t="str">
            <v>Angular 25x4.5 mm (1"X 3/16")</v>
          </cell>
        </row>
        <row r="13">
          <cell r="I13" t="str">
            <v>Angular 38x3,17 mm (1,1/2"x1/8")</v>
          </cell>
        </row>
        <row r="14">
          <cell r="I14" t="str">
            <v>Angular 50x3.17 mm (2"X1/8")</v>
          </cell>
        </row>
        <row r="15">
          <cell r="I15" t="str">
            <v>Angular 50x4.75 mm (2"X3/16")</v>
          </cell>
        </row>
        <row r="16">
          <cell r="I16" t="str">
            <v>Angular 50x50x3mm</v>
          </cell>
        </row>
        <row r="17">
          <cell r="I17" t="str">
            <v>Angular para cielo suspendido TG 10´  (3.05 m)</v>
          </cell>
        </row>
        <row r="18">
          <cell r="I18" t="str">
            <v>Apagador doble 15A color marfil (P&amp;S 690)</v>
          </cell>
        </row>
        <row r="19">
          <cell r="I19" t="str">
            <v>Apagador sencillo 15A color marfil (P&amp;S 660)</v>
          </cell>
        </row>
        <row r="20">
          <cell r="I20" t="str">
            <v>Arandela plana 1/2"</v>
          </cell>
        </row>
        <row r="21">
          <cell r="I21" t="str">
            <v>Arandela plana 5/8"</v>
          </cell>
        </row>
        <row r="22">
          <cell r="I22" t="str">
            <v>Arena</v>
          </cell>
        </row>
        <row r="23">
          <cell r="I23" t="str">
            <v>Azulejo 20x30</v>
          </cell>
        </row>
        <row r="24">
          <cell r="I24" t="str">
            <v>Back-hoe</v>
          </cell>
        </row>
        <row r="25">
          <cell r="I25" t="str">
            <v>Baldosa 0,42x0,63</v>
          </cell>
        </row>
        <row r="26">
          <cell r="I26" t="str">
            <v>Baldosa 0,60x0,315</v>
          </cell>
        </row>
        <row r="27">
          <cell r="I27" t="str">
            <v>Baldosa 0,60x0,42</v>
          </cell>
        </row>
        <row r="28">
          <cell r="I28" t="str">
            <v>Baldosa 0,60x0,63</v>
          </cell>
        </row>
        <row r="29">
          <cell r="I29" t="str">
            <v>Baldosa 0,72x0,63</v>
          </cell>
        </row>
        <row r="30">
          <cell r="I30" t="str">
            <v>Baldosa 0,90x0,315</v>
          </cell>
        </row>
        <row r="31">
          <cell r="I31" t="str">
            <v>Baldosa 0,90x0,42</v>
          </cell>
        </row>
        <row r="32">
          <cell r="I32" t="str">
            <v>Baldosa 0,90x0,63</v>
          </cell>
        </row>
        <row r="33">
          <cell r="I33" t="str">
            <v>Baldosa 1,02x0,42</v>
          </cell>
        </row>
        <row r="34">
          <cell r="I34" t="str">
            <v>Baldosa 1,02x0,63</v>
          </cell>
        </row>
        <row r="35">
          <cell r="I35" t="str">
            <v>Baldosa 1,08x0,42</v>
          </cell>
        </row>
        <row r="36">
          <cell r="I36" t="str">
            <v>Baldosa 1,08x0,63</v>
          </cell>
        </row>
        <row r="37">
          <cell r="I37" t="str">
            <v>Baldosa 1,20x0,315</v>
          </cell>
        </row>
        <row r="38">
          <cell r="I38" t="str">
            <v>Baldosa 1,20x0,42</v>
          </cell>
        </row>
        <row r="39">
          <cell r="I39" t="str">
            <v>Baldosa 1,20x0,63</v>
          </cell>
        </row>
        <row r="40">
          <cell r="I40" t="str">
            <v>Baldosa 1,50x0,315</v>
          </cell>
        </row>
        <row r="41">
          <cell r="I41" t="str">
            <v>Baldosa 1,50x0,42</v>
          </cell>
        </row>
        <row r="42">
          <cell r="I42" t="str">
            <v>Baldosa 1,50x0,63</v>
          </cell>
        </row>
        <row r="43">
          <cell r="I43" t="str">
            <v>Barra discapacitados 60cm</v>
          </cell>
        </row>
        <row r="44">
          <cell r="I44" t="str">
            <v>Barra discapacitados 90cm</v>
          </cell>
        </row>
        <row r="45">
          <cell r="I45" t="str">
            <v>Barra roscada 1/2"x36"</v>
          </cell>
        </row>
        <row r="46">
          <cell r="I46" t="str">
            <v>Barra TMGB 2"x1/4x10"</v>
          </cell>
        </row>
        <row r="47">
          <cell r="I47" t="str">
            <v>Base de medidor clase 200 nema 3 con interruptor 150A</v>
          </cell>
        </row>
        <row r="48">
          <cell r="I48" t="str">
            <v>Bastidor 12 UR con accesorios</v>
          </cell>
        </row>
        <row r="49">
          <cell r="I49" t="str">
            <v>Beccgard Structural Minio Rojo (CUBETA)</v>
          </cell>
        </row>
        <row r="50">
          <cell r="I50" t="str">
            <v>Beccgard Structural Minio Rojo (GALÓN)</v>
          </cell>
        </row>
        <row r="51">
          <cell r="I51" t="str">
            <v>Beccgard Structural Primar Amarillo (GALÓN)</v>
          </cell>
        </row>
        <row r="52">
          <cell r="I52" t="str">
            <v>Beccgard Structural Primer Amarillo (CUBETA)</v>
          </cell>
        </row>
        <row r="53">
          <cell r="I53" t="str">
            <v>Bloque 12x20x40 clase A</v>
          </cell>
        </row>
        <row r="54">
          <cell r="I54" t="str">
            <v>Bocina con luz estroboscopica</v>
          </cell>
        </row>
        <row r="55">
          <cell r="I55" t="str">
            <v>Bondex regular saco 25 kg</v>
          </cell>
        </row>
        <row r="56">
          <cell r="I56" t="str">
            <v>Botaguas esmaltado 18"x1,83m #26 blanca</v>
          </cell>
        </row>
        <row r="57">
          <cell r="I57" t="str">
            <v>Breaker 1/15A</v>
          </cell>
        </row>
        <row r="58">
          <cell r="I58" t="str">
            <v>Breaker 1/20A</v>
          </cell>
        </row>
        <row r="59">
          <cell r="I59" t="str">
            <v>Breaker 2/90 A</v>
          </cell>
        </row>
        <row r="60">
          <cell r="I60" t="str">
            <v xml:space="preserve">Breaker de 30 A 1P </v>
          </cell>
        </row>
        <row r="61">
          <cell r="I61" t="str">
            <v xml:space="preserve">Breaker de 50 A 2P </v>
          </cell>
        </row>
        <row r="62">
          <cell r="I62" t="str">
            <v xml:space="preserve">Breaker de 60 A 2P </v>
          </cell>
        </row>
        <row r="63">
          <cell r="I63" t="str">
            <v xml:space="preserve">Breaker de 70 A 2P </v>
          </cell>
        </row>
        <row r="64">
          <cell r="I64" t="str">
            <v>Breaker GFCI falla a tierra 1/20A</v>
          </cell>
        </row>
        <row r="65">
          <cell r="I65" t="str">
            <v>Brocha 2</v>
          </cell>
        </row>
        <row r="66">
          <cell r="I66" t="str">
            <v>Brocha 4</v>
          </cell>
        </row>
        <row r="67">
          <cell r="I67" t="str">
            <v>btAD</v>
          </cell>
        </row>
        <row r="68">
          <cell r="I68" t="str">
            <v>btAi</v>
          </cell>
        </row>
        <row r="69">
          <cell r="I69" t="str">
            <v>Cable #16 AWG FPLR</v>
          </cell>
        </row>
        <row r="70">
          <cell r="I70" t="str">
            <v>Cable #16 para sistema de incendios</v>
          </cell>
        </row>
        <row r="72">
          <cell r="I72" t="str">
            <v>Cable 12 AWG THHN (L,N, T, R)</v>
          </cell>
        </row>
        <row r="73">
          <cell r="I73" t="str">
            <v>Cable AWG cobre #6</v>
          </cell>
        </row>
        <row r="74">
          <cell r="I74" t="str">
            <v>Cable telefònico 4 pares</v>
          </cell>
        </row>
        <row r="75">
          <cell r="I75" t="str">
            <v>Cable Telefonico para intemperie 10 pares 24 AWG</v>
          </cell>
        </row>
        <row r="76">
          <cell r="I76" t="str">
            <v>Cable TGP No.3x12 AWG</v>
          </cell>
        </row>
        <row r="77">
          <cell r="I77" t="str">
            <v>Cable THHN #12 azul</v>
          </cell>
        </row>
        <row r="78">
          <cell r="I78" t="str">
            <v>Cable THHN #12 blanco</v>
          </cell>
        </row>
        <row r="79">
          <cell r="I79" t="str">
            <v>Cable THHN #12 negro</v>
          </cell>
        </row>
        <row r="80">
          <cell r="I80" t="str">
            <v>Cable THHN #12 rojo</v>
          </cell>
        </row>
        <row r="81">
          <cell r="I81" t="str">
            <v>Cable THHN #12 verde</v>
          </cell>
        </row>
        <row r="82">
          <cell r="I82" t="str">
            <v>Cable THHN cobre calibre 1/0</v>
          </cell>
        </row>
        <row r="83">
          <cell r="I83" t="str">
            <v>Cable para timbre 2x22</v>
          </cell>
        </row>
        <row r="84">
          <cell r="I84" t="str">
            <v>Cable UTP Cat 6 4 par</v>
          </cell>
        </row>
        <row r="85">
          <cell r="I85" t="str">
            <v>Cable UTP CAT 6e</v>
          </cell>
        </row>
        <row r="86">
          <cell r="I86" t="str">
            <v>Caja americana octogonal pesada UL 1/2"-3/4"</v>
          </cell>
        </row>
        <row r="87">
          <cell r="I87" t="str">
            <v>Caja de registro prefabricada de 31x31</v>
          </cell>
        </row>
        <row r="88">
          <cell r="I88" t="str">
            <v>Caja para intemperie rectangular UL 3H 1/2"</v>
          </cell>
        </row>
        <row r="89">
          <cell r="I89" t="str">
            <v>Caja rectangular 1/2" p/ intemperie B-5</v>
          </cell>
        </row>
        <row r="90">
          <cell r="I90" t="str">
            <v>Cajas de registro para varillas cooper well</v>
          </cell>
        </row>
        <row r="91">
          <cell r="I91" t="str">
            <v>Cajas de registros para llaves de paso</v>
          </cell>
        </row>
        <row r="92">
          <cell r="I92" t="str">
            <v>Canal 1 A VF X-12-2 NA 640</v>
          </cell>
        </row>
        <row r="93">
          <cell r="I93" t="str">
            <v>Canal 12.7x12.7x1.14mm na 640</v>
          </cell>
        </row>
        <row r="94">
          <cell r="I94" t="str">
            <v>Canasta 100mmx50mm</v>
          </cell>
        </row>
        <row r="95">
          <cell r="I95" t="str">
            <v>Candado</v>
          </cell>
        </row>
        <row r="96">
          <cell r="I96" t="str">
            <v>Canoa esmaltada #26 20 cm altura; 15 cm profundidad</v>
          </cell>
        </row>
        <row r="97">
          <cell r="I97" t="str">
            <v>Cemento saco de 50 kg</v>
          </cell>
        </row>
        <row r="98">
          <cell r="I98" t="str">
            <v>Cenicero</v>
          </cell>
        </row>
        <row r="99">
          <cell r="I99" t="str">
            <v>Cerradura Manija recta yale s/llave</v>
          </cell>
        </row>
        <row r="100">
          <cell r="I100" t="str">
            <v>Cinta de precaución</v>
          </cell>
        </row>
        <row r="101">
          <cell r="I101" t="str">
            <v>Cinta junta de papel 2"x250'</v>
          </cell>
        </row>
        <row r="102">
          <cell r="I102" t="str">
            <v>clavo acero bar  50mm (2) 2.7mm</v>
          </cell>
        </row>
        <row r="103">
          <cell r="I103" t="str">
            <v>clavo c/cabeza  50mm 2"</v>
          </cell>
        </row>
        <row r="104">
          <cell r="I104" t="str">
            <v>clavo s/cabeza  50mm (2")</v>
          </cell>
        </row>
        <row r="105">
          <cell r="I105" t="str">
            <v>clavo tiros café</v>
          </cell>
        </row>
        <row r="106">
          <cell r="I106" t="str">
            <v>Clavos de 3/4 acero explosivo</v>
          </cell>
        </row>
        <row r="107">
          <cell r="I107" t="str">
            <v>Codo 45° sanitaria DWV P.G. Campana cementada 75 mm 3"</v>
          </cell>
        </row>
        <row r="108">
          <cell r="I108" t="str">
            <v>Codo 45° SCH 40 Campana cementada 12 mm 1/2"</v>
          </cell>
        </row>
        <row r="109">
          <cell r="I109" t="str">
            <v>Codo 90° sanitaria DWV P.G. Campana cementada 100 mm 4"</v>
          </cell>
        </row>
        <row r="110">
          <cell r="I110" t="str">
            <v>Codo 90° sanitaria DWV P.G. Campana cementada 50 mm 2"</v>
          </cell>
        </row>
        <row r="111">
          <cell r="I111" t="str">
            <v>Codo 90° sanitaria DWV P.G. Campana cementada 75 mm 3"</v>
          </cell>
        </row>
        <row r="112">
          <cell r="I112" t="str">
            <v>Codo 90° SCH 40 Campana cementada 12 mm 1/2"</v>
          </cell>
        </row>
        <row r="113">
          <cell r="I113" t="str">
            <v>Columna tipo A 3,15 m</v>
          </cell>
        </row>
        <row r="114">
          <cell r="I114" t="str">
            <v>Columna tipo C 3,15 m</v>
          </cell>
        </row>
        <row r="115">
          <cell r="I115" t="str">
            <v>Columna tipo C 3,29 m</v>
          </cell>
        </row>
        <row r="116">
          <cell r="I116" t="str">
            <v>Columna tipo C 3,42 m</v>
          </cell>
        </row>
        <row r="117">
          <cell r="I117" t="str">
            <v>Columna tipo C 3,52 m</v>
          </cell>
        </row>
        <row r="118">
          <cell r="I118" t="str">
            <v>Columna tipo C 3,57 m</v>
          </cell>
        </row>
        <row r="119">
          <cell r="I119" t="str">
            <v>Columna tipo C 3,71 m</v>
          </cell>
        </row>
        <row r="120">
          <cell r="I120" t="str">
            <v>Columna tipo C 3,78 m</v>
          </cell>
        </row>
        <row r="121">
          <cell r="I121" t="str">
            <v>Columna tipo C 3,99 m</v>
          </cell>
        </row>
        <row r="122">
          <cell r="I122" t="str">
            <v>Columna tipo C 4,2 m</v>
          </cell>
        </row>
        <row r="123">
          <cell r="I123" t="str">
            <v>Columna tipo CA 3,15 m</v>
          </cell>
        </row>
        <row r="124">
          <cell r="I124" t="str">
            <v>Columna tipo CA 3,52m</v>
          </cell>
        </row>
        <row r="125">
          <cell r="I125" t="str">
            <v>Columna tipo CA 3,57 m</v>
          </cell>
        </row>
        <row r="126">
          <cell r="I126" t="str">
            <v>Columna tipo CA 3,78 m</v>
          </cell>
        </row>
        <row r="127">
          <cell r="I127" t="str">
            <v>Columna tipo CT 3,52 m</v>
          </cell>
        </row>
        <row r="128">
          <cell r="I128" t="str">
            <v>Columna tipo CT 3,71 m</v>
          </cell>
        </row>
        <row r="129">
          <cell r="I129" t="str">
            <v>Columna tipo CT 3,78 m</v>
          </cell>
        </row>
        <row r="130">
          <cell r="I130" t="str">
            <v>Columna tipo CT 3,99 m</v>
          </cell>
        </row>
        <row r="131">
          <cell r="I131" t="str">
            <v>Columna tipo E 3,29 m</v>
          </cell>
        </row>
        <row r="132">
          <cell r="I132" t="str">
            <v>Columna tipo E 3,52 m</v>
          </cell>
        </row>
        <row r="133">
          <cell r="I133" t="str">
            <v>Columna tipo E 3,57 m</v>
          </cell>
        </row>
        <row r="134">
          <cell r="I134" t="str">
            <v>Columna tipo E 3,71 m</v>
          </cell>
        </row>
        <row r="135">
          <cell r="I135" t="str">
            <v>Columna tipo E 3,99 m</v>
          </cell>
        </row>
        <row r="136">
          <cell r="I136" t="str">
            <v>Columna tipo E 4,2 m</v>
          </cell>
        </row>
        <row r="137">
          <cell r="I137" t="str">
            <v>Columna tipo EA 3,52 m</v>
          </cell>
        </row>
        <row r="138">
          <cell r="I138" t="str">
            <v>Columna tipo EA 3,57 m</v>
          </cell>
        </row>
        <row r="139">
          <cell r="I139" t="str">
            <v>Columna tipo EA 3,71 m</v>
          </cell>
        </row>
        <row r="140">
          <cell r="I140" t="str">
            <v>Columna tipo EA 3,99 m</v>
          </cell>
        </row>
        <row r="141">
          <cell r="I141" t="str">
            <v>Columna tipo EA 4,2 m</v>
          </cell>
        </row>
        <row r="142">
          <cell r="I142" t="str">
            <v>Columna tipo ET 3,52 m</v>
          </cell>
        </row>
        <row r="143">
          <cell r="I143" t="str">
            <v>Columna tipo ET 3,71 m</v>
          </cell>
        </row>
        <row r="144">
          <cell r="I144" t="str">
            <v>Columna tipo F 3,57 m</v>
          </cell>
        </row>
        <row r="145">
          <cell r="I145" t="str">
            <v>Conduit EMT UL 25 mm</v>
          </cell>
        </row>
        <row r="146">
          <cell r="I146" t="str">
            <v>Tubo conduit PVC SCH40 38 mm</v>
          </cell>
        </row>
        <row r="147">
          <cell r="I147" t="str">
            <v>Conduleta botaguas  19 mm EMT UL</v>
          </cell>
        </row>
        <row r="148">
          <cell r="I148" t="str">
            <v>Conduleta botaguas  50 mm EMT UL</v>
          </cell>
        </row>
        <row r="149">
          <cell r="I149" t="str">
            <v>Conduleta botaguas 25 mm</v>
          </cell>
        </row>
        <row r="150">
          <cell r="I150" t="str">
            <v>Conector de resorte 3M 22-12 awg</v>
          </cell>
        </row>
        <row r="151">
          <cell r="I151" t="str">
            <v>Conector EMT Sello UL USA presión 12 mm 1/2"</v>
          </cell>
        </row>
        <row r="152">
          <cell r="I152" t="str">
            <v xml:space="preserve">Conector hembra conduit UL SCH 40 12 mm 1/2" </v>
          </cell>
        </row>
        <row r="153">
          <cell r="I153" t="str">
            <v>Conectores de presión 19 mm EMT UL</v>
          </cell>
        </row>
        <row r="154">
          <cell r="I154" t="str">
            <v>Conectores de presión EMT UL</v>
          </cell>
        </row>
        <row r="155">
          <cell r="I155" t="str">
            <v>Conectores de presión EMT UL 25 mm</v>
          </cell>
        </row>
        <row r="156">
          <cell r="I156" t="str">
            <v>Cuerda p/ albañil</v>
          </cell>
        </row>
        <row r="157">
          <cell r="I157" t="str">
            <v>Cumbrera esmaltada 18"x1,83m #26 blanca</v>
          </cell>
        </row>
        <row r="158">
          <cell r="I158" t="str">
            <v>Curva  de 90° conduit UL doble campana cementada 12 mm 1/2"</v>
          </cell>
        </row>
        <row r="159">
          <cell r="I159" t="str">
            <v>Diluyente Odorless Esmaltes</v>
          </cell>
        </row>
        <row r="160">
          <cell r="I160" t="str">
            <v>Disco corte acero 9"</v>
          </cell>
        </row>
        <row r="161">
          <cell r="I161" t="str">
            <v>Dispensador papel higiénico</v>
          </cell>
        </row>
        <row r="162">
          <cell r="I162" t="str">
            <v>Dispensador toallas papel blanco</v>
          </cell>
        </row>
        <row r="163">
          <cell r="I163" t="str">
            <v>Ducto para dos medidores (10075ET2 CH)</v>
          </cell>
        </row>
        <row r="164">
          <cell r="I164" t="str">
            <v>Electrovalvula</v>
          </cell>
        </row>
        <row r="165">
          <cell r="I165" t="str">
            <v>Espejo 75cmx120cm</v>
          </cell>
        </row>
        <row r="166">
          <cell r="I166" t="str">
            <v xml:space="preserve">Estación manual de incendio </v>
          </cell>
        </row>
        <row r="167">
          <cell r="I167" t="str">
            <v>Extintor ABC de 4.5kg con Gabinete</v>
          </cell>
        </row>
        <row r="168">
          <cell r="I168" t="str">
            <v>Extintor tipo K con Gabinete</v>
          </cell>
        </row>
        <row r="169">
          <cell r="I169" t="str">
            <v>Fast Dry Esmalte Fergurson</v>
          </cell>
        </row>
        <row r="170">
          <cell r="I170" t="str">
            <v>Fleje gris (2m)</v>
          </cell>
        </row>
        <row r="171">
          <cell r="I171" t="str">
            <v>Fondo Falso</v>
          </cell>
        </row>
        <row r="172">
          <cell r="I172" t="str">
            <v>Formaleta 1"x12"</v>
          </cell>
        </row>
        <row r="173">
          <cell r="I173" t="str">
            <v>Formaleta 1x12</v>
          </cell>
        </row>
        <row r="174">
          <cell r="I174" t="str">
            <v>Fragura bolsa de dos kilos</v>
          </cell>
        </row>
        <row r="175">
          <cell r="I175" t="str">
            <v>Gabinete de pared 11U</v>
          </cell>
        </row>
        <row r="176">
          <cell r="I176" t="str">
            <v>Gaza EMT 2H americanca 1/2" 12 mm UL</v>
          </cell>
        </row>
        <row r="177">
          <cell r="I177" t="str">
            <v>Gazas para varilla cooper well</v>
          </cell>
        </row>
        <row r="178">
          <cell r="I178" t="str">
            <v>Gijos</v>
          </cell>
        </row>
        <row r="179">
          <cell r="I179" t="str">
            <v>Inodoro Ecoline blanco</v>
          </cell>
        </row>
        <row r="180">
          <cell r="I180" t="str">
            <v>Inodoro infantil Ecoline de American Standard</v>
          </cell>
        </row>
        <row r="181">
          <cell r="I181" t="str">
            <v>Inodoro para discapacitados</v>
          </cell>
        </row>
        <row r="182">
          <cell r="I182" t="str">
            <v>Kit instalacion para inodoro de 4"</v>
          </cell>
        </row>
        <row r="183">
          <cell r="I183" t="str">
            <v>Ladrillos de barro</v>
          </cell>
        </row>
        <row r="184">
          <cell r="I184" t="str">
            <v>Lamina de cielo suspendido 0,61 x 0,61</v>
          </cell>
        </row>
        <row r="185">
          <cell r="I185" t="str">
            <v>Lámina gypsum blanca 1/2"x4'x8'</v>
          </cell>
        </row>
        <row r="186">
          <cell r="I186" t="str">
            <v>Lamina hierro liso galvanizado #20 0,91x1,83</v>
          </cell>
        </row>
        <row r="187">
          <cell r="I187" t="str">
            <v>Lámina hierro pulido 1,22x2,44 #18</v>
          </cell>
        </row>
        <row r="188">
          <cell r="I188" t="str">
            <v>Lámina metalock esmaltada blanca</v>
          </cell>
        </row>
        <row r="189">
          <cell r="I189" t="str">
            <v>Lámina ondulada esmaltado blanco 1,83x1,05m #26</v>
          </cell>
        </row>
        <row r="190">
          <cell r="I190" t="str">
            <v>Lámina ondulada esmaltado blanco 2,44x1,05m #26</v>
          </cell>
        </row>
        <row r="191">
          <cell r="I191" t="str">
            <v>Lámina ondulada esmaltado blanco 3,66x1,05m #26</v>
          </cell>
        </row>
        <row r="192">
          <cell r="I192" t="str">
            <v>Làmina punta de diamante 3 mm</v>
          </cell>
        </row>
        <row r="193">
          <cell r="I193" t="str">
            <v>Lampara de emergencia E-40</v>
          </cell>
        </row>
        <row r="194">
          <cell r="I194" t="str">
            <v>Lampara fluorescente Modelo: 705-E0-48-2, Sylvania o similar, 120v,  64w, balastro electronico.</v>
          </cell>
        </row>
        <row r="195">
          <cell r="I195" t="str">
            <v>Làmpara tortuga modélo P36703-36</v>
          </cell>
        </row>
        <row r="196">
          <cell r="I196" t="str">
            <v>Lastre</v>
          </cell>
        </row>
        <row r="197">
          <cell r="I197" t="str">
            <v>Lavatorio Aqualyne blanco 1H Empotrar</v>
          </cell>
        </row>
        <row r="198">
          <cell r="I198" t="str">
            <v>Llava Ecoline para lavatorio Aqualyne</v>
          </cell>
        </row>
        <row r="199">
          <cell r="I199" t="str">
            <v>Llave control 1/2 a 3/8 escuadra caja amarilla</v>
          </cell>
        </row>
        <row r="200">
          <cell r="I200" t="str">
            <v>Llave de chorro cromada de 1/2" con rosca</v>
          </cell>
        </row>
        <row r="201">
          <cell r="I201" t="str">
            <v>Llave de control 1/2"x1/2"</v>
          </cell>
        </row>
        <row r="202">
          <cell r="I202" t="str">
            <v>Llave de paso</v>
          </cell>
        </row>
        <row r="203">
          <cell r="I203" t="str">
            <v>Luminaria Sylvania 408-EO-48-2 (2x4) con difusor cuadriculado blanco</v>
          </cell>
        </row>
        <row r="204">
          <cell r="I204" t="str">
            <v>Luminaria UL 1415 2b DIF#1</v>
          </cell>
        </row>
        <row r="205">
          <cell r="I205" t="str">
            <v>Malla ciclón galvanizada #10 2 m (50x50mm)</v>
          </cell>
        </row>
        <row r="206">
          <cell r="I206" t="str">
            <v>Malla electrosoldada 2,35x6 metros(4,88 mm)</v>
          </cell>
        </row>
        <row r="207">
          <cell r="I207" t="str">
            <v>Malla jordomex 1,22x2,44x1,5mm (#3)</v>
          </cell>
        </row>
        <row r="208">
          <cell r="I208" t="str">
            <v>Malla jordomex 1.22x2.44x3mm</v>
          </cell>
        </row>
        <row r="209">
          <cell r="I209" t="str">
            <v>Malla jordomex 1.22x2.44x3mm (#1)</v>
          </cell>
        </row>
        <row r="210">
          <cell r="I210" t="str">
            <v>Masilla cubeta 58 lbs E.F. T/Morada</v>
          </cell>
        </row>
        <row r="211">
          <cell r="I211" t="str">
            <v>Mecha</v>
          </cell>
        </row>
        <row r="212">
          <cell r="I212" t="str">
            <v>Mueble con fregadero y cachera</v>
          </cell>
        </row>
        <row r="213">
          <cell r="I213" t="str">
            <v>Mueble de recepcion con puerta laterals</v>
          </cell>
        </row>
        <row r="214">
          <cell r="I214" t="str">
            <v>Extractor</v>
          </cell>
        </row>
        <row r="215">
          <cell r="I215" t="str">
            <v>Nipple 1/2"x3" galvanizado</v>
          </cell>
        </row>
        <row r="216">
          <cell r="I216" t="str">
            <v>Ocre</v>
          </cell>
        </row>
        <row r="217">
          <cell r="I217" t="str">
            <v>Organizador de Cables Horizontal</v>
          </cell>
        </row>
        <row r="218">
          <cell r="I218" t="str">
            <v>Orinal con llave push</v>
          </cell>
        </row>
        <row r="219">
          <cell r="I219" t="str">
            <v>Paleta inc 5mm 96"</v>
          </cell>
        </row>
        <row r="220">
          <cell r="I220" t="str">
            <v xml:space="preserve">Panel de incendio Notifier de Honeywell  </v>
          </cell>
        </row>
        <row r="221">
          <cell r="I221" t="str">
            <v>Patch Cords</v>
          </cell>
        </row>
        <row r="222">
          <cell r="I222" t="str">
            <v>Patch Panel 24 Puertos</v>
          </cell>
        </row>
        <row r="223">
          <cell r="I223" t="str">
            <v>Pegamento PVC</v>
          </cell>
        </row>
        <row r="224">
          <cell r="I224" t="str">
            <v>Perfil #1 09 MF</v>
          </cell>
        </row>
        <row r="225">
          <cell r="I225" t="str">
            <v>Perfil #1 L 13 MF</v>
          </cell>
        </row>
        <row r="226">
          <cell r="I226" t="str">
            <v>Perfil HG para portón arrollable (6m)</v>
          </cell>
        </row>
        <row r="227">
          <cell r="I227" t="str">
            <v>Perling  70X50X1.50 mm RT0-16</v>
          </cell>
        </row>
        <row r="228">
          <cell r="I228" t="str">
            <v>Perling 150X50X1.50 mm RT3-16</v>
          </cell>
        </row>
        <row r="229">
          <cell r="I229" t="str">
            <v>Perling 150X50X2.38 mm RT3-13</v>
          </cell>
        </row>
        <row r="230">
          <cell r="I230" t="str">
            <v>Perling 200X50X1.50 mm RT4-16</v>
          </cell>
        </row>
        <row r="231">
          <cell r="I231" t="str">
            <v>Perling 200X50X2.38 mm RT4-13</v>
          </cell>
        </row>
        <row r="232">
          <cell r="I232" t="str">
            <v>Perling 200X50X3.17 mm RT4-11</v>
          </cell>
        </row>
        <row r="233">
          <cell r="I233" t="str">
            <v>Piedra cuarta</v>
          </cell>
        </row>
        <row r="234">
          <cell r="I234" t="str">
            <v>Piedra para drenaje</v>
          </cell>
        </row>
        <row r="235">
          <cell r="I235" t="str">
            <v>Pintura acrílica similar a Goltex</v>
          </cell>
        </row>
        <row r="236">
          <cell r="I236" t="str">
            <v>Pizarras Panoramicas 1,22x4,88</v>
          </cell>
        </row>
        <row r="237">
          <cell r="I237" t="str">
            <v>Placa 100x100x3,17mm</v>
          </cell>
        </row>
        <row r="238">
          <cell r="I238" t="str">
            <v>Placa 300x300x3,17mm</v>
          </cell>
        </row>
        <row r="239">
          <cell r="I239" t="str">
            <v>Placa acero inoxidable para toma doble</v>
          </cell>
        </row>
        <row r="240">
          <cell r="I240" t="str">
            <v>Placa acero inoxidable para toma sencillo</v>
          </cell>
        </row>
        <row r="241">
          <cell r="I241" t="str">
            <v>Placa telefónica</v>
          </cell>
        </row>
        <row r="242">
          <cell r="I242" t="str">
            <v>Platina 38x3 mm (1.1/2"X1/8")</v>
          </cell>
        </row>
        <row r="243">
          <cell r="I243" t="str">
            <v>Platina 38x5 mm (1.1/2"X3/16")</v>
          </cell>
        </row>
        <row r="244">
          <cell r="I244" t="str">
            <v>Platina 50x3.17 mm (2"X1/8")</v>
          </cell>
        </row>
        <row r="245">
          <cell r="I245" t="str">
            <v>Polvo Piedra</v>
          </cell>
        </row>
        <row r="246">
          <cell r="I246" t="str">
            <v>Precinta fibrolit 20cmx2.44mx11mm</v>
          </cell>
        </row>
        <row r="247">
          <cell r="I247" t="str">
            <v>Puerta de madera con marco</v>
          </cell>
        </row>
        <row r="248">
          <cell r="I248" t="str">
            <v>Puertas de vidrios (P6)</v>
          </cell>
        </row>
        <row r="249">
          <cell r="I249" t="str">
            <v>Quarry Tile 20cmx20cm</v>
          </cell>
        </row>
        <row r="250">
          <cell r="I250" t="str">
            <v>Reducción sanitaria P.G. 75mmx38mm</v>
          </cell>
        </row>
        <row r="251">
          <cell r="I251" t="str">
            <v>Regla 1" x 2" p/ vara semiduro</v>
          </cell>
        </row>
        <row r="252">
          <cell r="I252" t="str">
            <v>Regla 1" x 3" p/vara semiduro</v>
          </cell>
        </row>
        <row r="253">
          <cell r="I253" t="str">
            <v>Remache pop alumnio 3/16"x1/2"</v>
          </cell>
        </row>
        <row r="254">
          <cell r="I254" t="str">
            <v>Repello grueso (saco 40 kg)</v>
          </cell>
        </row>
        <row r="255">
          <cell r="I255" t="str">
            <v>Rotulo de Salida Modelo: E-50R-AC/DC</v>
          </cell>
        </row>
        <row r="256">
          <cell r="I256" t="str">
            <v>Saco concremix (40 kg)</v>
          </cell>
        </row>
        <row r="257">
          <cell r="I257" t="str">
            <v>Salida de Datos, Placa + Jack</v>
          </cell>
        </row>
        <row r="258">
          <cell r="I258" t="str">
            <v>Salida de Voz, Placa + Jack</v>
          </cell>
        </row>
        <row r="259">
          <cell r="I259" t="str">
            <v>Sellador para concreto</v>
          </cell>
        </row>
        <row r="260">
          <cell r="I260" t="str">
            <v>Sensor de gas</v>
          </cell>
        </row>
        <row r="261">
          <cell r="I261" t="str">
            <v>Sensor de humo</v>
          </cell>
        </row>
        <row r="262">
          <cell r="I262" t="str">
            <v>Separador para cerámica</v>
          </cell>
        </row>
        <row r="263">
          <cell r="I263" t="str">
            <v>Silicon pref multi EH trans</v>
          </cell>
        </row>
        <row r="264">
          <cell r="I264" t="str">
            <v>Sistema de cloración</v>
          </cell>
        </row>
        <row r="265">
          <cell r="I265" t="str">
            <v>Sistema de tratamiento de aguas, tanque séptico, y FAFA</v>
          </cell>
        </row>
        <row r="266">
          <cell r="I266" t="str">
            <v xml:space="preserve">Soldadura 6013-3/32 </v>
          </cell>
        </row>
        <row r="267">
          <cell r="I267" t="str">
            <v>Soldadura 6013-3/32"</v>
          </cell>
        </row>
        <row r="268">
          <cell r="I268" t="str">
            <v>Soldadura exotérmica</v>
          </cell>
        </row>
        <row r="269">
          <cell r="I269" t="str">
            <v>Stud 3x10 en TG.</v>
          </cell>
        </row>
        <row r="270">
          <cell r="I270" t="str">
            <v>Suministrador de jabón</v>
          </cell>
        </row>
        <row r="271">
          <cell r="I271" t="str">
            <v>Supresor de picos para computo con regleta</v>
          </cell>
        </row>
        <row r="272">
          <cell r="I272" t="str">
            <v xml:space="preserve">Switch Marca: HP Modelo: V1910-24G 24 Giga +4 SFP L3 Lite </v>
          </cell>
        </row>
        <row r="273">
          <cell r="I273" t="str">
            <v>Centro cargas CH18B100CPF</v>
          </cell>
        </row>
        <row r="274">
          <cell r="I274" t="str">
            <v>Tablero 24 polos barras 225amp 120/240v IP2X150 CH24B 200EPF</v>
          </cell>
        </row>
        <row r="275">
          <cell r="I275" t="str">
            <v>Tablero Telefonico 10x20 con regleta TC1184R</v>
          </cell>
        </row>
        <row r="276">
          <cell r="I276" t="str">
            <v>Tapa octogonal pesada</v>
          </cell>
        </row>
        <row r="277">
          <cell r="I277" t="str">
            <v>Tape 3M Super 33 negro 20 m</v>
          </cell>
        </row>
        <row r="278">
          <cell r="I278" t="str">
            <v>TE SCH 40 Campana cementada 12 mm 1/2"</v>
          </cell>
        </row>
        <row r="279">
          <cell r="I279" t="str">
            <v>Tee principal para cielo suspendido 12´ (3.66 m)</v>
          </cell>
        </row>
        <row r="280">
          <cell r="I280" t="str">
            <v>Tee secundaria para cielo suspendido 2' (0.61 m)</v>
          </cell>
        </row>
        <row r="281">
          <cell r="I281" t="str">
            <v>Tee secundaria para cielo suspendido 4´ (1.22 m)</v>
          </cell>
        </row>
        <row r="282">
          <cell r="I282" t="str">
            <v>Teflón 1/2 x 12m</v>
          </cell>
        </row>
        <row r="283">
          <cell r="I283" t="str">
            <v>Temporizador marca Intermátic</v>
          </cell>
        </row>
        <row r="284">
          <cell r="I284" t="str">
            <v>Terminal aislado 3M de horquilla 12-10 awg</v>
          </cell>
        </row>
        <row r="285">
          <cell r="I285" t="str">
            <v>Terrazo (30x30)</v>
          </cell>
        </row>
        <row r="286">
          <cell r="I286" t="str">
            <v>Thinner Fino</v>
          </cell>
        </row>
        <row r="287">
          <cell r="I287" t="str">
            <v>Timbre (Campana marca Eagle 611) de 6"</v>
          </cell>
        </row>
        <row r="288">
          <cell r="I288" t="str">
            <v>Toma corriente industrial CR20-1 110V 20 Amp 3L</v>
          </cell>
        </row>
        <row r="289">
          <cell r="I289" t="str">
            <v>Toma para voz y datos</v>
          </cell>
        </row>
        <row r="290">
          <cell r="I290" t="str">
            <v>Tope para puerta</v>
          </cell>
        </row>
        <row r="291">
          <cell r="I291" t="str">
            <v>Tornillo anclaje 3/8"x5"</v>
          </cell>
        </row>
        <row r="292">
          <cell r="I292" t="str">
            <v>Tornillo PAN PHI 8X3/4 NA</v>
          </cell>
        </row>
        <row r="293">
          <cell r="I293" t="str">
            <v>Tornillo para gypsum punta fina 6x1-1/4"</v>
          </cell>
        </row>
        <row r="294">
          <cell r="I294" t="str">
            <v>Tornillo para techo punta broca 50 mm</v>
          </cell>
        </row>
        <row r="295">
          <cell r="I295" t="str">
            <v>Tornillo punta broca 6x7/16" (Frijolillo)</v>
          </cell>
        </row>
        <row r="296">
          <cell r="I296" t="str">
            <v>Tornillo solera</v>
          </cell>
        </row>
        <row r="297">
          <cell r="I297" t="str">
            <v>Trampa sanitaria PG con registro</v>
          </cell>
        </row>
        <row r="298">
          <cell r="I298" t="str">
            <v>T-Track 3"x10 en TG.</v>
          </cell>
        </row>
        <row r="299">
          <cell r="I299" t="str">
            <v>Tubería PVC cementada SCH 40 12 mm 1/2"</v>
          </cell>
        </row>
        <row r="300">
          <cell r="I300" t="str">
            <v>Tubería PVC cementada SDR 26 75 mm 3"</v>
          </cell>
        </row>
        <row r="301">
          <cell r="I301" t="str">
            <v>Tubería PVC cementada SDR 32,5 75 mm 3"</v>
          </cell>
        </row>
        <row r="302">
          <cell r="I302" t="str">
            <v>Tubería PVC cementada SDR 41 100 mm 4"</v>
          </cell>
        </row>
        <row r="303">
          <cell r="I303" t="str">
            <v>Tubería PVC cementada SDR 41 50 mm 2"</v>
          </cell>
        </row>
        <row r="304">
          <cell r="I304" t="str">
            <v>Tubería PVC con empaque SDR 32,5 100 mm 4"</v>
          </cell>
        </row>
        <row r="305">
          <cell r="I305" t="str">
            <v>Tubo 12 mm EMT UL</v>
          </cell>
        </row>
        <row r="306">
          <cell r="I306" t="str">
            <v>Tubo 19 mm EMT UL</v>
          </cell>
        </row>
        <row r="307">
          <cell r="I307" t="str">
            <v>Tubo 2 A VF X-11-1 NA 640</v>
          </cell>
        </row>
        <row r="308">
          <cell r="I308" t="str">
            <v>Tubo 38 mm EMT UL</v>
          </cell>
        </row>
        <row r="309">
          <cell r="I309" t="str">
            <v>Tubo 75mmx1.80MM</v>
          </cell>
        </row>
        <row r="310">
          <cell r="I310" t="str">
            <v>Tubo abasto 3/8 a 1/2 mosaico</v>
          </cell>
        </row>
        <row r="311">
          <cell r="I311" t="str">
            <v>Tubo conduit 50 mm UL</v>
          </cell>
        </row>
        <row r="312">
          <cell r="I312" t="str">
            <v>Tubo conduit UL SCH 40 12 mm 1/2"</v>
          </cell>
        </row>
        <row r="313">
          <cell r="I313" t="str">
            <v>Tubo de abasto 1/2"</v>
          </cell>
        </row>
        <row r="314">
          <cell r="I314" t="str">
            <v>Tubo drenaflex 100mm</v>
          </cell>
        </row>
        <row r="315">
          <cell r="I315" t="str">
            <v>Tubo EMT 19 mm UL</v>
          </cell>
        </row>
        <row r="316">
          <cell r="I316" t="str">
            <v>Tubo EMT Sello UL USA 12 mm 1/2"</v>
          </cell>
        </row>
        <row r="317">
          <cell r="I317" t="str">
            <v>Tubo EMT UL 50 mm</v>
          </cell>
        </row>
        <row r="318">
          <cell r="I318" t="str">
            <v>Tubo estructural 92x92x1,5 mm</v>
          </cell>
        </row>
        <row r="319">
          <cell r="I319" t="str">
            <v>Tubo estructural 92x92x2,38 mm</v>
          </cell>
        </row>
        <row r="320">
          <cell r="I320" t="str">
            <v>Tubo flourescentef32T8 6500k</v>
          </cell>
        </row>
        <row r="321">
          <cell r="I321" t="str">
            <v>Tubo galvanizado malla 38mm x ced 20 (1.1/2")</v>
          </cell>
        </row>
        <row r="322">
          <cell r="I322" t="str">
            <v>Tubo HG 42 mm x 4 mm</v>
          </cell>
        </row>
        <row r="323">
          <cell r="I323" t="str">
            <v>Tubo negro estructural cuadrado 38x38 x1,8 mm</v>
          </cell>
        </row>
        <row r="324">
          <cell r="I324" t="str">
            <v>Tubo negro estructural cuadrado 50x50 x1,5 mm</v>
          </cell>
        </row>
        <row r="325">
          <cell r="I325" t="str">
            <v>Tubo negro estructural cuadrado 50x50 x1,8 mm</v>
          </cell>
        </row>
        <row r="326">
          <cell r="I326" t="str">
            <v>Tubo negro estructural cuadrado 92x92 x1,5mm</v>
          </cell>
        </row>
        <row r="327">
          <cell r="I327" t="str">
            <v>Tubo negro estructural rectangular 100x150 x1,8 mm</v>
          </cell>
        </row>
        <row r="328">
          <cell r="I328" t="str">
            <v>Tuerca hexagonal 1/2"</v>
          </cell>
        </row>
        <row r="329">
          <cell r="I329" t="str">
            <v>Union conduit UL SCH 40 12 mm 1/2"</v>
          </cell>
        </row>
        <row r="330">
          <cell r="I330" t="str">
            <v>Union drenafort</v>
          </cell>
        </row>
        <row r="331">
          <cell r="I331" t="str">
            <v>Unión SCH 40 toda rosca 12 mm 1/2"</v>
          </cell>
        </row>
        <row r="332">
          <cell r="I332" t="str">
            <v>Vagoneta</v>
          </cell>
        </row>
        <row r="333">
          <cell r="I333" t="str">
            <v>Válvula de bola SCH 40 12 mm 1/2"</v>
          </cell>
        </row>
        <row r="334">
          <cell r="I334" t="str">
            <v>Varilla cooper well</v>
          </cell>
        </row>
        <row r="335">
          <cell r="I335" t="str">
            <v>Varilla deformada  g40 #3 3/8"</v>
          </cell>
        </row>
        <row r="336">
          <cell r="I336" t="str">
            <v>Varilla grafilada #2 (5,25mm)</v>
          </cell>
        </row>
        <row r="337">
          <cell r="I337" t="str">
            <v>Varilla lisa  g40 #3 3/8"</v>
          </cell>
        </row>
        <row r="338">
          <cell r="I338" t="str">
            <v>Varilla lisa  g40 #4 1/2"</v>
          </cell>
        </row>
        <row r="339">
          <cell r="I339" t="str">
            <v>Varilla roscada  tipo U #4</v>
          </cell>
        </row>
        <row r="340">
          <cell r="I340" t="str">
            <v>Ventilador</v>
          </cell>
        </row>
        <row r="341">
          <cell r="I341" t="str">
            <v>Vidrio impri nieve inc 4x183x244</v>
          </cell>
        </row>
        <row r="342">
          <cell r="I342" t="str">
            <v>Ye drenafort</v>
          </cell>
        </row>
        <row r="343">
          <cell r="I343" t="str">
            <v>Zacate San Agustin</v>
          </cell>
        </row>
        <row r="345">
          <cell r="I345" t="str">
            <v>Apagador doble 15A color marfil (P&amp;S 690) (P&amp;S 690)</v>
          </cell>
        </row>
        <row r="346">
          <cell r="I346" t="str">
            <v xml:space="preserve">Breaker de 40 A 2P </v>
          </cell>
        </row>
        <row r="347">
          <cell r="I347" t="str">
            <v>Supresor de transientes 80 KVA</v>
          </cell>
        </row>
        <row r="348">
          <cell r="I348" t="str">
            <v>Bastidor de 24 puertos y accesorios</v>
          </cell>
        </row>
        <row r="349">
          <cell r="I349" t="str">
            <v>Làmina durock</v>
          </cell>
        </row>
        <row r="350">
          <cell r="I350" t="str">
            <v>Tanques de gas (100 lbs)</v>
          </cell>
        </row>
        <row r="351">
          <cell r="I351" t="str">
            <v>Tubería flexible para gas</v>
          </cell>
        </row>
        <row r="352">
          <cell r="I352" t="str">
            <v>Acoples para gas</v>
          </cell>
        </row>
        <row r="353">
          <cell r="I353" t="str">
            <v>Lámparas externas doble foco interperie</v>
          </cell>
        </row>
        <row r="354">
          <cell r="I354" t="str">
            <v>Centro de carga CH30L200</v>
          </cell>
        </row>
        <row r="355">
          <cell r="I355" t="str">
            <v>Centro de carga CH20L125</v>
          </cell>
        </row>
        <row r="356">
          <cell r="I356" t="str">
            <v>Breaker 2x150A</v>
          </cell>
        </row>
        <row r="357">
          <cell r="I357" t="str">
            <v>BT 24 CH 24</v>
          </cell>
        </row>
        <row r="358">
          <cell r="I358" t="str">
            <v>Regulador 2da etapa, inteligente</v>
          </cell>
        </row>
        <row r="359">
          <cell r="I359" t="str">
            <v>Mangueras para gas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UMEN"/>
      <sheetName val="1. Subtotal"/>
      <sheetName val="3. Materiales"/>
      <sheetName val="MATERIALES"/>
      <sheetName val="LISTAS"/>
      <sheetName val="2. Costo indirecto"/>
      <sheetName val="Calculadora Pick N Send"/>
      <sheetName val="Calculadora Internacional"/>
      <sheetName val="Lista de Clientes"/>
      <sheetName val="4. Lista de Materiales"/>
      <sheetName val="2.2 Costo indirecto control"/>
      <sheetName val="3.2 Materiales de control"/>
    </sheetNames>
    <sheetDataSet>
      <sheetData sheetId="0"/>
      <sheetData sheetId="1"/>
      <sheetData sheetId="2"/>
      <sheetData sheetId="3">
        <row r="5">
          <cell r="C5" t="str">
            <v>100mm</v>
          </cell>
          <cell r="D5" t="str">
            <v>Tubería PVC SDR-26 4"</v>
          </cell>
        </row>
        <row r="6">
          <cell r="C6" t="str">
            <v>75mm</v>
          </cell>
          <cell r="D6" t="str">
            <v>Tubería PVC SDR-26 3"</v>
          </cell>
        </row>
        <row r="7">
          <cell r="C7" t="str">
            <v>50mm</v>
          </cell>
          <cell r="D7" t="str">
            <v>Tubería PVC SDR-26 2"</v>
          </cell>
        </row>
        <row r="8">
          <cell r="C8" t="str">
            <v>38mm</v>
          </cell>
          <cell r="D8" t="str">
            <v>Tubería PVC SDR-26 1 1/2"</v>
          </cell>
        </row>
        <row r="9">
          <cell r="C9" t="str">
            <v>25mm</v>
          </cell>
          <cell r="D9" t="str">
            <v>Tubería PVC SDR-26 1"</v>
          </cell>
        </row>
        <row r="10">
          <cell r="C10" t="str">
            <v>19mm</v>
          </cell>
          <cell r="D10" t="str">
            <v>Tubería PVC SDR-26 3/4"</v>
          </cell>
        </row>
        <row r="11">
          <cell r="C11" t="str">
            <v>13mm</v>
          </cell>
          <cell r="D11" t="str">
            <v>Tubería PVC SDR-26 1/2"</v>
          </cell>
        </row>
        <row r="12">
          <cell r="C12" t="str">
            <v>100mm</v>
          </cell>
          <cell r="D12" t="str">
            <v>Coupling PVC 4"</v>
          </cell>
        </row>
        <row r="13">
          <cell r="C13" t="str">
            <v>75mm</v>
          </cell>
          <cell r="D13" t="str">
            <v>Coupling PVC 3"</v>
          </cell>
        </row>
        <row r="14">
          <cell r="C14" t="str">
            <v>50mm</v>
          </cell>
          <cell r="D14" t="str">
            <v>Coupling PVC 2"</v>
          </cell>
        </row>
        <row r="15">
          <cell r="C15" t="str">
            <v>38mm</v>
          </cell>
          <cell r="D15" t="str">
            <v>Coupling PVC 1 1/2"</v>
          </cell>
        </row>
        <row r="16">
          <cell r="C16" t="str">
            <v>25mm</v>
          </cell>
          <cell r="D16" t="str">
            <v>Coupling PVC 1"</v>
          </cell>
        </row>
        <row r="17">
          <cell r="C17" t="str">
            <v>19mm</v>
          </cell>
          <cell r="D17" t="str">
            <v>Coupling PVC 3/4"</v>
          </cell>
        </row>
        <row r="18">
          <cell r="C18" t="str">
            <v>13mm</v>
          </cell>
          <cell r="D18" t="str">
            <v>Coupling PVC 1/2"</v>
          </cell>
        </row>
        <row r="19">
          <cell r="C19" t="str">
            <v>100mm</v>
          </cell>
          <cell r="D19" t="str">
            <v>Adaptador Macho PVC 4"</v>
          </cell>
        </row>
        <row r="20">
          <cell r="C20" t="str">
            <v>75mm</v>
          </cell>
          <cell r="D20" t="str">
            <v>Adaptador Macho PVC 3"</v>
          </cell>
        </row>
        <row r="21">
          <cell r="C21" t="str">
            <v>50mm</v>
          </cell>
          <cell r="D21" t="str">
            <v>Adaptador Macho PVC 2"</v>
          </cell>
        </row>
        <row r="22">
          <cell r="C22" t="str">
            <v>38mm</v>
          </cell>
          <cell r="D22" t="str">
            <v>Adaptador Macho PVC 1 1/2"</v>
          </cell>
        </row>
        <row r="23">
          <cell r="C23" t="str">
            <v>25mm</v>
          </cell>
          <cell r="D23" t="str">
            <v>Adaptador Macho PVC 1"</v>
          </cell>
        </row>
        <row r="24">
          <cell r="C24" t="str">
            <v>19mm</v>
          </cell>
          <cell r="D24" t="str">
            <v>Adaptador Macho PVC 3/4"</v>
          </cell>
        </row>
        <row r="25">
          <cell r="C25" t="str">
            <v>13mm</v>
          </cell>
          <cell r="D25" t="str">
            <v>Adaptador Macho PVC 1/2"</v>
          </cell>
        </row>
        <row r="33">
          <cell r="C33" t="str">
            <v>100mm</v>
          </cell>
          <cell r="D33" t="str">
            <v>Curva 90 PVC SDR 4"</v>
          </cell>
        </row>
        <row r="34">
          <cell r="C34" t="str">
            <v>75mm</v>
          </cell>
          <cell r="D34" t="str">
            <v>Curva 90 PVC SDR 3"</v>
          </cell>
        </row>
        <row r="35">
          <cell r="C35" t="str">
            <v>50mm</v>
          </cell>
          <cell r="D35" t="str">
            <v>Curva 90 PVC SDR 2"</v>
          </cell>
        </row>
        <row r="36">
          <cell r="C36" t="str">
            <v>38mm</v>
          </cell>
          <cell r="D36" t="str">
            <v>Curva 90 PVC SDR 1 1/2"</v>
          </cell>
        </row>
        <row r="37">
          <cell r="C37" t="str">
            <v>25mm</v>
          </cell>
          <cell r="D37" t="str">
            <v>Curva 90 PVC SDR 1"</v>
          </cell>
        </row>
        <row r="38">
          <cell r="C38" t="str">
            <v>19mm</v>
          </cell>
          <cell r="D38" t="str">
            <v>Curva 90 PVC SDR 3/4"</v>
          </cell>
        </row>
        <row r="39">
          <cell r="C39" t="str">
            <v>13mm</v>
          </cell>
          <cell r="D39" t="str">
            <v>Curva 90 PVC SDR 1/2"</v>
          </cell>
        </row>
        <row r="40">
          <cell r="C40" t="str">
            <v>100mm</v>
          </cell>
          <cell r="D40" t="str">
            <v>Tubería Eléctrica EMT 4"</v>
          </cell>
        </row>
        <row r="41">
          <cell r="C41" t="str">
            <v>75mm</v>
          </cell>
          <cell r="D41" t="str">
            <v>Tubería Eléctrica EMT 3"</v>
          </cell>
        </row>
        <row r="42">
          <cell r="C42" t="str">
            <v>50mm</v>
          </cell>
          <cell r="D42" t="str">
            <v>Tubería Eléctrica EMT 2"</v>
          </cell>
        </row>
        <row r="43">
          <cell r="C43" t="str">
            <v>38mm</v>
          </cell>
          <cell r="D43" t="str">
            <v>Tubería Eléctrica EMT 1 1/2"</v>
          </cell>
        </row>
        <row r="44">
          <cell r="C44" t="str">
            <v>25mm</v>
          </cell>
          <cell r="D44" t="str">
            <v>Tubería Eléctrica EMT 1"</v>
          </cell>
        </row>
        <row r="45">
          <cell r="C45" t="str">
            <v>19mm</v>
          </cell>
          <cell r="D45" t="str">
            <v>Tubería Eléctrica EMT 3/4"</v>
          </cell>
        </row>
        <row r="46">
          <cell r="C46" t="str">
            <v>13mm</v>
          </cell>
          <cell r="D46" t="str">
            <v>Tubería Eléctrica EMT 1/2"</v>
          </cell>
        </row>
        <row r="47">
          <cell r="C47" t="str">
            <v>100mm</v>
          </cell>
          <cell r="D47" t="str">
            <v>Coupling EMT 4"</v>
          </cell>
        </row>
        <row r="48">
          <cell r="C48" t="str">
            <v>75mm</v>
          </cell>
          <cell r="D48" t="str">
            <v>Coupling EMT 3"</v>
          </cell>
        </row>
        <row r="49">
          <cell r="C49" t="str">
            <v>50mm</v>
          </cell>
          <cell r="D49" t="str">
            <v>Coupling EMT 2"</v>
          </cell>
        </row>
        <row r="50">
          <cell r="C50" t="str">
            <v>38mm</v>
          </cell>
          <cell r="D50" t="str">
            <v>Coupling EMT 1 1/2"</v>
          </cell>
        </row>
        <row r="51">
          <cell r="C51" t="str">
            <v>25mm</v>
          </cell>
          <cell r="D51" t="str">
            <v>Coupling EMT 1"</v>
          </cell>
        </row>
        <row r="52">
          <cell r="C52" t="str">
            <v>19mm</v>
          </cell>
          <cell r="D52" t="str">
            <v>Coupling EMT 3/4"</v>
          </cell>
        </row>
        <row r="53">
          <cell r="C53" t="str">
            <v>13mm</v>
          </cell>
          <cell r="D53" t="str">
            <v>Coupling EMT 1/2"</v>
          </cell>
        </row>
        <row r="54">
          <cell r="C54" t="str">
            <v>100mm</v>
          </cell>
          <cell r="D54" t="str">
            <v>Conector EMT 4"</v>
          </cell>
        </row>
        <row r="55">
          <cell r="C55" t="str">
            <v>75mm</v>
          </cell>
          <cell r="D55" t="str">
            <v>Conector EMT 3"</v>
          </cell>
        </row>
        <row r="56">
          <cell r="C56" t="str">
            <v>50mm</v>
          </cell>
          <cell r="D56" t="str">
            <v>Conector EMT 2"</v>
          </cell>
        </row>
        <row r="57">
          <cell r="C57" t="str">
            <v>38mm</v>
          </cell>
          <cell r="D57" t="str">
            <v>Conector EMT 1 1/2"</v>
          </cell>
        </row>
        <row r="58">
          <cell r="C58" t="str">
            <v>25mm</v>
          </cell>
          <cell r="D58" t="str">
            <v>Conector EMT 1"</v>
          </cell>
        </row>
        <row r="59">
          <cell r="C59" t="str">
            <v>19mm</v>
          </cell>
          <cell r="D59" t="str">
            <v>Conector EMT 3/4"</v>
          </cell>
        </row>
        <row r="60">
          <cell r="C60" t="str">
            <v>13mm</v>
          </cell>
          <cell r="D60" t="str">
            <v>Conector EMT 1/2"</v>
          </cell>
        </row>
        <row r="61">
          <cell r="C61" t="str">
            <v>100mm</v>
          </cell>
          <cell r="D61" t="str">
            <v>Curva EMT 4"</v>
          </cell>
        </row>
        <row r="62">
          <cell r="C62" t="str">
            <v>75mm</v>
          </cell>
          <cell r="D62" t="str">
            <v>Curva EMT 3"</v>
          </cell>
        </row>
        <row r="63">
          <cell r="C63" t="str">
            <v>50mm</v>
          </cell>
          <cell r="D63" t="str">
            <v>Curva EMT 2"</v>
          </cell>
        </row>
        <row r="64">
          <cell r="C64" t="str">
            <v>38mm</v>
          </cell>
          <cell r="D64" t="str">
            <v>Curva EMT 1 1/2"</v>
          </cell>
        </row>
        <row r="65">
          <cell r="C65" t="str">
            <v>25mm</v>
          </cell>
          <cell r="D65" t="str">
            <v>Curva EMT 1"</v>
          </cell>
        </row>
        <row r="66">
          <cell r="C66" t="str">
            <v>19mm</v>
          </cell>
          <cell r="D66" t="str">
            <v>Curva EMT 3/4"</v>
          </cell>
        </row>
        <row r="67">
          <cell r="C67" t="str">
            <v>13mm</v>
          </cell>
          <cell r="D67" t="str">
            <v>Curva EMT 1/2"</v>
          </cell>
        </row>
        <row r="68">
          <cell r="C68" t="str">
            <v>100mm</v>
          </cell>
          <cell r="D68" t="str">
            <v>Abrazadera EMT 4'' </v>
          </cell>
        </row>
        <row r="69">
          <cell r="C69" t="str">
            <v>75mm</v>
          </cell>
          <cell r="D69" t="str">
            <v>Abrazadera EMT 3'' </v>
          </cell>
        </row>
        <row r="70">
          <cell r="C70" t="str">
            <v>50mm</v>
          </cell>
          <cell r="D70" t="str">
            <v>Abrazadera EMT 2'' </v>
          </cell>
        </row>
        <row r="71">
          <cell r="C71" t="str">
            <v>38mm</v>
          </cell>
          <cell r="D71" t="str">
            <v>Abrazadera EMT 1 1/2'' </v>
          </cell>
        </row>
        <row r="72">
          <cell r="C72" t="str">
            <v>25mm</v>
          </cell>
          <cell r="D72" t="str">
            <v>Abrazadera EMT 1'' </v>
          </cell>
        </row>
        <row r="73">
          <cell r="C73" t="str">
            <v>19mm</v>
          </cell>
          <cell r="D73" t="str">
            <v>Abrazadera EMT 3/4'' </v>
          </cell>
        </row>
        <row r="74">
          <cell r="C74" t="str">
            <v>13mm</v>
          </cell>
          <cell r="D74" t="str">
            <v>Abrazadera EMT 1/2'' </v>
          </cell>
        </row>
        <row r="82">
          <cell r="C82" t="str">
            <v>100mm</v>
          </cell>
          <cell r="D82" t="str">
            <v>Tubería Eléctrica IMC 4"</v>
          </cell>
        </row>
        <row r="83">
          <cell r="C83" t="str">
            <v>75mm</v>
          </cell>
          <cell r="D83" t="str">
            <v>Tubería Eléctrica IMC 3"</v>
          </cell>
        </row>
        <row r="84">
          <cell r="C84" t="str">
            <v>50mm</v>
          </cell>
          <cell r="D84" t="str">
            <v>Tubería Eléctrica IMC 2"</v>
          </cell>
        </row>
        <row r="85">
          <cell r="C85" t="str">
            <v>38mm</v>
          </cell>
          <cell r="D85" t="str">
            <v>Tubería Eléctrica IMC 1 1/2"</v>
          </cell>
        </row>
        <row r="86">
          <cell r="C86" t="str">
            <v>25mm</v>
          </cell>
          <cell r="D86" t="str">
            <v>Tubería Eléctrica IMC 1"</v>
          </cell>
        </row>
        <row r="87">
          <cell r="C87" t="str">
            <v>19mm</v>
          </cell>
          <cell r="D87" t="str">
            <v>Tubería Eléctrica IMC 3/4"</v>
          </cell>
        </row>
        <row r="88">
          <cell r="C88" t="str">
            <v>13mm</v>
          </cell>
          <cell r="D88" t="str">
            <v>Tubería Eléctrica IMC 1/2"</v>
          </cell>
        </row>
        <row r="89">
          <cell r="C89" t="str">
            <v>100mm</v>
          </cell>
          <cell r="D89" t="str">
            <v>Coupling IMC 4"</v>
          </cell>
        </row>
        <row r="90">
          <cell r="C90" t="str">
            <v>75mm</v>
          </cell>
          <cell r="D90" t="str">
            <v>Coupling IMC 3"</v>
          </cell>
        </row>
        <row r="91">
          <cell r="C91" t="str">
            <v>50mm</v>
          </cell>
          <cell r="D91" t="str">
            <v>Coupling IMC 2"</v>
          </cell>
        </row>
        <row r="92">
          <cell r="C92" t="str">
            <v>38mm</v>
          </cell>
          <cell r="D92" t="str">
            <v>Coupling IMC 1 1/2"</v>
          </cell>
        </row>
        <row r="93">
          <cell r="C93" t="str">
            <v>25mm</v>
          </cell>
          <cell r="D93" t="str">
            <v>Coupling IMC 1"</v>
          </cell>
        </row>
        <row r="94">
          <cell r="C94" t="str">
            <v>19mm</v>
          </cell>
          <cell r="D94" t="str">
            <v>Coupling IMC 3/4"</v>
          </cell>
        </row>
        <row r="95">
          <cell r="C95" t="str">
            <v>13mm</v>
          </cell>
          <cell r="D95" t="str">
            <v>Coupling IMC 1/2"</v>
          </cell>
        </row>
        <row r="96">
          <cell r="C96" t="str">
            <v>100mm</v>
          </cell>
          <cell r="D96" t="str">
            <v>Conector HUB 4"</v>
          </cell>
        </row>
        <row r="97">
          <cell r="C97" t="str">
            <v>75mm</v>
          </cell>
          <cell r="D97" t="str">
            <v>Conector HUB 3"</v>
          </cell>
        </row>
        <row r="98">
          <cell r="C98" t="str">
            <v>50mm</v>
          </cell>
          <cell r="D98" t="str">
            <v>Conector HUB 2"</v>
          </cell>
        </row>
        <row r="99">
          <cell r="C99" t="str">
            <v>38mm</v>
          </cell>
          <cell r="D99" t="str">
            <v>Conector HUB 1 1/2"</v>
          </cell>
        </row>
        <row r="100">
          <cell r="C100" t="str">
            <v>25mm</v>
          </cell>
          <cell r="D100" t="str">
            <v>Conector HUB 1"</v>
          </cell>
        </row>
        <row r="101">
          <cell r="C101" t="str">
            <v>19mm</v>
          </cell>
          <cell r="D101" t="str">
            <v>Conector HUB 3/4"</v>
          </cell>
        </row>
        <row r="102">
          <cell r="C102" t="str">
            <v>13mm</v>
          </cell>
          <cell r="D102" t="str">
            <v>Conector HUB 1/2"</v>
          </cell>
        </row>
        <row r="103">
          <cell r="C103" t="str">
            <v>100mm</v>
          </cell>
          <cell r="D103" t="str">
            <v>Curva IMC 4"</v>
          </cell>
        </row>
        <row r="104">
          <cell r="C104" t="str">
            <v>75mm</v>
          </cell>
          <cell r="D104" t="str">
            <v>Curva IMC 3"</v>
          </cell>
        </row>
        <row r="105">
          <cell r="C105" t="str">
            <v>50mm</v>
          </cell>
          <cell r="D105" t="str">
            <v>Curva IMC 2"</v>
          </cell>
        </row>
        <row r="106">
          <cell r="C106" t="str">
            <v>38mm</v>
          </cell>
          <cell r="D106" t="str">
            <v>Curva IMC 1 1/2"</v>
          </cell>
        </row>
        <row r="107">
          <cell r="C107" t="str">
            <v>25mm</v>
          </cell>
          <cell r="D107" t="str">
            <v>Curva IMC 1"</v>
          </cell>
        </row>
        <row r="108">
          <cell r="C108" t="str">
            <v>19mm</v>
          </cell>
          <cell r="D108" t="str">
            <v>Curva IMC 3/4"</v>
          </cell>
        </row>
        <row r="109">
          <cell r="C109" t="str">
            <v>13mm</v>
          </cell>
          <cell r="D109" t="str">
            <v>Curva IMC 1/2"</v>
          </cell>
        </row>
        <row r="110">
          <cell r="C110" t="str">
            <v>100mm</v>
          </cell>
          <cell r="D110" t="str">
            <v>Tuberia Liquidtight 4"</v>
          </cell>
        </row>
        <row r="111">
          <cell r="C111" t="str">
            <v>75mm</v>
          </cell>
          <cell r="D111" t="str">
            <v>Tuberia Liquidtight 3"</v>
          </cell>
        </row>
        <row r="112">
          <cell r="C112" t="str">
            <v>50mm</v>
          </cell>
          <cell r="D112" t="str">
            <v>Tuberia Liquidtight 2"</v>
          </cell>
        </row>
        <row r="113">
          <cell r="C113" t="str">
            <v>38mm</v>
          </cell>
          <cell r="D113" t="str">
            <v>Tuberia Liquidtight 1 1/2"</v>
          </cell>
        </row>
        <row r="114">
          <cell r="C114" t="str">
            <v>25mm</v>
          </cell>
          <cell r="D114" t="str">
            <v>Tuberia Liquidtight 1"</v>
          </cell>
        </row>
        <row r="115">
          <cell r="C115" t="str">
            <v>19mm</v>
          </cell>
          <cell r="D115" t="str">
            <v>Tuberia Liquidtight 3/4"</v>
          </cell>
        </row>
        <row r="116">
          <cell r="C116" t="str">
            <v>13mm</v>
          </cell>
          <cell r="D116" t="str">
            <v>Tuberia Liquidtight 1/2"</v>
          </cell>
        </row>
        <row r="117">
          <cell r="C117" t="str">
            <v>100mm</v>
          </cell>
          <cell r="D117" t="str">
            <v>Conector Liquidtight Recto 4"</v>
          </cell>
        </row>
        <row r="118">
          <cell r="C118" t="str">
            <v>75mm</v>
          </cell>
          <cell r="D118" t="str">
            <v>Conector Liquidtight Recto 3"</v>
          </cell>
        </row>
        <row r="119">
          <cell r="C119" t="str">
            <v>50mm</v>
          </cell>
          <cell r="D119" t="str">
            <v>Conector Liquidtight Recto 2"</v>
          </cell>
        </row>
        <row r="120">
          <cell r="C120" t="str">
            <v>38mm</v>
          </cell>
          <cell r="D120" t="str">
            <v>Conector Liquidtight Recto 1 1/2"</v>
          </cell>
        </row>
        <row r="121">
          <cell r="C121" t="str">
            <v>25mm</v>
          </cell>
          <cell r="D121" t="str">
            <v>Conector Liquidtight Recto 1"</v>
          </cell>
        </row>
        <row r="122">
          <cell r="C122" t="str">
            <v>19mm</v>
          </cell>
          <cell r="D122" t="str">
            <v>Conector Liquidtight Recto 3/4"</v>
          </cell>
        </row>
        <row r="123">
          <cell r="C123" t="str">
            <v>13mm</v>
          </cell>
          <cell r="D123" t="str">
            <v>Conector Liquidtight Recto 1/2"</v>
          </cell>
        </row>
        <row r="124">
          <cell r="C124" t="str">
            <v>19mm</v>
          </cell>
          <cell r="D124" t="str">
            <v>Caja EMT 2x4 3/4" USA UL</v>
          </cell>
        </row>
        <row r="125">
          <cell r="C125" t="str">
            <v>13mm</v>
          </cell>
          <cell r="D125" t="str">
            <v>Caja EMT 2x4 1/2" USA UL</v>
          </cell>
        </row>
        <row r="126">
          <cell r="C126" t="str">
            <v>19mm</v>
          </cell>
          <cell r="D126" t="str">
            <v>Caja octagonal EMT 3/4" USA UL</v>
          </cell>
        </row>
        <row r="127">
          <cell r="C127" t="str">
            <v>13mm</v>
          </cell>
          <cell r="D127" t="str">
            <v>Caja octagonal EMT 1/2" USA UL</v>
          </cell>
        </row>
        <row r="128">
          <cell r="C128" t="str">
            <v>19mm</v>
          </cell>
          <cell r="D128" t="str">
            <v>Caja 2x4 waterproof 3/4"</v>
          </cell>
        </row>
        <row r="129">
          <cell r="C129" t="str">
            <v>13mm</v>
          </cell>
          <cell r="D129" t="str">
            <v>Caja 2x4 waterproof 1/2"</v>
          </cell>
        </row>
        <row r="130">
          <cell r="C130" t="str">
            <v>25mm</v>
          </cell>
          <cell r="D130" t="str">
            <v>Caja de metal 5x5 nk 1"</v>
          </cell>
        </row>
        <row r="131">
          <cell r="C131" t="str">
            <v>19mm</v>
          </cell>
          <cell r="D131" t="str">
            <v>Caja de metal 5x5 nk 3/4"</v>
          </cell>
        </row>
        <row r="132">
          <cell r="C132" t="str">
            <v>13mm</v>
          </cell>
          <cell r="D132" t="str">
            <v>Caja de metal 5x5 nk 1/2"</v>
          </cell>
        </row>
        <row r="133">
          <cell r="D133" t="str">
            <v>Tapa caja EMT 2x4 Inoxidable.</v>
          </cell>
        </row>
        <row r="134">
          <cell r="D134" t="str">
            <v>Tapa caja octagonal EMT USA UL</v>
          </cell>
        </row>
        <row r="135">
          <cell r="D135" t="str">
            <v>Tapa caja waterproof 2x4</v>
          </cell>
        </row>
        <row r="136">
          <cell r="D136" t="str">
            <v>Tapa caja caja de metal 5x5 USA UL</v>
          </cell>
        </row>
      </sheetData>
      <sheetData sheetId="4">
        <row r="4">
          <cell r="M4" t="str">
            <v>Tipo Cableado</v>
          </cell>
        </row>
        <row r="5">
          <cell r="M5" t="str">
            <v>Coaxial QRG6</v>
          </cell>
        </row>
        <row r="6">
          <cell r="M6" t="str">
            <v>CAT6</v>
          </cell>
        </row>
        <row r="7">
          <cell r="M7" t="str">
            <v>CAT5e</v>
          </cell>
        </row>
        <row r="8">
          <cell r="M8" t="str">
            <v>3-way</v>
          </cell>
        </row>
        <row r="9">
          <cell r="M9"/>
        </row>
        <row r="10">
          <cell r="M10"/>
        </row>
        <row r="11">
          <cell r="M11"/>
        </row>
        <row r="12">
          <cell r="M12"/>
        </row>
        <row r="13">
          <cell r="M13"/>
        </row>
        <row r="14">
          <cell r="M14"/>
        </row>
        <row r="15">
          <cell r="M15"/>
        </row>
        <row r="16">
          <cell r="M16"/>
        </row>
        <row r="17">
          <cell r="M17"/>
        </row>
        <row r="18">
          <cell r="M18"/>
        </row>
      </sheetData>
      <sheetData sheetId="5"/>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Subtotal"/>
    </sheetNames>
    <sheetDataSet>
      <sheetData sheetId="0">
        <row r="37">
          <cell r="C37">
            <v>631.15747307260881</v>
          </cell>
        </row>
        <row r="38">
          <cell r="C38">
            <v>1483.8855548408696</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OFERTA"/>
      <sheetName val="2. COSTO INDIRECTO"/>
      <sheetName val="3. DESGLOSE DE MATERIALES"/>
      <sheetName val="MATERIALES"/>
      <sheetName val="LISTAS"/>
      <sheetName val="Calculadora Internacional"/>
      <sheetName val="Calculadora Pick N Send"/>
      <sheetName val="Lista de Clientes"/>
      <sheetName val="4. Lista de Materiales"/>
    </sheetNames>
    <sheetDataSet>
      <sheetData sheetId="0"/>
      <sheetData sheetId="1"/>
      <sheetData sheetId="2"/>
      <sheetData sheetId="3"/>
      <sheetData sheetId="4"/>
      <sheetData sheetId="5"/>
      <sheetData sheetId="6">
        <row r="28">
          <cell r="H28">
            <v>730</v>
          </cell>
          <cell r="I28">
            <v>35.89</v>
          </cell>
        </row>
      </sheetData>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17277-07E6-4F14-B816-98674F2B7C97}">
  <sheetPr codeName="Sheet2">
    <pageSetUpPr fitToPage="1"/>
  </sheetPr>
  <dimension ref="A1:K171"/>
  <sheetViews>
    <sheetView view="pageLayout" topLeftCell="A30" zoomScale="125" zoomScaleNormal="100" zoomScalePageLayoutView="125" workbookViewId="0">
      <selection activeCell="C43" sqref="C43:D43"/>
    </sheetView>
  </sheetViews>
  <sheetFormatPr baseColWidth="10" defaultColWidth="11" defaultRowHeight="15"/>
  <cols>
    <col min="1" max="1" width="10.33203125" style="107" bestFit="1" customWidth="1"/>
    <col min="2" max="2" width="5.6640625" style="128" bestFit="1" customWidth="1"/>
    <col min="3" max="3" width="12.6640625" style="129" bestFit="1" customWidth="1"/>
    <col min="4" max="4" width="39.83203125" style="129" customWidth="1"/>
    <col min="5" max="5" width="8.1640625" style="129" customWidth="1"/>
    <col min="6" max="6" width="7.83203125" style="129" customWidth="1"/>
    <col min="7" max="7" width="13.5" style="445" bestFit="1" customWidth="1"/>
    <col min="8" max="8" width="20.1640625" style="128" customWidth="1"/>
    <col min="9" max="9" width="11" style="107" customWidth="1"/>
    <col min="10" max="10" width="11" style="107"/>
    <col min="11" max="11" width="11" style="108"/>
    <col min="12" max="16384" width="11" style="107"/>
  </cols>
  <sheetData>
    <row r="1" spans="1:8" ht="28.75" customHeight="1">
      <c r="A1" s="104"/>
      <c r="B1" s="105"/>
      <c r="C1" s="106"/>
      <c r="D1" s="106"/>
      <c r="E1" s="106"/>
      <c r="F1" s="106"/>
      <c r="G1" s="434"/>
      <c r="H1" s="105"/>
    </row>
    <row r="2" spans="1:8" ht="28.75" customHeight="1">
      <c r="A2" s="104"/>
      <c r="B2" s="483"/>
      <c r="C2" s="106"/>
      <c r="D2" s="106"/>
      <c r="E2" s="106"/>
      <c r="F2" s="106"/>
      <c r="G2" s="434"/>
      <c r="H2" s="105"/>
    </row>
    <row r="3" spans="1:8" ht="28.75" customHeight="1">
      <c r="A3" s="104"/>
      <c r="B3" s="483"/>
      <c r="C3" s="106"/>
      <c r="D3" s="106"/>
      <c r="E3" s="106"/>
      <c r="F3" s="106"/>
      <c r="G3" s="434"/>
      <c r="H3" s="105"/>
    </row>
    <row r="4" spans="1:8" ht="28.75" customHeight="1">
      <c r="A4" s="104"/>
      <c r="B4" s="483"/>
      <c r="C4" s="106"/>
      <c r="D4" s="106"/>
      <c r="E4" s="106"/>
      <c r="F4" s="106"/>
      <c r="G4" s="434"/>
      <c r="H4" s="105"/>
    </row>
    <row r="5" spans="1:8" ht="28.75" customHeight="1">
      <c r="A5" s="104"/>
      <c r="B5" s="483"/>
      <c r="C5" s="106"/>
      <c r="D5" s="106"/>
      <c r="E5" s="106"/>
      <c r="F5" s="106"/>
      <c r="G5" s="434"/>
      <c r="H5" s="105"/>
    </row>
    <row r="6" spans="1:8" ht="28.75" customHeight="1">
      <c r="A6" s="104"/>
      <c r="B6" s="483"/>
      <c r="C6" s="106"/>
      <c r="D6" s="106"/>
      <c r="E6" s="106"/>
      <c r="F6" s="106"/>
      <c r="G6" s="434"/>
      <c r="H6" s="105"/>
    </row>
    <row r="7" spans="1:8" ht="28.75" customHeight="1">
      <c r="A7" s="104"/>
      <c r="B7" s="483"/>
      <c r="C7" s="106"/>
      <c r="D7" s="106"/>
      <c r="E7" s="106"/>
      <c r="F7" s="106"/>
      <c r="G7" s="434"/>
      <c r="H7" s="105"/>
    </row>
    <row r="8" spans="1:8" ht="28.75" customHeight="1">
      <c r="A8" s="104"/>
      <c r="B8" s="483"/>
      <c r="C8" s="106"/>
      <c r="D8" s="106"/>
      <c r="E8" s="106"/>
      <c r="F8" s="106"/>
      <c r="G8" s="434"/>
      <c r="H8" s="105"/>
    </row>
    <row r="9" spans="1:8" ht="28.75" customHeight="1">
      <c r="A9" s="104"/>
      <c r="B9" s="483"/>
      <c r="C9" s="106"/>
      <c r="D9" s="106"/>
      <c r="E9" s="106"/>
      <c r="F9" s="106"/>
      <c r="G9" s="434"/>
      <c r="H9" s="105"/>
    </row>
    <row r="10" spans="1:8" ht="28.75" customHeight="1">
      <c r="A10" s="104"/>
      <c r="B10" s="483"/>
      <c r="C10" s="106"/>
      <c r="D10" s="106"/>
      <c r="E10" s="106"/>
      <c r="F10" s="106"/>
      <c r="G10" s="434"/>
      <c r="H10" s="105"/>
    </row>
    <row r="11" spans="1:8" ht="28.75" customHeight="1">
      <c r="A11" s="104"/>
      <c r="B11" s="483"/>
      <c r="C11" s="106"/>
      <c r="D11" s="106"/>
      <c r="E11" s="106"/>
      <c r="F11" s="106"/>
      <c r="G11" s="434"/>
      <c r="H11" s="105"/>
    </row>
    <row r="12" spans="1:8" ht="28.75" customHeight="1">
      <c r="A12" s="104"/>
      <c r="B12" s="483"/>
      <c r="C12" s="106"/>
      <c r="D12" s="106"/>
      <c r="E12" s="106"/>
      <c r="F12" s="106"/>
      <c r="G12" s="434"/>
      <c r="H12" s="105"/>
    </row>
    <row r="13" spans="1:8" ht="28.75" customHeight="1">
      <c r="A13" s="104"/>
      <c r="B13" s="483"/>
      <c r="C13" s="106"/>
      <c r="D13" s="106"/>
      <c r="E13" s="106"/>
      <c r="F13" s="106"/>
      <c r="G13" s="434"/>
      <c r="H13" s="105"/>
    </row>
    <row r="14" spans="1:8" ht="28.75" customHeight="1">
      <c r="A14" s="104"/>
      <c r="B14" s="483"/>
      <c r="C14" s="106"/>
      <c r="D14" s="106"/>
      <c r="E14" s="106"/>
      <c r="F14" s="106"/>
      <c r="G14" s="434"/>
      <c r="H14" s="105"/>
    </row>
    <row r="15" spans="1:8" ht="28.75" customHeight="1">
      <c r="A15" s="104"/>
      <c r="B15" s="483"/>
      <c r="C15" s="106"/>
      <c r="D15" s="106"/>
      <c r="E15" s="106"/>
      <c r="F15" s="106"/>
      <c r="G15" s="434"/>
      <c r="H15" s="105"/>
    </row>
    <row r="16" spans="1:8" ht="28.75" customHeight="1">
      <c r="A16" s="104"/>
      <c r="B16" s="483"/>
      <c r="C16" s="106"/>
      <c r="D16" s="106"/>
      <c r="E16" s="106"/>
      <c r="F16" s="106"/>
      <c r="G16" s="434"/>
      <c r="H16" s="105"/>
    </row>
    <row r="17" spans="1:8" ht="28.75" customHeight="1">
      <c r="A17" s="104"/>
      <c r="B17" s="483"/>
      <c r="C17" s="106"/>
      <c r="D17" s="106"/>
      <c r="E17" s="106"/>
      <c r="F17" s="106"/>
      <c r="G17" s="434"/>
      <c r="H17" s="105"/>
    </row>
    <row r="18" spans="1:8" ht="28.75" customHeight="1">
      <c r="A18" s="104"/>
      <c r="B18" s="483"/>
      <c r="C18" s="106"/>
      <c r="D18" s="106"/>
      <c r="E18" s="106"/>
      <c r="F18" s="106"/>
      <c r="G18" s="434"/>
      <c r="H18" s="105"/>
    </row>
    <row r="19" spans="1:8" ht="28.75" customHeight="1">
      <c r="A19" s="104"/>
      <c r="B19" s="483"/>
      <c r="C19" s="106"/>
      <c r="D19" s="106"/>
      <c r="E19" s="106"/>
      <c r="F19" s="106"/>
      <c r="G19" s="434"/>
      <c r="H19" s="105"/>
    </row>
    <row r="20" spans="1:8" ht="28.75" customHeight="1">
      <c r="A20" s="104"/>
      <c r="B20" s="483"/>
      <c r="C20" s="106"/>
      <c r="D20" s="106"/>
      <c r="E20" s="106"/>
      <c r="F20" s="106"/>
      <c r="G20" s="434"/>
      <c r="H20" s="105"/>
    </row>
    <row r="21" spans="1:8" ht="28.75" customHeight="1">
      <c r="A21" s="104"/>
      <c r="B21" s="483"/>
      <c r="C21" s="106"/>
      <c r="D21" s="106"/>
      <c r="E21" s="106"/>
      <c r="F21" s="106"/>
      <c r="G21" s="434"/>
      <c r="H21" s="105"/>
    </row>
    <row r="22" spans="1:8" ht="28.75" customHeight="1">
      <c r="A22" s="104"/>
      <c r="B22" s="483"/>
      <c r="C22" s="106"/>
      <c r="D22" s="106"/>
      <c r="E22" s="106"/>
      <c r="F22" s="106"/>
      <c r="G22" s="434"/>
      <c r="H22" s="105"/>
    </row>
    <row r="23" spans="1:8" ht="28.75" customHeight="1">
      <c r="A23" s="104"/>
      <c r="B23" s="483"/>
      <c r="C23" s="106"/>
      <c r="D23" s="106"/>
      <c r="E23" s="106"/>
      <c r="F23" s="106"/>
      <c r="G23" s="434"/>
      <c r="H23" s="105"/>
    </row>
    <row r="24" spans="1:8" ht="28.75" customHeight="1" thickBot="1">
      <c r="A24" s="104"/>
      <c r="B24" s="483"/>
      <c r="C24" s="106"/>
      <c r="D24" s="106"/>
      <c r="E24" s="106"/>
      <c r="F24" s="106"/>
      <c r="G24" s="434"/>
      <c r="H24" s="105"/>
    </row>
    <row r="25" spans="1:8" ht="28.75" customHeight="1">
      <c r="A25" s="104"/>
      <c r="B25" s="483"/>
      <c r="C25" s="106"/>
      <c r="D25" s="617" t="s">
        <v>871</v>
      </c>
      <c r="E25" s="608" t="str">
        <f>F44</f>
        <v>AUTOMATIZACION MEDIANTE ARRANCADORES SUAVES - POZOS DE VILLA ROCK</v>
      </c>
      <c r="F25" s="609"/>
      <c r="G25" s="610"/>
      <c r="H25" s="105"/>
    </row>
    <row r="26" spans="1:8" ht="28.75" customHeight="1">
      <c r="A26" s="104"/>
      <c r="B26" s="483"/>
      <c r="C26" s="106"/>
      <c r="D26" s="618"/>
      <c r="E26" s="611"/>
      <c r="F26" s="612"/>
      <c r="G26" s="613"/>
      <c r="H26" s="105"/>
    </row>
    <row r="27" spans="1:8" ht="28.75" customHeight="1" thickBot="1">
      <c r="A27" s="104"/>
      <c r="B27" s="483"/>
      <c r="C27" s="106"/>
      <c r="D27" s="619"/>
      <c r="E27" s="614"/>
      <c r="F27" s="615"/>
      <c r="G27" s="616"/>
      <c r="H27" s="105"/>
    </row>
    <row r="28" spans="1:8" ht="28.75" customHeight="1">
      <c r="A28" s="104"/>
      <c r="B28" s="483"/>
      <c r="C28" s="106"/>
      <c r="D28" s="106"/>
      <c r="E28" s="106"/>
      <c r="F28" s="106"/>
      <c r="G28" s="434"/>
      <c r="H28" s="105"/>
    </row>
    <row r="29" spans="1:8" ht="28.75" customHeight="1">
      <c r="A29" s="104"/>
      <c r="B29" s="483"/>
      <c r="C29" s="106"/>
      <c r="D29" s="106"/>
      <c r="E29" s="106"/>
      <c r="F29" s="106"/>
      <c r="G29" s="434"/>
      <c r="H29" s="105"/>
    </row>
    <row r="30" spans="1:8" ht="28.75" customHeight="1">
      <c r="A30" s="104"/>
      <c r="B30" s="483"/>
      <c r="C30" s="106"/>
      <c r="D30" s="106"/>
      <c r="E30" s="106"/>
      <c r="F30" s="106"/>
      <c r="G30" s="434"/>
      <c r="H30" s="105"/>
    </row>
    <row r="31" spans="1:8" ht="28.75" customHeight="1">
      <c r="A31" s="104"/>
      <c r="B31" s="483"/>
      <c r="C31" s="106"/>
      <c r="D31" s="106"/>
      <c r="E31" s="106"/>
      <c r="F31" s="106"/>
      <c r="G31" s="434"/>
      <c r="H31" s="105"/>
    </row>
    <row r="32" spans="1:8" ht="28.75" customHeight="1">
      <c r="A32" s="104"/>
      <c r="B32" s="483"/>
      <c r="C32" s="106"/>
      <c r="D32" s="106"/>
      <c r="E32" s="106"/>
      <c r="F32" s="106"/>
      <c r="G32" s="434"/>
      <c r="H32" s="105"/>
    </row>
    <row r="33" spans="1:8" ht="28.75" customHeight="1">
      <c r="A33" s="104"/>
      <c r="B33" s="105"/>
      <c r="C33" s="106"/>
      <c r="D33" s="106"/>
      <c r="E33" s="106"/>
      <c r="F33" s="106"/>
      <c r="G33" s="434"/>
      <c r="H33" s="105"/>
    </row>
    <row r="34" spans="1:8" ht="53" customHeight="1" thickBot="1">
      <c r="A34" s="452"/>
      <c r="B34" s="453"/>
      <c r="C34" s="454"/>
      <c r="D34" s="454"/>
      <c r="E34" s="454"/>
      <c r="F34" s="104"/>
      <c r="G34" s="104"/>
      <c r="H34" s="104"/>
    </row>
    <row r="35" spans="1:8">
      <c r="A35" s="104"/>
      <c r="B35" s="105"/>
      <c r="C35" s="106"/>
      <c r="D35" s="106"/>
      <c r="E35" s="106"/>
      <c r="F35" s="110" t="s">
        <v>0</v>
      </c>
      <c r="G35" s="435"/>
      <c r="H35" s="215" t="s">
        <v>936</v>
      </c>
    </row>
    <row r="36" spans="1:8">
      <c r="A36" s="104"/>
      <c r="B36" s="105"/>
      <c r="C36" s="106"/>
      <c r="D36" s="106"/>
      <c r="E36" s="109"/>
      <c r="F36" s="111"/>
      <c r="G36" s="436"/>
      <c r="H36" s="112"/>
    </row>
    <row r="37" spans="1:8" ht="14.75" customHeight="1">
      <c r="A37" s="104"/>
      <c r="B37" s="105"/>
      <c r="C37" s="106"/>
      <c r="D37" s="106"/>
      <c r="E37" s="477"/>
      <c r="F37" s="113"/>
      <c r="G37" s="436"/>
      <c r="H37" s="112"/>
    </row>
    <row r="38" spans="1:8" ht="16" thickBot="1">
      <c r="A38" s="104"/>
      <c r="B38" s="105"/>
      <c r="C38" s="106"/>
      <c r="D38" s="106"/>
      <c r="E38" s="477"/>
      <c r="F38" s="115" t="s">
        <v>2</v>
      </c>
      <c r="G38" s="437"/>
      <c r="H38" s="216">
        <v>44271</v>
      </c>
    </row>
    <row r="39" spans="1:8" ht="27.75" customHeight="1">
      <c r="A39" s="624"/>
      <c r="B39" s="624"/>
      <c r="C39" s="624"/>
      <c r="D39" s="114"/>
      <c r="E39" s="477"/>
      <c r="F39" s="104"/>
      <c r="G39" s="104"/>
      <c r="H39" s="104"/>
    </row>
    <row r="40" spans="1:8" ht="14.75" customHeight="1">
      <c r="A40" s="104"/>
      <c r="B40" s="105"/>
      <c r="C40" s="106"/>
      <c r="D40" s="106"/>
      <c r="E40" s="625"/>
      <c r="F40" s="625"/>
      <c r="G40" s="625"/>
      <c r="H40" s="105"/>
    </row>
    <row r="41" spans="1:8" ht="14.75" customHeight="1">
      <c r="A41" s="583" t="s">
        <v>3</v>
      </c>
      <c r="B41" s="583"/>
      <c r="C41" s="583"/>
      <c r="D41" s="583"/>
      <c r="E41" s="625"/>
      <c r="F41" s="625"/>
      <c r="G41" s="434"/>
      <c r="H41" s="105"/>
    </row>
    <row r="42" spans="1:8" ht="14.75" customHeight="1" thickBot="1">
      <c r="A42" s="104"/>
      <c r="B42" s="105"/>
      <c r="C42" s="106"/>
      <c r="D42" s="106"/>
      <c r="E42" s="477"/>
      <c r="F42" s="477"/>
      <c r="G42" s="434"/>
      <c r="H42" s="105"/>
    </row>
    <row r="43" spans="1:8" ht="19.75" customHeight="1" thickBot="1">
      <c r="A43" s="570" t="s">
        <v>4</v>
      </c>
      <c r="B43" s="571"/>
      <c r="C43" s="568" t="s">
        <v>878</v>
      </c>
      <c r="D43" s="569"/>
      <c r="E43" s="626"/>
      <c r="F43" s="553" t="s">
        <v>6</v>
      </c>
      <c r="G43" s="554"/>
      <c r="H43" s="555"/>
    </row>
    <row r="44" spans="1:8" ht="19.75" customHeight="1">
      <c r="A44" s="582" t="s">
        <v>7</v>
      </c>
      <c r="B44" s="583"/>
      <c r="C44" s="580" t="str">
        <f>VLOOKUP($C$43,'Lista de Clientes'!B3:$I$28,2,0)</f>
        <v>-</v>
      </c>
      <c r="D44" s="581"/>
      <c r="E44" s="626"/>
      <c r="F44" s="572" t="s">
        <v>880</v>
      </c>
      <c r="G44" s="573"/>
      <c r="H44" s="574"/>
    </row>
    <row r="45" spans="1:8" ht="19.75" customHeight="1">
      <c r="A45" s="582" t="s">
        <v>8</v>
      </c>
      <c r="B45" s="583"/>
      <c r="C45" s="580" t="str">
        <f>VLOOKUP($C$43,'Lista de Clientes'!B4:$I$28,3,0)</f>
        <v>Hard Rock</v>
      </c>
      <c r="D45" s="581"/>
      <c r="E45" s="626"/>
      <c r="F45" s="572"/>
      <c r="G45" s="575"/>
      <c r="H45" s="576"/>
    </row>
    <row r="46" spans="1:8" ht="19.75" customHeight="1">
      <c r="A46" s="475" t="s">
        <v>9</v>
      </c>
      <c r="B46" s="476"/>
      <c r="C46" s="580" t="str">
        <f>VLOOKUP($C$43,'Lista de Clientes'!B4:$I$28,8,0)</f>
        <v>Blvd. Turístico del Este Km. 28 #74 Macao.</v>
      </c>
      <c r="D46" s="581"/>
      <c r="E46" s="626"/>
      <c r="F46" s="572"/>
      <c r="G46" s="575"/>
      <c r="H46" s="576"/>
    </row>
    <row r="47" spans="1:8" ht="19.75" customHeight="1">
      <c r="A47" s="582" t="s">
        <v>10</v>
      </c>
      <c r="B47" s="583"/>
      <c r="C47" s="580" t="str">
        <f>VLOOKUP($C$43,'Lista de Clientes'!B4:$I$28,4,0)</f>
        <v>-</v>
      </c>
      <c r="D47" s="581"/>
      <c r="E47" s="626"/>
      <c r="F47" s="572"/>
      <c r="G47" s="575"/>
      <c r="H47" s="576"/>
    </row>
    <row r="48" spans="1:8" ht="19.75" customHeight="1">
      <c r="A48" s="582" t="s">
        <v>11</v>
      </c>
      <c r="B48" s="583"/>
      <c r="C48" s="580" t="str">
        <f>VLOOKUP($C$43,'Lista de Clientes'!B4:$I$28,5,0)</f>
        <v>Ana Arias Medrano</v>
      </c>
      <c r="D48" s="581"/>
      <c r="E48" s="626"/>
      <c r="F48" s="572"/>
      <c r="G48" s="575"/>
      <c r="H48" s="576"/>
    </row>
    <row r="49" spans="1:11" ht="16" thickBot="1">
      <c r="A49" s="620" t="s">
        <v>12</v>
      </c>
      <c r="B49" s="621"/>
      <c r="C49" s="622" t="str">
        <f>VLOOKUP($C$43,'Lista de Clientes'!B4:$I$28,6,0)</f>
        <v xml:space="preserve">Asistente de Compras </v>
      </c>
      <c r="D49" s="623"/>
      <c r="E49" s="105"/>
      <c r="F49" s="577"/>
      <c r="G49" s="578"/>
      <c r="H49" s="579"/>
    </row>
    <row r="50" spans="1:11" ht="16" thickBot="1">
      <c r="A50" s="116"/>
      <c r="B50" s="477"/>
      <c r="C50" s="477"/>
      <c r="D50" s="477"/>
      <c r="E50" s="105"/>
      <c r="F50" s="117"/>
      <c r="G50" s="438"/>
      <c r="H50" s="117"/>
    </row>
    <row r="51" spans="1:11" s="118" customFormat="1" ht="28.75" customHeight="1" thickBot="1">
      <c r="A51" s="553" t="s">
        <v>14</v>
      </c>
      <c r="B51" s="554"/>
      <c r="C51" s="554"/>
      <c r="D51" s="554"/>
      <c r="E51" s="554"/>
      <c r="F51" s="554"/>
      <c r="G51" s="554"/>
      <c r="H51" s="555"/>
      <c r="J51" s="119"/>
      <c r="K51" s="120"/>
    </row>
    <row r="52" spans="1:11" s="479" customFormat="1" ht="28.75" customHeight="1">
      <c r="A52" s="556" t="s">
        <v>920</v>
      </c>
      <c r="B52" s="557"/>
      <c r="C52" s="557"/>
      <c r="D52" s="557"/>
      <c r="E52" s="557"/>
      <c r="F52" s="557"/>
      <c r="G52" s="557"/>
      <c r="H52" s="558"/>
      <c r="J52" s="480"/>
      <c r="K52" s="481"/>
    </row>
    <row r="53" spans="1:11" s="479" customFormat="1" ht="28.75" customHeight="1" thickBot="1">
      <c r="A53" s="532" t="s">
        <v>921</v>
      </c>
      <c r="B53" s="533"/>
      <c r="C53" s="533"/>
      <c r="D53" s="533"/>
      <c r="E53" s="533"/>
      <c r="F53" s="533"/>
      <c r="G53" s="533"/>
      <c r="H53" s="534"/>
      <c r="J53" s="480"/>
      <c r="K53" s="481"/>
    </row>
    <row r="54" spans="1:11" s="479" customFormat="1" ht="36" customHeight="1" thickBot="1">
      <c r="A54" s="482">
        <v>1</v>
      </c>
      <c r="B54" s="532" t="s">
        <v>922</v>
      </c>
      <c r="C54" s="533"/>
      <c r="D54" s="533"/>
      <c r="E54" s="533"/>
      <c r="F54" s="533"/>
      <c r="G54" s="533"/>
      <c r="H54" s="534"/>
      <c r="J54" s="480"/>
      <c r="K54" s="481"/>
    </row>
    <row r="55" spans="1:11" s="479" customFormat="1" ht="115" customHeight="1">
      <c r="A55" s="541"/>
      <c r="B55" s="542"/>
      <c r="C55" s="542"/>
      <c r="D55" s="542"/>
      <c r="E55" s="542"/>
      <c r="F55" s="542"/>
      <c r="G55" s="542"/>
      <c r="H55" s="543"/>
      <c r="J55" s="480"/>
      <c r="K55" s="481"/>
    </row>
    <row r="56" spans="1:11" s="118" customFormat="1" ht="21.5" customHeight="1" thickBot="1">
      <c r="A56" s="544" t="s">
        <v>923</v>
      </c>
      <c r="B56" s="545"/>
      <c r="C56" s="545"/>
      <c r="D56" s="545"/>
      <c r="E56" s="545"/>
      <c r="F56" s="545"/>
      <c r="G56" s="545"/>
      <c r="H56" s="546"/>
      <c r="J56" s="119"/>
      <c r="K56" s="120"/>
    </row>
    <row r="57" spans="1:11" s="479" customFormat="1" ht="28.75" customHeight="1" thickBot="1">
      <c r="A57" s="482">
        <v>2</v>
      </c>
      <c r="B57" s="532" t="s">
        <v>924</v>
      </c>
      <c r="C57" s="533"/>
      <c r="D57" s="533"/>
      <c r="E57" s="533"/>
      <c r="F57" s="533"/>
      <c r="G57" s="533"/>
      <c r="H57" s="534"/>
      <c r="J57" s="480"/>
      <c r="K57" s="481"/>
    </row>
    <row r="58" spans="1:11" s="479" customFormat="1" ht="28.75" customHeight="1" thickBot="1">
      <c r="A58" s="482">
        <f>A57+0.1</f>
        <v>2.1</v>
      </c>
      <c r="B58" s="532" t="s">
        <v>925</v>
      </c>
      <c r="C58" s="533"/>
      <c r="D58" s="533"/>
      <c r="E58" s="533"/>
      <c r="F58" s="533"/>
      <c r="G58" s="533"/>
      <c r="H58" s="534"/>
      <c r="J58" s="480"/>
      <c r="K58" s="481"/>
    </row>
    <row r="59" spans="1:11" s="479" customFormat="1" ht="28.75" customHeight="1" thickBot="1">
      <c r="A59" s="482">
        <f t="shared" ref="A59" si="0">A58+0.1</f>
        <v>2.2000000000000002</v>
      </c>
      <c r="B59" s="532" t="s">
        <v>926</v>
      </c>
      <c r="C59" s="533"/>
      <c r="D59" s="533"/>
      <c r="E59" s="533"/>
      <c r="F59" s="533"/>
      <c r="G59" s="533"/>
      <c r="H59" s="534"/>
      <c r="J59" s="480"/>
      <c r="K59" s="481"/>
    </row>
    <row r="60" spans="1:11" s="479" customFormat="1" ht="28.75" customHeight="1" thickBot="1">
      <c r="A60" s="482" t="str">
        <f>A59&amp;".1"</f>
        <v>2.2.1</v>
      </c>
      <c r="B60" s="532" t="s">
        <v>927</v>
      </c>
      <c r="C60" s="533"/>
      <c r="D60" s="533"/>
      <c r="E60" s="533"/>
      <c r="F60" s="533"/>
      <c r="G60" s="533"/>
      <c r="H60" s="534"/>
      <c r="J60" s="480"/>
      <c r="K60" s="481"/>
    </row>
    <row r="61" spans="1:11" s="479" customFormat="1" ht="28.75" customHeight="1" thickBot="1">
      <c r="A61" s="482">
        <f>A59+0.1</f>
        <v>2.3000000000000003</v>
      </c>
      <c r="B61" s="532" t="s">
        <v>928</v>
      </c>
      <c r="C61" s="533"/>
      <c r="D61" s="533"/>
      <c r="E61" s="533"/>
      <c r="F61" s="533"/>
      <c r="G61" s="533"/>
      <c r="H61" s="534"/>
      <c r="J61" s="480"/>
      <c r="K61" s="481"/>
    </row>
    <row r="62" spans="1:11" s="479" customFormat="1" ht="36" customHeight="1" thickBot="1">
      <c r="A62" s="482" t="str">
        <f>$A$61&amp;".1"</f>
        <v>2.3.1</v>
      </c>
      <c r="B62" s="532" t="s">
        <v>929</v>
      </c>
      <c r="C62" s="533"/>
      <c r="D62" s="533"/>
      <c r="E62" s="533"/>
      <c r="F62" s="533"/>
      <c r="G62" s="533"/>
      <c r="H62" s="534"/>
      <c r="J62" s="480"/>
      <c r="K62" s="481"/>
    </row>
    <row r="63" spans="1:11" s="479" customFormat="1" ht="36" customHeight="1" thickBot="1">
      <c r="A63" s="482" t="str">
        <f>$A$61&amp;".2"</f>
        <v>2.3.2</v>
      </c>
      <c r="B63" s="532" t="s">
        <v>930</v>
      </c>
      <c r="C63" s="533"/>
      <c r="D63" s="533"/>
      <c r="E63" s="533"/>
      <c r="F63" s="533"/>
      <c r="G63" s="533"/>
      <c r="H63" s="534"/>
      <c r="J63" s="480"/>
      <c r="K63" s="481"/>
    </row>
    <row r="64" spans="1:11" s="479" customFormat="1" ht="122" customHeight="1">
      <c r="A64" s="541"/>
      <c r="B64" s="542"/>
      <c r="C64" s="542"/>
      <c r="D64" s="542"/>
      <c r="E64" s="542"/>
      <c r="F64" s="542"/>
      <c r="G64" s="542"/>
      <c r="H64" s="543"/>
      <c r="J64" s="480"/>
      <c r="K64" s="481"/>
    </row>
    <row r="65" spans="1:11" s="118" customFormat="1" ht="21.5" customHeight="1" thickBot="1">
      <c r="A65" s="544" t="s">
        <v>931</v>
      </c>
      <c r="B65" s="545"/>
      <c r="C65" s="545"/>
      <c r="D65" s="545"/>
      <c r="E65" s="545"/>
      <c r="F65" s="545"/>
      <c r="G65" s="545"/>
      <c r="H65" s="546"/>
      <c r="J65" s="119"/>
      <c r="K65" s="120"/>
    </row>
    <row r="66" spans="1:11" s="118" customFormat="1" ht="28.75" customHeight="1" thickBot="1">
      <c r="A66" s="482">
        <v>3</v>
      </c>
      <c r="B66" s="529" t="s">
        <v>932</v>
      </c>
      <c r="C66" s="530"/>
      <c r="D66" s="530"/>
      <c r="E66" s="530"/>
      <c r="F66" s="530"/>
      <c r="G66" s="530"/>
      <c r="H66" s="531"/>
      <c r="J66" s="119"/>
      <c r="K66" s="120"/>
    </row>
    <row r="67" spans="1:11" s="118" customFormat="1" ht="28.75" customHeight="1" thickBot="1">
      <c r="A67" s="482">
        <f>A66+0.1</f>
        <v>3.1</v>
      </c>
      <c r="B67" s="532" t="s">
        <v>933</v>
      </c>
      <c r="C67" s="533"/>
      <c r="D67" s="533"/>
      <c r="E67" s="533"/>
      <c r="F67" s="533"/>
      <c r="G67" s="533"/>
      <c r="H67" s="534"/>
      <c r="J67" s="119"/>
      <c r="K67" s="120"/>
    </row>
    <row r="68" spans="1:11" s="118" customFormat="1" ht="28.75" customHeight="1" thickBot="1">
      <c r="A68" s="482">
        <f t="shared" ref="A68:A69" si="1">A67+0.1</f>
        <v>3.2</v>
      </c>
      <c r="B68" s="532" t="s">
        <v>934</v>
      </c>
      <c r="C68" s="533"/>
      <c r="D68" s="533"/>
      <c r="E68" s="533"/>
      <c r="F68" s="533"/>
      <c r="G68" s="533"/>
      <c r="H68" s="534"/>
      <c r="J68" s="119"/>
      <c r="K68" s="120"/>
    </row>
    <row r="69" spans="1:11" s="118" customFormat="1" ht="28.75" customHeight="1" thickBot="1">
      <c r="A69" s="482">
        <f t="shared" si="1"/>
        <v>3.3000000000000003</v>
      </c>
      <c r="B69" s="535" t="s">
        <v>935</v>
      </c>
      <c r="C69" s="536"/>
      <c r="D69" s="536"/>
      <c r="E69" s="536"/>
      <c r="F69" s="536"/>
      <c r="G69" s="536"/>
      <c r="H69" s="537"/>
      <c r="J69" s="119"/>
      <c r="K69" s="120"/>
    </row>
    <row r="70" spans="1:11" s="118" customFormat="1" ht="19" customHeight="1">
      <c r="A70" s="559" t="s">
        <v>919</v>
      </c>
      <c r="B70" s="559"/>
      <c r="C70" s="559"/>
      <c r="D70" s="559"/>
      <c r="E70" s="559"/>
      <c r="F70" s="559"/>
      <c r="G70" s="559"/>
      <c r="H70" s="559"/>
      <c r="J70" s="119"/>
      <c r="K70" s="120"/>
    </row>
    <row r="71" spans="1:11" s="118" customFormat="1" ht="19" customHeight="1">
      <c r="A71" s="560"/>
      <c r="B71" s="560"/>
      <c r="C71" s="560"/>
      <c r="D71" s="560"/>
      <c r="E71" s="560"/>
      <c r="F71" s="560"/>
      <c r="G71" s="560"/>
      <c r="H71" s="560"/>
      <c r="J71" s="119"/>
      <c r="K71" s="120"/>
    </row>
    <row r="72" spans="1:11" s="118" customFormat="1" ht="19" customHeight="1" thickBot="1">
      <c r="A72" s="561"/>
      <c r="B72" s="561"/>
      <c r="C72" s="561"/>
      <c r="D72" s="561"/>
      <c r="E72" s="561"/>
      <c r="F72" s="561"/>
      <c r="G72" s="561"/>
      <c r="H72" s="561"/>
      <c r="J72" s="119"/>
      <c r="K72" s="120"/>
    </row>
    <row r="73" spans="1:11" s="118" customFormat="1" ht="19" customHeight="1" thickBot="1">
      <c r="A73" s="121" t="s">
        <v>13</v>
      </c>
      <c r="B73" s="627" t="s">
        <v>14</v>
      </c>
      <c r="C73" s="628"/>
      <c r="D73" s="629"/>
      <c r="E73" s="478" t="s">
        <v>15</v>
      </c>
      <c r="F73" s="478" t="s">
        <v>16</v>
      </c>
      <c r="G73" s="439" t="s">
        <v>17</v>
      </c>
      <c r="H73" s="182" t="s">
        <v>18</v>
      </c>
      <c r="J73" s="119"/>
      <c r="K73" s="120"/>
    </row>
    <row r="74" spans="1:11" s="118" customFormat="1" ht="25.5" customHeight="1">
      <c r="A74" s="473">
        <f>'3. DESGLOSE DE MATERIALES'!B6</f>
        <v>1</v>
      </c>
      <c r="B74" s="550" t="str">
        <f>'3. DESGLOSE DE MATERIALES'!C6</f>
        <v xml:space="preserve">CUADRO 220V 3F+N+T IP55 INTEGRADO </v>
      </c>
      <c r="C74" s="551"/>
      <c r="D74" s="551"/>
      <c r="E74" s="551"/>
      <c r="F74" s="551"/>
      <c r="G74" s="552"/>
      <c r="H74" s="305">
        <f>'3. DESGLOSE DE MATERIALES'!U6</f>
        <v>4094.3524695652177</v>
      </c>
      <c r="J74" s="119"/>
      <c r="K74" s="120"/>
    </row>
    <row r="75" spans="1:11" s="118" customFormat="1" ht="28.5" customHeight="1">
      <c r="A75" s="280">
        <f>'3. DESGLOSE DE MATERIALES'!B7</f>
        <v>1.01</v>
      </c>
      <c r="B75" s="547" t="str">
        <f>'3. DESGLOSE DE MATERIALES'!G7</f>
        <v>CUADRO PARA 3 BOMBAS 10HP (7.5KW) 220V 3F+N+T IP55 INTEGRADO</v>
      </c>
      <c r="C75" s="548"/>
      <c r="D75" s="549"/>
      <c r="E75" s="446" t="str">
        <f>'3. DESGLOSE DE MATERIALES'!K7</f>
        <v>UND</v>
      </c>
      <c r="F75" s="446">
        <f>'3. DESGLOSE DE MATERIALES'!L7</f>
        <v>1</v>
      </c>
      <c r="G75" s="447">
        <f>'3. DESGLOSE DE MATERIALES'!T7</f>
        <v>0</v>
      </c>
      <c r="H75" s="448">
        <f t="shared" ref="H75" si="2">G75*F75</f>
        <v>0</v>
      </c>
      <c r="J75" s="119"/>
      <c r="K75" s="120"/>
    </row>
    <row r="76" spans="1:11" s="118" customFormat="1" ht="19.5" customHeight="1">
      <c r="A76" s="280">
        <f>'3. DESGLOSE DE MATERIALES'!B8</f>
        <v>1.02</v>
      </c>
      <c r="B76" s="547" t="str">
        <f>'3. DESGLOSE DE MATERIALES'!G8</f>
        <v>ARMARIO POLIESTER 1056X852X350MM IP-66 SCHNEIDER</v>
      </c>
      <c r="C76" s="548"/>
      <c r="D76" s="549"/>
      <c r="E76" s="446" t="str">
        <f>'3. DESGLOSE DE MATERIALES'!K8</f>
        <v>UND</v>
      </c>
      <c r="F76" s="446">
        <f>'3. DESGLOSE DE MATERIALES'!L8</f>
        <v>1</v>
      </c>
      <c r="G76" s="447">
        <f>'3. DESGLOSE DE MATERIALES'!T8</f>
        <v>0</v>
      </c>
      <c r="H76" s="448">
        <f t="shared" ref="H76:H82" si="3">G76*F76</f>
        <v>0</v>
      </c>
      <c r="J76" s="119"/>
      <c r="K76" s="120"/>
    </row>
    <row r="77" spans="1:11" s="118" customFormat="1" ht="19.5" customHeight="1">
      <c r="A77" s="280">
        <f>'3. DESGLOSE DE MATERIALES'!B9</f>
        <v>1.03</v>
      </c>
      <c r="B77" s="547" t="str">
        <f>'3. DESGLOSE DE MATERIALES'!G9</f>
        <v>PLACA MONTAJE METALICA 1000X800MM SCHNEIDER</v>
      </c>
      <c r="C77" s="548"/>
      <c r="D77" s="549"/>
      <c r="E77" s="446" t="str">
        <f>'3. DESGLOSE DE MATERIALES'!K9</f>
        <v>UND</v>
      </c>
      <c r="F77" s="446">
        <f>'3. DESGLOSE DE MATERIALES'!L9</f>
        <v>1</v>
      </c>
      <c r="G77" s="447">
        <f>'3. DESGLOSE DE MATERIALES'!T9</f>
        <v>0</v>
      </c>
      <c r="H77" s="448">
        <f t="shared" si="3"/>
        <v>0</v>
      </c>
      <c r="J77" s="119"/>
      <c r="K77" s="120"/>
    </row>
    <row r="78" spans="1:11" s="118" customFormat="1" ht="19.5" customHeight="1">
      <c r="A78" s="280">
        <f>'3. DESGLOSE DE MATERIALES'!B10</f>
        <v>1.04</v>
      </c>
      <c r="B78" s="547" t="str">
        <f>'3. DESGLOSE DE MATERIALES'!G10</f>
        <v>INT. MOD. SCHNEIDER C120N 100A/4P</v>
      </c>
      <c r="C78" s="548"/>
      <c r="D78" s="549"/>
      <c r="E78" s="446" t="str">
        <f>'3. DESGLOSE DE MATERIALES'!K10</f>
        <v>UND</v>
      </c>
      <c r="F78" s="446">
        <f>'3. DESGLOSE DE MATERIALES'!L10</f>
        <v>1</v>
      </c>
      <c r="G78" s="447">
        <f>'3. DESGLOSE DE MATERIALES'!T10</f>
        <v>0</v>
      </c>
      <c r="H78" s="448">
        <f t="shared" si="3"/>
        <v>0</v>
      </c>
      <c r="J78" s="119"/>
      <c r="K78" s="120"/>
    </row>
    <row r="79" spans="1:11" s="118" customFormat="1" ht="19.5" customHeight="1">
      <c r="A79" s="280">
        <f>'3. DESGLOSE DE MATERIALES'!B11</f>
        <v>1.05</v>
      </c>
      <c r="B79" s="547" t="str">
        <f>'3. DESGLOSE DE MATERIALES'!G11</f>
        <v>INT. MOD. SCHNEIDER 16AMP 2 POLO 6KA EASY9</v>
      </c>
      <c r="C79" s="548"/>
      <c r="D79" s="549"/>
      <c r="E79" s="446" t="str">
        <f>'3. DESGLOSE DE MATERIALES'!K11</f>
        <v>UND</v>
      </c>
      <c r="F79" s="446">
        <f>'3. DESGLOSE DE MATERIALES'!L11</f>
        <v>1</v>
      </c>
      <c r="G79" s="447">
        <f>'3. DESGLOSE DE MATERIALES'!T11</f>
        <v>0</v>
      </c>
      <c r="H79" s="448">
        <f t="shared" si="3"/>
        <v>0</v>
      </c>
      <c r="J79" s="119"/>
      <c r="K79" s="120"/>
    </row>
    <row r="80" spans="1:11" s="118" customFormat="1" ht="19.5" customHeight="1">
      <c r="A80" s="280">
        <f>'3. DESGLOSE DE MATERIALES'!B12</f>
        <v>1.06</v>
      </c>
      <c r="B80" s="547" t="str">
        <f>'3. DESGLOSE DE MATERIALES'!G12</f>
        <v xml:space="preserve">GUARDAMOTOR SCHNEIDER 24-32A </v>
      </c>
      <c r="C80" s="548"/>
      <c r="D80" s="549"/>
      <c r="E80" s="446" t="str">
        <f>'3. DESGLOSE DE MATERIALES'!K12</f>
        <v>UND</v>
      </c>
      <c r="F80" s="446">
        <f>'3. DESGLOSE DE MATERIALES'!L12</f>
        <v>3</v>
      </c>
      <c r="G80" s="447">
        <f>'3. DESGLOSE DE MATERIALES'!T12</f>
        <v>0</v>
      </c>
      <c r="H80" s="448">
        <f t="shared" si="3"/>
        <v>0</v>
      </c>
      <c r="J80" s="119"/>
      <c r="K80" s="120"/>
    </row>
    <row r="81" spans="1:11" s="118" customFormat="1" ht="19.5" customHeight="1">
      <c r="A81" s="280">
        <f>'3. DESGLOSE DE MATERIALES'!B13</f>
        <v>1.07</v>
      </c>
      <c r="B81" s="547" t="str">
        <f>'3. DESGLOSE DE MATERIALES'!G13</f>
        <v>CONTACTO AUX NA/NC FRONTAL P/GUARDAMOTOR SCHNEIDER</v>
      </c>
      <c r="C81" s="548"/>
      <c r="D81" s="549"/>
      <c r="E81" s="446" t="str">
        <f>'3. DESGLOSE DE MATERIALES'!K13</f>
        <v>UND</v>
      </c>
      <c r="F81" s="446">
        <f>'3. DESGLOSE DE MATERIALES'!L13</f>
        <v>3</v>
      </c>
      <c r="G81" s="447">
        <f>'3. DESGLOSE DE MATERIALES'!T13</f>
        <v>0</v>
      </c>
      <c r="H81" s="448">
        <f t="shared" si="3"/>
        <v>0</v>
      </c>
      <c r="J81" s="119"/>
      <c r="K81" s="120"/>
    </row>
    <row r="82" spans="1:11" s="118" customFormat="1" ht="19.5" customHeight="1">
      <c r="A82" s="280">
        <f>'3. DESGLOSE DE MATERIALES'!B14</f>
        <v>1.08</v>
      </c>
      <c r="B82" s="547" t="str">
        <f>'3. DESGLOSE DE MATERIALES'!G14</f>
        <v>CONTACTOR SCHNEIDER 32A BOBINA 220V, 50AMP ITH</v>
      </c>
      <c r="C82" s="548"/>
      <c r="D82" s="549"/>
      <c r="E82" s="446" t="str">
        <f>'3. DESGLOSE DE MATERIALES'!K14</f>
        <v>UND</v>
      </c>
      <c r="F82" s="446">
        <f>'3. DESGLOSE DE MATERIALES'!L14</f>
        <v>3</v>
      </c>
      <c r="G82" s="447">
        <f>'3. DESGLOSE DE MATERIALES'!T14</f>
        <v>0</v>
      </c>
      <c r="H82" s="448">
        <f t="shared" si="3"/>
        <v>0</v>
      </c>
      <c r="J82" s="119"/>
      <c r="K82" s="120"/>
    </row>
    <row r="83" spans="1:11" s="118" customFormat="1" ht="19.5" customHeight="1">
      <c r="A83" s="280">
        <f>'3. DESGLOSE DE MATERIALES'!B15</f>
        <v>1.0900000000000001</v>
      </c>
      <c r="B83" s="547" t="str">
        <f>'3. DESGLOSE DE MATERIALES'!G15</f>
        <v>ARRANCADOR SUAVE SCHNEIDER 7.5KW 220V</v>
      </c>
      <c r="C83" s="548"/>
      <c r="D83" s="549"/>
      <c r="E83" s="446" t="str">
        <f>'3. DESGLOSE DE MATERIALES'!K15</f>
        <v>UND</v>
      </c>
      <c r="F83" s="446">
        <f>'3. DESGLOSE DE MATERIALES'!L15</f>
        <v>3</v>
      </c>
      <c r="G83" s="447">
        <f>'3. DESGLOSE DE MATERIALES'!T15</f>
        <v>0</v>
      </c>
      <c r="H83" s="448">
        <f t="shared" ref="H83:H89" si="4">G83*F83</f>
        <v>0</v>
      </c>
      <c r="J83" s="119"/>
      <c r="K83" s="120"/>
    </row>
    <row r="84" spans="1:11" s="118" customFormat="1" ht="19.5" customHeight="1">
      <c r="A84" s="280">
        <f>'3. DESGLOSE DE MATERIALES'!B16</f>
        <v>1.1000000000000001</v>
      </c>
      <c r="B84" s="547" t="str">
        <f>'3. DESGLOSE DE MATERIALES'!G16</f>
        <v>EXTRACTOR 4" 220V "120x120" (FAN)</v>
      </c>
      <c r="C84" s="548"/>
      <c r="D84" s="549"/>
      <c r="E84" s="446" t="str">
        <f>'3. DESGLOSE DE MATERIALES'!K16</f>
        <v>UND</v>
      </c>
      <c r="F84" s="446">
        <f>'3. DESGLOSE DE MATERIALES'!L16</f>
        <v>1</v>
      </c>
      <c r="G84" s="447">
        <f>'3. DESGLOSE DE MATERIALES'!T16</f>
        <v>0</v>
      </c>
      <c r="H84" s="448">
        <f t="shared" si="4"/>
        <v>0</v>
      </c>
      <c r="J84" s="119"/>
      <c r="K84" s="120"/>
    </row>
    <row r="85" spans="1:11" s="118" customFormat="1" ht="19.5" customHeight="1">
      <c r="A85" s="280">
        <f>'3. DESGLOSE DE MATERIALES'!B17</f>
        <v>1.1100000000000001</v>
      </c>
      <c r="B85" s="547" t="str">
        <f>'3. DESGLOSE DE MATERIALES'!G17</f>
        <v>REJILLA PLASTICA PARA ABANICO</v>
      </c>
      <c r="C85" s="548"/>
      <c r="D85" s="549"/>
      <c r="E85" s="446" t="str">
        <f>'3. DESGLOSE DE MATERIALES'!K17</f>
        <v>UND</v>
      </c>
      <c r="F85" s="446">
        <f>'3. DESGLOSE DE MATERIALES'!L17</f>
        <v>2</v>
      </c>
      <c r="G85" s="447">
        <f>'3. DESGLOSE DE MATERIALES'!T17</f>
        <v>0</v>
      </c>
      <c r="H85" s="448">
        <f t="shared" si="4"/>
        <v>0</v>
      </c>
      <c r="J85" s="119"/>
      <c r="K85" s="120"/>
    </row>
    <row r="86" spans="1:11" s="118" customFormat="1" ht="19.5" customHeight="1">
      <c r="A86" s="280">
        <f>'3. DESGLOSE DE MATERIALES'!B18</f>
        <v>1.1200000000000001</v>
      </c>
      <c r="B86" s="547" t="str">
        <f>'3. DESGLOSE DE MATERIALES'!G18</f>
        <v>REJILLA PROCTECTORA PARA FAN DE 4"</v>
      </c>
      <c r="C86" s="548"/>
      <c r="D86" s="549"/>
      <c r="E86" s="446" t="str">
        <f>'3. DESGLOSE DE MATERIALES'!K18</f>
        <v>UND</v>
      </c>
      <c r="F86" s="446">
        <f>'3. DESGLOSE DE MATERIALES'!L18</f>
        <v>1</v>
      </c>
      <c r="G86" s="447">
        <f>'3. DESGLOSE DE MATERIALES'!T18</f>
        <v>0</v>
      </c>
      <c r="H86" s="448">
        <f t="shared" si="4"/>
        <v>0</v>
      </c>
      <c r="J86" s="119"/>
      <c r="K86" s="120"/>
    </row>
    <row r="87" spans="1:11" s="118" customFormat="1" ht="19.5" customHeight="1">
      <c r="A87" s="280">
        <f>'3. DESGLOSE DE MATERIALES'!B19</f>
        <v>1.1300000000000001</v>
      </c>
      <c r="B87" s="547" t="str">
        <f>'3. DESGLOSE DE MATERIALES'!G19</f>
        <v>SELECTOR 2 POSICIONES SCHNEIDER</v>
      </c>
      <c r="C87" s="548"/>
      <c r="D87" s="549"/>
      <c r="E87" s="446" t="str">
        <f>'3. DESGLOSE DE MATERIALES'!K19</f>
        <v>UND</v>
      </c>
      <c r="F87" s="446">
        <f>'3. DESGLOSE DE MATERIALES'!L19</f>
        <v>4</v>
      </c>
      <c r="G87" s="447">
        <f>'3. DESGLOSE DE MATERIALES'!T19</f>
        <v>0</v>
      </c>
      <c r="H87" s="448">
        <f t="shared" si="4"/>
        <v>0</v>
      </c>
      <c r="J87" s="119"/>
      <c r="K87" s="120"/>
    </row>
    <row r="88" spans="1:11" s="118" customFormat="1" ht="19.5" customHeight="1">
      <c r="A88" s="280">
        <f>'3. DESGLOSE DE MATERIALES'!B20</f>
        <v>1.1400000000000001</v>
      </c>
      <c r="B88" s="547" t="str">
        <f>'3. DESGLOSE DE MATERIALES'!G20</f>
        <v>SELECTOR 3 POSICIONES SCHNEIDER</v>
      </c>
      <c r="C88" s="548"/>
      <c r="D88" s="549"/>
      <c r="E88" s="446" t="str">
        <f>'3. DESGLOSE DE MATERIALES'!K20</f>
        <v>UND</v>
      </c>
      <c r="F88" s="446">
        <f>'3. DESGLOSE DE MATERIALES'!L20</f>
        <v>3</v>
      </c>
      <c r="G88" s="447">
        <f>'3. DESGLOSE DE MATERIALES'!T20</f>
        <v>0</v>
      </c>
      <c r="H88" s="448">
        <f t="shared" si="4"/>
        <v>0</v>
      </c>
      <c r="J88" s="119"/>
      <c r="K88" s="120"/>
    </row>
    <row r="89" spans="1:11" s="118" customFormat="1" ht="19.5" customHeight="1">
      <c r="A89" s="280">
        <f>'3. DESGLOSE DE MATERIALES'!B21</f>
        <v>1.1500000000000001</v>
      </c>
      <c r="B89" s="547" t="str">
        <f>'3. DESGLOSE DE MATERIALES'!G21</f>
        <v>PILOTO SCHNEIDER DE LED COLOR VERDE 230V</v>
      </c>
      <c r="C89" s="548"/>
      <c r="D89" s="549"/>
      <c r="E89" s="446" t="str">
        <f>'3. DESGLOSE DE MATERIALES'!K21</f>
        <v>UND</v>
      </c>
      <c r="F89" s="446">
        <f>'3. DESGLOSE DE MATERIALES'!L21</f>
        <v>3</v>
      </c>
      <c r="G89" s="447">
        <f>'3. DESGLOSE DE MATERIALES'!T21</f>
        <v>0</v>
      </c>
      <c r="H89" s="448">
        <f t="shared" si="4"/>
        <v>0</v>
      </c>
      <c r="J89" s="119"/>
      <c r="K89" s="120"/>
    </row>
    <row r="90" spans="1:11" s="118" customFormat="1" ht="19.5" customHeight="1">
      <c r="A90" s="280">
        <f>'3. DESGLOSE DE MATERIALES'!B22</f>
        <v>1.1600000000000001</v>
      </c>
      <c r="B90" s="547" t="str">
        <f>'3. DESGLOSE DE MATERIALES'!G22</f>
        <v>LUZ PILOTO 230V COLOR ROJO SCHNEIDER</v>
      </c>
      <c r="C90" s="548"/>
      <c r="D90" s="549"/>
      <c r="E90" s="446" t="str">
        <f>'3. DESGLOSE DE MATERIALES'!K22</f>
        <v>UND</v>
      </c>
      <c r="F90" s="446">
        <f>'3. DESGLOSE DE MATERIALES'!L22</f>
        <v>3</v>
      </c>
      <c r="G90" s="447">
        <f>'3. DESGLOSE DE MATERIALES'!T22</f>
        <v>0</v>
      </c>
      <c r="H90" s="448">
        <f t="shared" ref="H90:H101" si="5">G90*F90</f>
        <v>0</v>
      </c>
      <c r="J90" s="119"/>
      <c r="K90" s="120"/>
    </row>
    <row r="91" spans="1:11" s="118" customFormat="1" ht="19.5" customHeight="1">
      <c r="A91" s="280">
        <f>'3. DESGLOSE DE MATERIALES'!B23</f>
        <v>1.1700000000000002</v>
      </c>
      <c r="B91" s="547" t="str">
        <f>'3. DESGLOSE DE MATERIALES'!G23</f>
        <v>PILOTO SCHNEIDER DE LED COLOR AMARILLO 230V</v>
      </c>
      <c r="C91" s="548"/>
      <c r="D91" s="549"/>
      <c r="E91" s="446" t="str">
        <f>'3. DESGLOSE DE MATERIALES'!K23</f>
        <v>UND</v>
      </c>
      <c r="F91" s="446">
        <f>'3. DESGLOSE DE MATERIALES'!L23</f>
        <v>1</v>
      </c>
      <c r="G91" s="447">
        <f>'3. DESGLOSE DE MATERIALES'!T23</f>
        <v>0</v>
      </c>
      <c r="H91" s="448">
        <f t="shared" si="5"/>
        <v>0</v>
      </c>
      <c r="J91" s="119"/>
      <c r="K91" s="120"/>
    </row>
    <row r="92" spans="1:11" s="118" customFormat="1" ht="28.5" customHeight="1">
      <c r="A92" s="280">
        <f>'3. DESGLOSE DE MATERIALES'!B24</f>
        <v>1.1800000000000002</v>
      </c>
      <c r="B92" s="547" t="str">
        <f>'3. DESGLOSE DE MATERIALES'!G24</f>
        <v>BOTON PULSADOR PARADA DE EMERGENCIA D40 TTR-S/E, MARCA SCHNEIDER</v>
      </c>
      <c r="C92" s="548"/>
      <c r="D92" s="549"/>
      <c r="E92" s="446" t="str">
        <f>'3. DESGLOSE DE MATERIALES'!K24</f>
        <v>UND</v>
      </c>
      <c r="F92" s="446">
        <f>'3. DESGLOSE DE MATERIALES'!L24</f>
        <v>1</v>
      </c>
      <c r="G92" s="447">
        <f>'3. DESGLOSE DE MATERIALES'!T24</f>
        <v>0</v>
      </c>
      <c r="H92" s="448">
        <f t="shared" si="5"/>
        <v>0</v>
      </c>
      <c r="J92" s="119"/>
      <c r="K92" s="120"/>
    </row>
    <row r="93" spans="1:11" s="118" customFormat="1" ht="27" customHeight="1">
      <c r="A93" s="280">
        <f>'3. DESGLOSE DE MATERIALES'!B25</f>
        <v>1.1900000000000002</v>
      </c>
      <c r="B93" s="547" t="str">
        <f>'3. DESGLOSE DE MATERIALES'!G25</f>
        <v>RELE SOBRE Y SUB TENSION 3F 220/480V TEMPORIZADO SCHNEIDER</v>
      </c>
      <c r="C93" s="548"/>
      <c r="D93" s="549"/>
      <c r="E93" s="446" t="str">
        <f>'3. DESGLOSE DE MATERIALES'!K25</f>
        <v>UND</v>
      </c>
      <c r="F93" s="446">
        <f>'3. DESGLOSE DE MATERIALES'!L25</f>
        <v>1</v>
      </c>
      <c r="G93" s="447">
        <f>'3. DESGLOSE DE MATERIALES'!T25</f>
        <v>0</v>
      </c>
      <c r="H93" s="448">
        <f t="shared" si="5"/>
        <v>0</v>
      </c>
      <c r="J93" s="119"/>
      <c r="K93" s="120"/>
    </row>
    <row r="94" spans="1:11" s="118" customFormat="1" ht="19.5" customHeight="1">
      <c r="A94" s="280">
        <f>'3. DESGLOSE DE MATERIALES'!B26</f>
        <v>1.2000000000000002</v>
      </c>
      <c r="B94" s="547" t="str">
        <f>'3. DESGLOSE DE MATERIALES'!G26</f>
        <v xml:space="preserve">BORNERA DE CONEXION 2.5MM COLOR GRIS </v>
      </c>
      <c r="C94" s="548"/>
      <c r="D94" s="549"/>
      <c r="E94" s="446" t="str">
        <f>'3. DESGLOSE DE MATERIALES'!K26</f>
        <v>UND</v>
      </c>
      <c r="F94" s="446">
        <f>'3. DESGLOSE DE MATERIALES'!L26</f>
        <v>6</v>
      </c>
      <c r="G94" s="447">
        <f>'3. DESGLOSE DE MATERIALES'!T26</f>
        <v>0</v>
      </c>
      <c r="H94" s="448">
        <f t="shared" si="5"/>
        <v>0</v>
      </c>
      <c r="J94" s="119"/>
      <c r="K94" s="120"/>
    </row>
    <row r="95" spans="1:11" s="118" customFormat="1" ht="19.5" customHeight="1">
      <c r="A95" s="280">
        <f>'3. DESGLOSE DE MATERIALES'!B27</f>
        <v>1.2100000000000002</v>
      </c>
      <c r="B95" s="547" t="str">
        <f>'3. DESGLOSE DE MATERIALES'!G27</f>
        <v xml:space="preserve">BORNERA DE CONEXION 6MM COLOR GRIS </v>
      </c>
      <c r="C95" s="548"/>
      <c r="D95" s="549"/>
      <c r="E95" s="446" t="str">
        <f>'3. DESGLOSE DE MATERIALES'!K27</f>
        <v>UND</v>
      </c>
      <c r="F95" s="446">
        <f>'3. DESGLOSE DE MATERIALES'!L27</f>
        <v>9</v>
      </c>
      <c r="G95" s="447">
        <f>'3. DESGLOSE DE MATERIALES'!T27</f>
        <v>0</v>
      </c>
      <c r="H95" s="448">
        <f t="shared" si="5"/>
        <v>0</v>
      </c>
      <c r="J95" s="119"/>
      <c r="K95" s="120"/>
    </row>
    <row r="96" spans="1:11" s="118" customFormat="1" ht="19.5" customHeight="1">
      <c r="A96" s="280">
        <f>'3. DESGLOSE DE MATERIALES'!B28</f>
        <v>1.2200000000000002</v>
      </c>
      <c r="B96" s="547" t="str">
        <f>'3. DESGLOSE DE MATERIALES'!G28</f>
        <v xml:space="preserve">BORNERA DE CONEXION 35MM COLOR GRIS </v>
      </c>
      <c r="C96" s="548"/>
      <c r="D96" s="549"/>
      <c r="E96" s="446" t="str">
        <f>'3. DESGLOSE DE MATERIALES'!K28</f>
        <v>UND</v>
      </c>
      <c r="F96" s="446">
        <f>'3. DESGLOSE DE MATERIALES'!L28</f>
        <v>4</v>
      </c>
      <c r="G96" s="447">
        <f>'3. DESGLOSE DE MATERIALES'!T28</f>
        <v>0</v>
      </c>
      <c r="H96" s="448">
        <f t="shared" si="5"/>
        <v>0</v>
      </c>
      <c r="J96" s="119"/>
      <c r="K96" s="120"/>
    </row>
    <row r="97" spans="1:11" s="118" customFormat="1" ht="19.5" customHeight="1">
      <c r="A97" s="280">
        <f>'3. DESGLOSE DE MATERIALES'!B29</f>
        <v>1.2300000000000002</v>
      </c>
      <c r="B97" s="547" t="str">
        <f>'3. DESGLOSE DE MATERIALES'!G29</f>
        <v>ACCESORIO ELEVADOR EN ANGULO PARA RIEL DIN</v>
      </c>
      <c r="C97" s="548"/>
      <c r="D97" s="549"/>
      <c r="E97" s="446" t="str">
        <f>'3. DESGLOSE DE MATERIALES'!K29</f>
        <v>UND</v>
      </c>
      <c r="F97" s="446">
        <f>'3. DESGLOSE DE MATERIALES'!L29</f>
        <v>2</v>
      </c>
      <c r="G97" s="447">
        <f>'3. DESGLOSE DE MATERIALES'!T29</f>
        <v>0</v>
      </c>
      <c r="H97" s="448">
        <f t="shared" si="5"/>
        <v>0</v>
      </c>
      <c r="J97" s="119"/>
      <c r="K97" s="120"/>
    </row>
    <row r="98" spans="1:11" s="118" customFormat="1" ht="19.5" customHeight="1">
      <c r="A98" s="280">
        <f>'3. DESGLOSE DE MATERIALES'!B30</f>
        <v>1.2400000000000002</v>
      </c>
      <c r="B98" s="547" t="str">
        <f>'3. DESGLOSE DE MATERIALES'!G30</f>
        <v>CANAL DE 60 ANCHO POR 60 ALTO GRIS 6 PIES</v>
      </c>
      <c r="C98" s="548"/>
      <c r="D98" s="549"/>
      <c r="E98" s="446" t="str">
        <f>'3. DESGLOSE DE MATERIALES'!K30</f>
        <v>UND</v>
      </c>
      <c r="F98" s="446">
        <f>'3. DESGLOSE DE MATERIALES'!L30</f>
        <v>2</v>
      </c>
      <c r="G98" s="447">
        <f>'3. DESGLOSE DE MATERIALES'!T30</f>
        <v>0</v>
      </c>
      <c r="H98" s="448">
        <f t="shared" si="5"/>
        <v>0</v>
      </c>
      <c r="J98" s="119"/>
      <c r="K98" s="120"/>
    </row>
    <row r="99" spans="1:11" s="118" customFormat="1" ht="19.5" customHeight="1">
      <c r="A99" s="280">
        <f>'3. DESGLOSE DE MATERIALES'!B31</f>
        <v>1.2500000000000002</v>
      </c>
      <c r="B99" s="547" t="str">
        <f>'3. DESGLOSE DE MATERIALES'!G31</f>
        <v>PERFIL, RIEL DIN PERFORADO DORADO</v>
      </c>
      <c r="C99" s="548"/>
      <c r="D99" s="549"/>
      <c r="E99" s="446" t="str">
        <f>'3. DESGLOSE DE MATERIALES'!K31</f>
        <v>UND</v>
      </c>
      <c r="F99" s="446">
        <f>'3. DESGLOSE DE MATERIALES'!L31</f>
        <v>5</v>
      </c>
      <c r="G99" s="447">
        <f>'3. DESGLOSE DE MATERIALES'!T31</f>
        <v>0</v>
      </c>
      <c r="H99" s="448">
        <f t="shared" si="5"/>
        <v>0</v>
      </c>
      <c r="J99" s="119"/>
      <c r="K99" s="120"/>
    </row>
    <row r="100" spans="1:11" s="118" customFormat="1" ht="19.5" customHeight="1">
      <c r="A100" s="473">
        <f>'3. DESGLOSE DE MATERIALES'!B32</f>
        <v>1.2600000000000002</v>
      </c>
      <c r="B100" s="547" t="str">
        <f>'3. DESGLOSE DE MATERIALES'!G32</f>
        <v>INSUMOS ENSAMBLE ( CABLE, TERMINALES, ETC )</v>
      </c>
      <c r="C100" s="548"/>
      <c r="D100" s="549"/>
      <c r="E100" s="450" t="str">
        <f>'3. DESGLOSE DE MATERIALES'!K32</f>
        <v>UND</v>
      </c>
      <c r="F100" s="450">
        <f>'3. DESGLOSE DE MATERIALES'!L32</f>
        <v>1</v>
      </c>
      <c r="G100" s="451">
        <f>'3. DESGLOSE DE MATERIALES'!T32</f>
        <v>0</v>
      </c>
      <c r="H100" s="449">
        <f t="shared" si="5"/>
        <v>0</v>
      </c>
      <c r="J100" s="119"/>
      <c r="K100" s="120"/>
    </row>
    <row r="101" spans="1:11" s="118" customFormat="1" ht="19.5" customHeight="1">
      <c r="A101" s="473">
        <f>'3. DESGLOSE DE MATERIALES'!B33</f>
        <v>1.2700000000000002</v>
      </c>
      <c r="B101" s="547" t="str">
        <f>'3. DESGLOSE DE MATERIALES'!G33</f>
        <v>MANO DE OBRA PANEL STANDAR</v>
      </c>
      <c r="C101" s="548"/>
      <c r="D101" s="549"/>
      <c r="E101" s="450" t="str">
        <f>'3. DESGLOSE DE MATERIALES'!K33</f>
        <v>UND</v>
      </c>
      <c r="F101" s="450">
        <f>'3. DESGLOSE DE MATERIALES'!L33</f>
        <v>1</v>
      </c>
      <c r="G101" s="451">
        <f>'3. DESGLOSE DE MATERIALES'!T33</f>
        <v>0</v>
      </c>
      <c r="H101" s="449">
        <f t="shared" si="5"/>
        <v>0</v>
      </c>
      <c r="J101" s="119"/>
      <c r="K101" s="120"/>
    </row>
    <row r="102" spans="1:11" s="118" customFormat="1" ht="28.75" customHeight="1">
      <c r="A102" s="280">
        <f>'3. DESGLOSE DE MATERIALES'!B34</f>
        <v>2</v>
      </c>
      <c r="B102" s="538" t="str">
        <f>'3. DESGLOSE DE MATERIALES'!C34</f>
        <v xml:space="preserve">MATERIALES ELECTRICOS </v>
      </c>
      <c r="C102" s="539"/>
      <c r="D102" s="539"/>
      <c r="E102" s="539"/>
      <c r="F102" s="539"/>
      <c r="G102" s="540"/>
      <c r="H102" s="305">
        <f>SUM(H103:H130)</f>
        <v>821.05891304347824</v>
      </c>
      <c r="J102" s="119"/>
      <c r="K102" s="120"/>
    </row>
    <row r="103" spans="1:11" s="118" customFormat="1" ht="19.5" customHeight="1">
      <c r="A103" s="280">
        <f>'3. DESGLOSE DE MATERIALES'!B35</f>
        <v>2.0099999999999998</v>
      </c>
      <c r="B103" s="547" t="str">
        <f>'3. DESGLOSE DE MATERIALES'!G35</f>
        <v>Tuberia Liquidtight 2"</v>
      </c>
      <c r="C103" s="548"/>
      <c r="D103" s="549"/>
      <c r="E103" s="446" t="str">
        <f>'3. DESGLOSE DE MATERIALES'!K35</f>
        <v>PIE</v>
      </c>
      <c r="F103" s="446">
        <f>'3. DESGLOSE DE MATERIALES'!L35</f>
        <v>35</v>
      </c>
      <c r="G103" s="447">
        <f>'3. DESGLOSE DE MATERIALES'!T35</f>
        <v>3.1043478260869564</v>
      </c>
      <c r="H103" s="448">
        <f t="shared" ref="H103" si="6">G103*F103</f>
        <v>108.65217391304347</v>
      </c>
      <c r="J103" s="119"/>
      <c r="K103" s="120"/>
    </row>
    <row r="104" spans="1:11" s="118" customFormat="1" ht="19.5" customHeight="1">
      <c r="A104" s="280">
        <f>'3. DESGLOSE DE MATERIALES'!B36</f>
        <v>2.0199999999999996</v>
      </c>
      <c r="B104" s="547" t="str">
        <f>'3. DESGLOSE DE MATERIALES'!G36</f>
        <v>Conector Liquidtight Recto 2"</v>
      </c>
      <c r="C104" s="548"/>
      <c r="D104" s="549"/>
      <c r="E104" s="446" t="str">
        <f>'3. DESGLOSE DE MATERIALES'!K36</f>
        <v>UND</v>
      </c>
      <c r="F104" s="446">
        <f>'3. DESGLOSE DE MATERIALES'!L36</f>
        <v>2</v>
      </c>
      <c r="G104" s="447">
        <f>'3. DESGLOSE DE MATERIALES'!T36</f>
        <v>5.0664782608695651</v>
      </c>
      <c r="H104" s="448">
        <f t="shared" ref="H104:H115" si="7">G104*F104</f>
        <v>10.13295652173913</v>
      </c>
      <c r="J104" s="119"/>
      <c r="K104" s="120"/>
    </row>
    <row r="105" spans="1:11" s="118" customFormat="1" ht="19.5" customHeight="1">
      <c r="A105" s="473">
        <f>'3. DESGLOSE DE MATERIALES'!B37</f>
        <v>2.0299999999999994</v>
      </c>
      <c r="B105" s="547" t="str">
        <f>'3. DESGLOSE DE MATERIALES'!G37</f>
        <v>Conector Liquidtight Curvo 2"</v>
      </c>
      <c r="C105" s="548"/>
      <c r="D105" s="549"/>
      <c r="E105" s="450" t="str">
        <f>'3. DESGLOSE DE MATERIALES'!K37</f>
        <v>UND</v>
      </c>
      <c r="F105" s="450">
        <f>'3. DESGLOSE DE MATERIALES'!L37</f>
        <v>2</v>
      </c>
      <c r="G105" s="451">
        <f>'3. DESGLOSE DE MATERIALES'!T37</f>
        <v>5.084739130434782</v>
      </c>
      <c r="H105" s="449">
        <f t="shared" si="7"/>
        <v>10.169478260869564</v>
      </c>
      <c r="J105" s="119"/>
      <c r="K105" s="120"/>
    </row>
    <row r="106" spans="1:11" s="118" customFormat="1" ht="19.5" customHeight="1">
      <c r="A106" s="473">
        <f>'3. DESGLOSE DE MATERIALES'!B38</f>
        <v>2.0399999999999991</v>
      </c>
      <c r="B106" s="547" t="str">
        <f>'3. DESGLOSE DE MATERIALES'!G38</f>
        <v>Conductor 1/0 AWG THHN</v>
      </c>
      <c r="C106" s="548"/>
      <c r="D106" s="549"/>
      <c r="E106" s="450" t="str">
        <f>'3. DESGLOSE DE MATERIALES'!K38</f>
        <v>PIE</v>
      </c>
      <c r="F106" s="450">
        <f>'3. DESGLOSE DE MATERIALES'!L38</f>
        <v>140</v>
      </c>
      <c r="G106" s="451">
        <f>'3. DESGLOSE DE MATERIALES'!T38</f>
        <v>2.6843478260869564</v>
      </c>
      <c r="H106" s="449">
        <f t="shared" si="7"/>
        <v>375.80869565217392</v>
      </c>
      <c r="J106" s="119"/>
      <c r="K106" s="120"/>
    </row>
    <row r="107" spans="1:11" s="118" customFormat="1" ht="19.5" customHeight="1">
      <c r="A107" s="473">
        <f>'3. DESGLOSE DE MATERIALES'!B39</f>
        <v>2.0499999999999989</v>
      </c>
      <c r="B107" s="547" t="str">
        <f>'3. DESGLOSE DE MATERIALES'!G39</f>
        <v>Conductor 8 AWG THHN</v>
      </c>
      <c r="C107" s="548"/>
      <c r="D107" s="549"/>
      <c r="E107" s="450" t="str">
        <f>'3. DESGLOSE DE MATERIALES'!K39</f>
        <v>PIE</v>
      </c>
      <c r="F107" s="450">
        <f>'3. DESGLOSE DE MATERIALES'!L39</f>
        <v>35</v>
      </c>
      <c r="G107" s="451">
        <f>'3. DESGLOSE DE MATERIALES'!T39</f>
        <v>0.42127826086956521</v>
      </c>
      <c r="H107" s="449">
        <f t="shared" si="7"/>
        <v>14.744739130434782</v>
      </c>
      <c r="J107" s="119"/>
      <c r="K107" s="120"/>
    </row>
    <row r="108" spans="1:11" s="118" customFormat="1" ht="19.5" customHeight="1">
      <c r="A108" s="473">
        <f>'3. DESGLOSE DE MATERIALES'!B40</f>
        <v>2.0599999999999987</v>
      </c>
      <c r="B108" s="547" t="str">
        <f>'3. DESGLOSE DE MATERIALES'!G40</f>
        <v>Barra unistrup 3/4</v>
      </c>
      <c r="C108" s="548"/>
      <c r="D108" s="549"/>
      <c r="E108" s="450" t="str">
        <f>'3. DESGLOSE DE MATERIALES'!K40</f>
        <v>UND</v>
      </c>
      <c r="F108" s="450">
        <f>'3. DESGLOSE DE MATERIALES'!L40</f>
        <v>2</v>
      </c>
      <c r="G108" s="451">
        <f>'3. DESGLOSE DE MATERIALES'!T40</f>
        <v>6.3182608695652176</v>
      </c>
      <c r="H108" s="449">
        <f t="shared" si="7"/>
        <v>12.636521739130435</v>
      </c>
      <c r="J108" s="119"/>
      <c r="K108" s="120"/>
    </row>
    <row r="109" spans="1:11" s="118" customFormat="1" ht="19.5" customHeight="1">
      <c r="A109" s="473">
        <f>'3. DESGLOSE DE MATERIALES'!B41</f>
        <v>2.0699999999999985</v>
      </c>
      <c r="B109" s="547" t="str">
        <f>'3. DESGLOSE DE MATERIALES'!G41</f>
        <v>Abrazadera Strut 2"</v>
      </c>
      <c r="C109" s="548"/>
      <c r="D109" s="549"/>
      <c r="E109" s="450" t="str">
        <f>'3. DESGLOSE DE MATERIALES'!K41</f>
        <v>UND</v>
      </c>
      <c r="F109" s="450">
        <f>'3. DESGLOSE DE MATERIALES'!L41</f>
        <v>10</v>
      </c>
      <c r="G109" s="451">
        <f>'3. DESGLOSE DE MATERIALES'!T41</f>
        <v>0.95906086956521741</v>
      </c>
      <c r="H109" s="449">
        <f t="shared" si="7"/>
        <v>9.5906086956521737</v>
      </c>
      <c r="J109" s="119"/>
      <c r="K109" s="120"/>
    </row>
    <row r="110" spans="1:11" s="118" customFormat="1" ht="19.5" customHeight="1">
      <c r="A110" s="473">
        <f>'3. DESGLOSE DE MATERIALES'!B42</f>
        <v>2.0799999999999983</v>
      </c>
      <c r="B110" s="547" t="str">
        <f>'3. DESGLOSE DE MATERIALES'!G42</f>
        <v xml:space="preserve">Caja Reg. 16x16x4 PVC </v>
      </c>
      <c r="C110" s="548"/>
      <c r="D110" s="549"/>
      <c r="E110" s="450" t="str">
        <f>'3. DESGLOSE DE MATERIALES'!K42</f>
        <v>UND</v>
      </c>
      <c r="F110" s="450">
        <f>'3. DESGLOSE DE MATERIALES'!L42</f>
        <v>1</v>
      </c>
      <c r="G110" s="451">
        <f>'3. DESGLOSE DE MATERIALES'!T42</f>
        <v>17.34782608695652</v>
      </c>
      <c r="H110" s="449">
        <f t="shared" si="7"/>
        <v>17.34782608695652</v>
      </c>
      <c r="J110" s="119"/>
      <c r="K110" s="120"/>
    </row>
    <row r="111" spans="1:11" s="118" customFormat="1" ht="19.5" customHeight="1">
      <c r="A111" s="473">
        <f>'3. DESGLOSE DE MATERIALES'!B43</f>
        <v>2.0899999999999981</v>
      </c>
      <c r="B111" s="547" t="str">
        <f>'3. DESGLOSE DE MATERIALES'!G43</f>
        <v xml:space="preserve">Riel din </v>
      </c>
      <c r="C111" s="548"/>
      <c r="D111" s="549"/>
      <c r="E111" s="450" t="str">
        <f>'3. DESGLOSE DE MATERIALES'!K43</f>
        <v>UND</v>
      </c>
      <c r="F111" s="450">
        <f>'3. DESGLOSE DE MATERIALES'!L43</f>
        <v>1</v>
      </c>
      <c r="G111" s="451">
        <f>'3. DESGLOSE DE MATERIALES'!T43</f>
        <v>3.3782608695652177</v>
      </c>
      <c r="H111" s="449">
        <f t="shared" si="7"/>
        <v>3.3782608695652177</v>
      </c>
      <c r="J111" s="119"/>
      <c r="K111" s="120"/>
    </row>
    <row r="112" spans="1:11" s="118" customFormat="1" ht="19.5" customHeight="1">
      <c r="A112" s="473">
        <f>'3. DESGLOSE DE MATERIALES'!B44</f>
        <v>2.0999999999999979</v>
      </c>
      <c r="B112" s="547" t="str">
        <f>'3. DESGLOSE DE MATERIALES'!G44</f>
        <v xml:space="preserve">Bornera de Conexión 16MM Color Gris  </v>
      </c>
      <c r="C112" s="548"/>
      <c r="D112" s="549"/>
      <c r="E112" s="450" t="str">
        <f>'3. DESGLOSE DE MATERIALES'!K44</f>
        <v>UND</v>
      </c>
      <c r="F112" s="450">
        <f>'3. DESGLOSE DE MATERIALES'!L44</f>
        <v>9</v>
      </c>
      <c r="G112" s="451">
        <f>'3. DESGLOSE DE MATERIALES'!T44</f>
        <v>1.8260869565217392</v>
      </c>
      <c r="H112" s="449">
        <f t="shared" si="7"/>
        <v>16.434782608695652</v>
      </c>
      <c r="J112" s="119"/>
      <c r="K112" s="120"/>
    </row>
    <row r="113" spans="1:11" s="118" customFormat="1" ht="19.5" customHeight="1">
      <c r="A113" s="473">
        <f>'3. DESGLOSE DE MATERIALES'!B45</f>
        <v>2.1099999999999977</v>
      </c>
      <c r="B113" s="547" t="str">
        <f>'3. DESGLOSE DE MATERIALES'!G45</f>
        <v xml:space="preserve">Bornera de Conexión 4MM Color Gris  </v>
      </c>
      <c r="C113" s="548"/>
      <c r="D113" s="549"/>
      <c r="E113" s="450" t="str">
        <f>'3. DESGLOSE DE MATERIALES'!K45</f>
        <v>UND</v>
      </c>
      <c r="F113" s="450">
        <f>'3. DESGLOSE DE MATERIALES'!L45</f>
        <v>3</v>
      </c>
      <c r="G113" s="451">
        <f>'3. DESGLOSE DE MATERIALES'!T45</f>
        <v>0.63913043478260867</v>
      </c>
      <c r="H113" s="449">
        <f t="shared" si="7"/>
        <v>1.9173913043478259</v>
      </c>
      <c r="J113" s="119"/>
      <c r="K113" s="120"/>
    </row>
    <row r="114" spans="1:11" s="118" customFormat="1" ht="19.5" customHeight="1">
      <c r="A114" s="473">
        <f>'3. DESGLOSE DE MATERIALES'!B46</f>
        <v>2.1199999999999974</v>
      </c>
      <c r="B114" s="547" t="str">
        <f>'3. DESGLOSE DE MATERIALES'!G46</f>
        <v>Alambre de goma RV-K 0,6/1KV 4.0MM/4C (10/4)</v>
      </c>
      <c r="C114" s="548"/>
      <c r="D114" s="549"/>
      <c r="E114" s="450" t="str">
        <f>'3. DESGLOSE DE MATERIALES'!K46</f>
        <v>PIE</v>
      </c>
      <c r="F114" s="450">
        <f>'3. DESGLOSE DE MATERIALES'!L46</f>
        <v>50</v>
      </c>
      <c r="G114" s="451">
        <f>'3. DESGLOSE DE MATERIALES'!T46</f>
        <v>0.75088695652173909</v>
      </c>
      <c r="H114" s="449">
        <f t="shared" si="7"/>
        <v>37.544347826086955</v>
      </c>
      <c r="J114" s="119"/>
      <c r="K114" s="120"/>
    </row>
    <row r="115" spans="1:11" s="118" customFormat="1" ht="19.5" customHeight="1">
      <c r="A115" s="473">
        <f>'3. DESGLOSE DE MATERIALES'!B47</f>
        <v>2.1299999999999972</v>
      </c>
      <c r="B115" s="547" t="str">
        <f>'3. DESGLOSE DE MATERIALES'!G47</f>
        <v>Bandeja de 60x100mm PVC</v>
      </c>
      <c r="C115" s="548"/>
      <c r="D115" s="549"/>
      <c r="E115" s="450" t="str">
        <f>'3. DESGLOSE DE MATERIALES'!K47</f>
        <v>UND</v>
      </c>
      <c r="F115" s="450">
        <f>'3. DESGLOSE DE MATERIALES'!L47</f>
        <v>1</v>
      </c>
      <c r="G115" s="451">
        <f>'3. DESGLOSE DE MATERIALES'!T47</f>
        <v>30.002608695652174</v>
      </c>
      <c r="H115" s="449">
        <f t="shared" si="7"/>
        <v>30.002608695652174</v>
      </c>
      <c r="J115" s="119"/>
      <c r="K115" s="120"/>
    </row>
    <row r="116" spans="1:11" s="118" customFormat="1" ht="19.5" customHeight="1">
      <c r="A116" s="473">
        <f>'3. DESGLOSE DE MATERIALES'!B48</f>
        <v>2.139999999999997</v>
      </c>
      <c r="B116" s="547" t="str">
        <f>'3. DESGLOSE DE MATERIALES'!G48</f>
        <v>Tapa de bandeja 60x100 PVC</v>
      </c>
      <c r="C116" s="548"/>
      <c r="D116" s="549"/>
      <c r="E116" s="450" t="str">
        <f>'3. DESGLOSE DE MATERIALES'!K48</f>
        <v>UND</v>
      </c>
      <c r="F116" s="450">
        <f>'3. DESGLOSE DE MATERIALES'!L48</f>
        <v>1</v>
      </c>
      <c r="G116" s="451">
        <f>'3. DESGLOSE DE MATERIALES'!T48</f>
        <v>12.855652173913043</v>
      </c>
      <c r="H116" s="449">
        <f t="shared" ref="H116:H130" si="8">G116*F116</f>
        <v>12.855652173913043</v>
      </c>
      <c r="J116" s="119"/>
      <c r="K116" s="120"/>
    </row>
    <row r="117" spans="1:11" s="118" customFormat="1" ht="19.5" customHeight="1">
      <c r="A117" s="473">
        <f>'3. DESGLOSE DE MATERIALES'!B49</f>
        <v>2.1499999999999968</v>
      </c>
      <c r="B117" s="547" t="str">
        <f>'3. DESGLOSE DE MATERIALES'!G49</f>
        <v>Prensa Estopa 1"</v>
      </c>
      <c r="C117" s="548"/>
      <c r="D117" s="549"/>
      <c r="E117" s="450" t="str">
        <f>'3. DESGLOSE DE MATERIALES'!K49</f>
        <v>UND</v>
      </c>
      <c r="F117" s="450">
        <f>'3. DESGLOSE DE MATERIALES'!L49</f>
        <v>6</v>
      </c>
      <c r="G117" s="451">
        <f>'3. DESGLOSE DE MATERIALES'!T49</f>
        <v>1.0956521739130434</v>
      </c>
      <c r="H117" s="449">
        <f t="shared" si="8"/>
        <v>6.5739130434782602</v>
      </c>
      <c r="J117" s="119"/>
      <c r="K117" s="120"/>
    </row>
    <row r="118" spans="1:11" s="118" customFormat="1" ht="19.5" customHeight="1">
      <c r="A118" s="473">
        <f>'3. DESGLOSE DE MATERIALES'!B50</f>
        <v>2.1599999999999966</v>
      </c>
      <c r="B118" s="547" t="str">
        <f>'3. DESGLOSE DE MATERIALES'!G50</f>
        <v>Terminal de Ojo Cable #1/0</v>
      </c>
      <c r="C118" s="548"/>
      <c r="D118" s="549"/>
      <c r="E118" s="450" t="str">
        <f>'3. DESGLOSE DE MATERIALES'!K50</f>
        <v>UND</v>
      </c>
      <c r="F118" s="450">
        <f>'3. DESGLOSE DE MATERIALES'!L50</f>
        <v>6</v>
      </c>
      <c r="G118" s="451">
        <f>'3. DESGLOSE DE MATERIALES'!T50</f>
        <v>1.2207391304347823</v>
      </c>
      <c r="H118" s="449">
        <f t="shared" si="8"/>
        <v>7.3244347826086944</v>
      </c>
      <c r="J118" s="119"/>
      <c r="K118" s="120"/>
    </row>
    <row r="119" spans="1:11" s="118" customFormat="1" ht="19.5" customHeight="1">
      <c r="A119" s="473">
        <f>'3. DESGLOSE DE MATERIALES'!B51</f>
        <v>2.1699999999999964</v>
      </c>
      <c r="B119" s="547" t="str">
        <f>'3. DESGLOSE DE MATERIALES'!G51</f>
        <v>Tape de goma 3m</v>
      </c>
      <c r="C119" s="548"/>
      <c r="D119" s="549"/>
      <c r="E119" s="450" t="str">
        <f>'3. DESGLOSE DE MATERIALES'!K51</f>
        <v>UND</v>
      </c>
      <c r="F119" s="450">
        <f>'3. DESGLOSE DE MATERIALES'!L51</f>
        <v>1</v>
      </c>
      <c r="G119" s="451">
        <f>'3. DESGLOSE DE MATERIALES'!T51</f>
        <v>16.252173913043478</v>
      </c>
      <c r="H119" s="449">
        <f t="shared" si="8"/>
        <v>16.252173913043478</v>
      </c>
      <c r="J119" s="119"/>
      <c r="K119" s="120"/>
    </row>
    <row r="120" spans="1:11" s="118" customFormat="1" ht="19.5" customHeight="1">
      <c r="A120" s="473">
        <f>'3. DESGLOSE DE MATERIALES'!B52</f>
        <v>2.1799999999999962</v>
      </c>
      <c r="B120" s="547" t="str">
        <f>'3. DESGLOSE DE MATERIALES'!G52</f>
        <v>Tape de vinil super 33</v>
      </c>
      <c r="C120" s="548"/>
      <c r="D120" s="549"/>
      <c r="E120" s="450" t="str">
        <f>'3. DESGLOSE DE MATERIALES'!K52</f>
        <v>UND</v>
      </c>
      <c r="F120" s="450">
        <f>'3. DESGLOSE DE MATERIALES'!L52</f>
        <v>2</v>
      </c>
      <c r="G120" s="451">
        <f>'3. DESGLOSE DE MATERIALES'!T52</f>
        <v>7.3043478260869561</v>
      </c>
      <c r="H120" s="449">
        <f t="shared" si="8"/>
        <v>14.608695652173912</v>
      </c>
      <c r="J120" s="119"/>
      <c r="K120" s="120"/>
    </row>
    <row r="121" spans="1:11" s="118" customFormat="1" ht="19.5" customHeight="1">
      <c r="A121" s="473">
        <f>'3. DESGLOSE DE MATERIALES'!B53</f>
        <v>2.1899999999999959</v>
      </c>
      <c r="B121" s="547" t="str">
        <f>'3. DESGLOSE DE MATERIALES'!G53</f>
        <v>Tarugos 5/8"</v>
      </c>
      <c r="C121" s="548"/>
      <c r="D121" s="549"/>
      <c r="E121" s="450" t="str">
        <f>'3. DESGLOSE DE MATERIALES'!K53</f>
        <v>UND</v>
      </c>
      <c r="F121" s="450">
        <f>'3. DESGLOSE DE MATERIALES'!L53</f>
        <v>24</v>
      </c>
      <c r="G121" s="451">
        <f>'3. DESGLOSE DE MATERIALES'!T53</f>
        <v>0.35608695652173911</v>
      </c>
      <c r="H121" s="449">
        <f t="shared" si="8"/>
        <v>8.546086956521739</v>
      </c>
      <c r="J121" s="119"/>
      <c r="K121" s="120"/>
    </row>
    <row r="122" spans="1:11" s="118" customFormat="1" ht="19.5" customHeight="1">
      <c r="A122" s="473">
        <f>'3. DESGLOSE DE MATERIALES'!B54</f>
        <v>2.1999999999999957</v>
      </c>
      <c r="B122" s="547" t="str">
        <f>'3. DESGLOSE DE MATERIALES'!G54</f>
        <v xml:space="preserve">Tornillos para tarugo de plomo </v>
      </c>
      <c r="C122" s="548"/>
      <c r="D122" s="549"/>
      <c r="E122" s="450" t="str">
        <f>'3. DESGLOSE DE MATERIALES'!K54</f>
        <v>UND</v>
      </c>
      <c r="F122" s="450">
        <f>'3. DESGLOSE DE MATERIALES'!L54</f>
        <v>24</v>
      </c>
      <c r="G122" s="451">
        <f>'3. DESGLOSE DE MATERIALES'!T54</f>
        <v>0.11869565217391304</v>
      </c>
      <c r="H122" s="449">
        <f t="shared" si="8"/>
        <v>2.8486956521739129</v>
      </c>
      <c r="J122" s="119"/>
      <c r="K122" s="120"/>
    </row>
    <row r="123" spans="1:11" s="118" customFormat="1" ht="19.5" customHeight="1">
      <c r="A123" s="473">
        <f>'3. DESGLOSE DE MATERIALES'!B55</f>
        <v>2.2099999999999955</v>
      </c>
      <c r="B123" s="547" t="str">
        <f>'3. DESGLOSE DE MATERIALES'!G55</f>
        <v>Arandelas para tarugo de plomo</v>
      </c>
      <c r="C123" s="548"/>
      <c r="D123" s="549"/>
      <c r="E123" s="450" t="str">
        <f>'3. DESGLOSE DE MATERIALES'!K55</f>
        <v>UND</v>
      </c>
      <c r="F123" s="450">
        <f>'3. DESGLOSE DE MATERIALES'!L55</f>
        <v>24</v>
      </c>
      <c r="G123" s="451">
        <f>'3. DESGLOSE DE MATERIALES'!T55</f>
        <v>3.6521739130434785E-2</v>
      </c>
      <c r="H123" s="449">
        <f t="shared" si="8"/>
        <v>0.87652173913043485</v>
      </c>
      <c r="J123" s="119"/>
      <c r="K123" s="120"/>
    </row>
    <row r="124" spans="1:11" s="118" customFormat="1" ht="19.5" customHeight="1">
      <c r="A124" s="473">
        <f>'3. DESGLOSE DE MATERIALES'!B56</f>
        <v>2.2199999999999953</v>
      </c>
      <c r="B124" s="547" t="str">
        <f>'3. DESGLOSE DE MATERIALES'!G56</f>
        <v>Tarugo Plástico 3/8 X 1-1/2 Mamey</v>
      </c>
      <c r="C124" s="548"/>
      <c r="D124" s="549"/>
      <c r="E124" s="450" t="str">
        <f>'3. DESGLOSE DE MATERIALES'!K56</f>
        <v>UND</v>
      </c>
      <c r="F124" s="450">
        <f>'3. DESGLOSE DE MATERIALES'!L56</f>
        <v>40</v>
      </c>
      <c r="G124" s="451">
        <f>'3. DESGLOSE DE MATERIALES'!T56</f>
        <v>3.6521739130434785E-2</v>
      </c>
      <c r="H124" s="449">
        <f t="shared" si="8"/>
        <v>1.4608695652173913</v>
      </c>
      <c r="J124" s="119"/>
      <c r="K124" s="120"/>
    </row>
    <row r="125" spans="1:11" s="118" customFormat="1" ht="19.5" customHeight="1">
      <c r="A125" s="473">
        <f>'3. DESGLOSE DE MATERIALES'!B57</f>
        <v>2.2299999999999951</v>
      </c>
      <c r="B125" s="547" t="str">
        <f>'3. DESGLOSE DE MATERIALES'!G57</f>
        <v>Tornillo Diablito 5X50(10X2X")</v>
      </c>
      <c r="C125" s="548"/>
      <c r="D125" s="549"/>
      <c r="E125" s="450" t="str">
        <f>'3. DESGLOSE DE MATERIALES'!K57</f>
        <v>UND</v>
      </c>
      <c r="F125" s="450">
        <f>'3. DESGLOSE DE MATERIALES'!L57</f>
        <v>40</v>
      </c>
      <c r="G125" s="451">
        <f>'3. DESGLOSE DE MATERIALES'!T57</f>
        <v>1.8260869565217393E-2</v>
      </c>
      <c r="H125" s="449">
        <f t="shared" si="8"/>
        <v>0.73043478260869565</v>
      </c>
      <c r="J125" s="119"/>
      <c r="K125" s="120"/>
    </row>
    <row r="126" spans="1:11" s="118" customFormat="1" ht="19.5" customHeight="1">
      <c r="A126" s="473">
        <f>'3. DESGLOSE DE MATERIALES'!B58</f>
        <v>2.2399999999999949</v>
      </c>
      <c r="B126" s="547" t="str">
        <f>'3. DESGLOSE DE MATERIALES'!G58</f>
        <v>Tubería Eléctrica EMT 3/4"</v>
      </c>
      <c r="C126" s="548"/>
      <c r="D126" s="549"/>
      <c r="E126" s="450" t="str">
        <f>'3. DESGLOSE DE MATERIALES'!K58</f>
        <v>UND</v>
      </c>
      <c r="F126" s="450">
        <f>'3. DESGLOSE DE MATERIALES'!L58</f>
        <v>3</v>
      </c>
      <c r="G126" s="451">
        <f>'3. DESGLOSE DE MATERIALES'!T58</f>
        <v>5.4782608695652177</v>
      </c>
      <c r="H126" s="449">
        <f t="shared" si="8"/>
        <v>16.434782608695652</v>
      </c>
      <c r="J126" s="119"/>
      <c r="K126" s="120"/>
    </row>
    <row r="127" spans="1:11" s="118" customFormat="1" ht="19.5" customHeight="1">
      <c r="A127" s="473">
        <f>'3. DESGLOSE DE MATERIALES'!B59</f>
        <v>2.2499999999999947</v>
      </c>
      <c r="B127" s="547" t="str">
        <f>'3. DESGLOSE DE MATERIALES'!G59</f>
        <v>Abrazadera EMT 3/4'' </v>
      </c>
      <c r="C127" s="548"/>
      <c r="D127" s="549"/>
      <c r="E127" s="450" t="str">
        <f>'3. DESGLOSE DE MATERIALES'!K59</f>
        <v>UND</v>
      </c>
      <c r="F127" s="450">
        <f>'3. DESGLOSE DE MATERIALES'!L59</f>
        <v>15</v>
      </c>
      <c r="G127" s="451">
        <f>'3. DESGLOSE DE MATERIALES'!T59</f>
        <v>9.1669565217391308E-2</v>
      </c>
      <c r="H127" s="449">
        <f t="shared" si="8"/>
        <v>1.3750434782608696</v>
      </c>
      <c r="J127" s="119"/>
      <c r="K127" s="120"/>
    </row>
    <row r="128" spans="1:11" s="118" customFormat="1" ht="19.5" customHeight="1">
      <c r="A128" s="473">
        <f>'3. DESGLOSE DE MATERIALES'!B60</f>
        <v>2.2599999999999945</v>
      </c>
      <c r="B128" s="547" t="str">
        <f>'3. DESGLOSE DE MATERIALES'!G60</f>
        <v xml:space="preserve">Caja Reg.  8X8X3 PVC </v>
      </c>
      <c r="C128" s="548"/>
      <c r="D128" s="549"/>
      <c r="E128" s="450" t="str">
        <f>'3. DESGLOSE DE MATERIALES'!K60</f>
        <v>UND</v>
      </c>
      <c r="F128" s="450">
        <f>'3. DESGLOSE DE MATERIALES'!L60</f>
        <v>1</v>
      </c>
      <c r="G128" s="451">
        <f>'3. DESGLOSE DE MATERIALES'!T60</f>
        <v>4.5652173913043477</v>
      </c>
      <c r="H128" s="449">
        <f t="shared" si="8"/>
        <v>4.5652173913043477</v>
      </c>
      <c r="J128" s="119"/>
      <c r="K128" s="120"/>
    </row>
    <row r="129" spans="1:11" s="118" customFormat="1" ht="19.5" customHeight="1">
      <c r="A129" s="473">
        <f>'3. DESGLOSE DE MATERIALES'!B61</f>
        <v>2.2699999999999942</v>
      </c>
      <c r="B129" s="547" t="str">
        <f>'3. DESGLOSE DE MATERIALES'!G61</f>
        <v>Prensa Estopa 1/2"</v>
      </c>
      <c r="C129" s="548"/>
      <c r="D129" s="549"/>
      <c r="E129" s="450" t="str">
        <f>'3. DESGLOSE DE MATERIALES'!K61</f>
        <v>UND</v>
      </c>
      <c r="F129" s="450">
        <f>'3. DESGLOSE DE MATERIALES'!L61</f>
        <v>6</v>
      </c>
      <c r="G129" s="451">
        <f>'3. DESGLOSE DE MATERIALES'!T61</f>
        <v>0.51130434782608691</v>
      </c>
      <c r="H129" s="449">
        <f t="shared" si="8"/>
        <v>3.0678260869565213</v>
      </c>
      <c r="J129" s="119"/>
      <c r="K129" s="120"/>
    </row>
    <row r="130" spans="1:11" s="118" customFormat="1" ht="19.5" customHeight="1">
      <c r="A130" s="473">
        <f>'3. DESGLOSE DE MATERIALES'!B62</f>
        <v>2.279999999999994</v>
      </c>
      <c r="B130" s="547" t="str">
        <f>'3. DESGLOSE DE MATERIALES'!G62</f>
        <v>Flota Electrica 3Mts Foset</v>
      </c>
      <c r="C130" s="548"/>
      <c r="D130" s="549"/>
      <c r="E130" s="450" t="str">
        <f>'3. DESGLOSE DE MATERIALES'!K62</f>
        <v>UND</v>
      </c>
      <c r="F130" s="450">
        <f>'3. DESGLOSE DE MATERIALES'!L62</f>
        <v>6</v>
      </c>
      <c r="G130" s="451">
        <f>'3. DESGLOSE DE MATERIALES'!T62</f>
        <v>12.529695652173912</v>
      </c>
      <c r="H130" s="449">
        <f t="shared" si="8"/>
        <v>75.178173913043466</v>
      </c>
      <c r="J130" s="119"/>
      <c r="K130" s="120"/>
    </row>
    <row r="131" spans="1:11" ht="28.75" customHeight="1">
      <c r="A131" s="473">
        <v>3</v>
      </c>
      <c r="B131" s="584" t="s">
        <v>19</v>
      </c>
      <c r="C131" s="585"/>
      <c r="D131" s="586"/>
      <c r="E131" s="460" t="s">
        <v>20</v>
      </c>
      <c r="F131" s="450">
        <v>1</v>
      </c>
      <c r="G131" s="451">
        <f>'[6]1. Subtotal'!$C37</f>
        <v>631.15747307260881</v>
      </c>
      <c r="H131" s="305">
        <f>F131*G131</f>
        <v>631.15747307260881</v>
      </c>
    </row>
    <row r="132" spans="1:11" ht="28.75" customHeight="1" thickBot="1">
      <c r="A132" s="473">
        <v>4</v>
      </c>
      <c r="B132" s="584" t="s">
        <v>21</v>
      </c>
      <c r="C132" s="585"/>
      <c r="D132" s="586"/>
      <c r="E132" s="279" t="s">
        <v>20</v>
      </c>
      <c r="F132" s="450">
        <v>1</v>
      </c>
      <c r="G132" s="451">
        <f>'[6]1. Subtotal'!$C38</f>
        <v>1483.8855548408696</v>
      </c>
      <c r="H132" s="306">
        <f>F132*G132</f>
        <v>1483.8855548408696</v>
      </c>
    </row>
    <row r="133" spans="1:11" ht="28.75" customHeight="1">
      <c r="A133" s="122"/>
      <c r="B133" s="123"/>
      <c r="C133" s="124"/>
      <c r="D133" s="124"/>
      <c r="E133" s="562" t="s">
        <v>22</v>
      </c>
      <c r="F133" s="563"/>
      <c r="G133" s="440" t="s">
        <v>23</v>
      </c>
      <c r="H133" s="307">
        <f>H131+H102+H74+H132</f>
        <v>7030.4544105221739</v>
      </c>
    </row>
    <row r="134" spans="1:11" ht="28.75" customHeight="1">
      <c r="A134" s="122"/>
      <c r="B134" s="123"/>
      <c r="C134" s="124"/>
      <c r="D134" s="124"/>
      <c r="E134" s="564" t="s">
        <v>24</v>
      </c>
      <c r="F134" s="565"/>
      <c r="G134" s="441" t="str">
        <f>G133</f>
        <v>USD</v>
      </c>
      <c r="H134" s="308">
        <f>H133*0.18</f>
        <v>1265.4817938939912</v>
      </c>
    </row>
    <row r="135" spans="1:11" ht="28.75" customHeight="1" thickBot="1">
      <c r="A135" s="122"/>
      <c r="B135" s="123"/>
      <c r="C135" s="124"/>
      <c r="D135" s="124"/>
      <c r="E135" s="566" t="s">
        <v>18</v>
      </c>
      <c r="F135" s="567"/>
      <c r="G135" s="442" t="str">
        <f>G134</f>
        <v>USD</v>
      </c>
      <c r="H135" s="309">
        <f>SUM(H133:H134)</f>
        <v>8295.9362044161644</v>
      </c>
    </row>
    <row r="136" spans="1:11" ht="81" customHeight="1" thickBot="1">
      <c r="A136" s="122"/>
      <c r="B136" s="123"/>
      <c r="C136" s="124"/>
      <c r="D136" s="124"/>
      <c r="E136" s="125"/>
      <c r="F136" s="125"/>
      <c r="G136" s="443"/>
      <c r="H136" s="310"/>
    </row>
    <row r="137" spans="1:11" ht="28.25" customHeight="1">
      <c r="A137" s="590" t="s">
        <v>25</v>
      </c>
      <c r="B137" s="591"/>
      <c r="C137" s="591"/>
      <c r="D137" s="591"/>
      <c r="E137" s="591"/>
      <c r="F137" s="591"/>
      <c r="G137" s="591"/>
      <c r="H137" s="592"/>
    </row>
    <row r="138" spans="1:11" ht="28.25" customHeight="1">
      <c r="A138" s="126">
        <v>1</v>
      </c>
      <c r="B138" s="599" t="s">
        <v>26</v>
      </c>
      <c r="C138" s="600"/>
      <c r="D138" s="600"/>
      <c r="E138" s="600"/>
      <c r="F138" s="600"/>
      <c r="G138" s="600"/>
      <c r="H138" s="601"/>
    </row>
    <row r="139" spans="1:11" ht="28.25" customHeight="1">
      <c r="A139" s="126">
        <v>2</v>
      </c>
      <c r="B139" s="127" t="s">
        <v>27</v>
      </c>
      <c r="C139" s="127"/>
      <c r="D139" s="596" t="s">
        <v>763</v>
      </c>
      <c r="E139" s="597"/>
      <c r="F139" s="597"/>
      <c r="G139" s="597"/>
      <c r="H139" s="598"/>
    </row>
    <row r="140" spans="1:11" ht="28.25" customHeight="1">
      <c r="A140" s="126">
        <v>3</v>
      </c>
      <c r="B140" s="596" t="s">
        <v>28</v>
      </c>
      <c r="C140" s="597"/>
      <c r="D140" s="597"/>
      <c r="E140" s="597"/>
      <c r="F140" s="597"/>
      <c r="G140" s="597"/>
      <c r="H140" s="598"/>
    </row>
    <row r="141" spans="1:11" ht="28.25" customHeight="1">
      <c r="A141" s="126">
        <v>4</v>
      </c>
      <c r="B141" s="596" t="s">
        <v>764</v>
      </c>
      <c r="C141" s="597"/>
      <c r="D141" s="597"/>
      <c r="E141" s="597"/>
      <c r="F141" s="597"/>
      <c r="G141" s="597"/>
      <c r="H141" s="598"/>
    </row>
    <row r="142" spans="1:11" ht="28.25" customHeight="1">
      <c r="A142" s="126">
        <v>5</v>
      </c>
      <c r="B142" s="593" t="s">
        <v>29</v>
      </c>
      <c r="C142" s="594"/>
      <c r="D142" s="594"/>
      <c r="E142" s="594"/>
      <c r="F142" s="594"/>
      <c r="G142" s="594"/>
      <c r="H142" s="595"/>
    </row>
    <row r="143" spans="1:11" ht="28.25" customHeight="1">
      <c r="A143" s="126">
        <v>6</v>
      </c>
      <c r="B143" s="593" t="s">
        <v>30</v>
      </c>
      <c r="C143" s="594"/>
      <c r="D143" s="594"/>
      <c r="E143" s="594"/>
      <c r="F143" s="594"/>
      <c r="G143" s="594"/>
      <c r="H143" s="595"/>
    </row>
    <row r="144" spans="1:11" ht="28.25" customHeight="1">
      <c r="A144" s="126">
        <v>7</v>
      </c>
      <c r="B144" s="593" t="s">
        <v>31</v>
      </c>
      <c r="C144" s="594"/>
      <c r="D144" s="594"/>
      <c r="E144" s="594"/>
      <c r="F144" s="594"/>
      <c r="G144" s="594"/>
      <c r="H144" s="595"/>
    </row>
    <row r="145" spans="1:8" ht="28.25" customHeight="1">
      <c r="A145" s="126">
        <v>8</v>
      </c>
      <c r="B145" s="593" t="s">
        <v>32</v>
      </c>
      <c r="C145" s="594"/>
      <c r="D145" s="594"/>
      <c r="E145" s="594"/>
      <c r="F145" s="594"/>
      <c r="G145" s="594"/>
      <c r="H145" s="595"/>
    </row>
    <row r="146" spans="1:8" ht="28.25" customHeight="1">
      <c r="A146" s="126">
        <v>9</v>
      </c>
      <c r="B146" s="605" t="s">
        <v>33</v>
      </c>
      <c r="C146" s="606"/>
      <c r="D146" s="606"/>
      <c r="E146" s="606"/>
      <c r="F146" s="606"/>
      <c r="G146" s="606"/>
      <c r="H146" s="607"/>
    </row>
    <row r="147" spans="1:8" ht="28.25" customHeight="1">
      <c r="A147" s="126">
        <v>10</v>
      </c>
      <c r="B147" s="593" t="s">
        <v>34</v>
      </c>
      <c r="C147" s="594"/>
      <c r="D147" s="594"/>
      <c r="E147" s="594"/>
      <c r="F147" s="594"/>
      <c r="G147" s="594"/>
      <c r="H147" s="595"/>
    </row>
    <row r="148" spans="1:8" ht="42" customHeight="1">
      <c r="A148" s="126">
        <v>11</v>
      </c>
      <c r="B148" s="602" t="s">
        <v>35</v>
      </c>
      <c r="C148" s="603"/>
      <c r="D148" s="603"/>
      <c r="E148" s="603"/>
      <c r="F148" s="603"/>
      <c r="G148" s="603"/>
      <c r="H148" s="604"/>
    </row>
    <row r="149" spans="1:8" ht="28.25" customHeight="1">
      <c r="A149" s="126">
        <v>12</v>
      </c>
      <c r="B149" s="602" t="s">
        <v>36</v>
      </c>
      <c r="C149" s="603"/>
      <c r="D149" s="603"/>
      <c r="E149" s="603"/>
      <c r="F149" s="603"/>
      <c r="G149" s="603"/>
      <c r="H149" s="604"/>
    </row>
    <row r="150" spans="1:8" ht="28.25" customHeight="1" thickBot="1">
      <c r="A150" s="181">
        <v>13</v>
      </c>
      <c r="B150" s="587" t="s">
        <v>37</v>
      </c>
      <c r="C150" s="588"/>
      <c r="D150" s="588"/>
      <c r="E150" s="588"/>
      <c r="F150" s="588"/>
      <c r="G150" s="588"/>
      <c r="H150" s="589"/>
    </row>
    <row r="151" spans="1:8">
      <c r="A151" s="104"/>
      <c r="B151" s="105"/>
      <c r="C151" s="106"/>
      <c r="D151" s="106"/>
      <c r="E151" s="106"/>
      <c r="F151" s="106"/>
      <c r="G151" s="434"/>
      <c r="H151" s="105"/>
    </row>
    <row r="152" spans="1:8">
      <c r="A152" s="164"/>
      <c r="B152" s="165"/>
      <c r="C152" s="166"/>
      <c r="D152" s="166"/>
      <c r="E152" s="166"/>
      <c r="F152" s="166"/>
      <c r="G152" s="444"/>
      <c r="H152" s="165"/>
    </row>
    <row r="153" spans="1:8">
      <c r="A153" s="164"/>
      <c r="B153" s="165"/>
      <c r="C153" s="166"/>
      <c r="D153" s="166"/>
      <c r="E153" s="166"/>
      <c r="F153" s="166"/>
      <c r="G153" s="444"/>
      <c r="H153" s="165"/>
    </row>
    <row r="154" spans="1:8">
      <c r="A154" s="164"/>
      <c r="B154" s="165"/>
      <c r="C154" s="166"/>
      <c r="D154" s="166"/>
      <c r="E154" s="166"/>
      <c r="F154" s="166"/>
      <c r="G154" s="444"/>
      <c r="H154" s="165"/>
    </row>
    <row r="155" spans="1:8">
      <c r="A155" s="164"/>
      <c r="B155" s="165"/>
      <c r="C155" s="166"/>
      <c r="D155" s="166"/>
      <c r="E155" s="166"/>
      <c r="F155" s="166"/>
      <c r="G155" s="444"/>
      <c r="H155" s="165"/>
    </row>
    <row r="156" spans="1:8">
      <c r="A156" s="164"/>
      <c r="B156" s="165"/>
      <c r="C156" s="166"/>
      <c r="D156" s="166"/>
      <c r="E156" s="166"/>
      <c r="F156" s="166"/>
      <c r="G156" s="444"/>
      <c r="H156" s="165"/>
    </row>
    <row r="157" spans="1:8">
      <c r="A157" s="164"/>
      <c r="B157" s="165"/>
      <c r="C157" s="166"/>
      <c r="D157" s="166"/>
      <c r="E157" s="166"/>
      <c r="F157" s="166"/>
      <c r="G157" s="444"/>
      <c r="H157" s="165"/>
    </row>
    <row r="158" spans="1:8">
      <c r="A158" s="164"/>
      <c r="B158" s="165"/>
      <c r="C158" s="166"/>
      <c r="D158" s="166"/>
      <c r="E158" s="166"/>
      <c r="F158" s="166"/>
      <c r="G158" s="444"/>
      <c r="H158" s="165"/>
    </row>
    <row r="159" spans="1:8">
      <c r="A159" s="164"/>
      <c r="B159" s="165"/>
      <c r="C159" s="166"/>
      <c r="D159" s="166"/>
      <c r="E159" s="166"/>
      <c r="F159" s="166"/>
      <c r="G159" s="444"/>
      <c r="H159" s="165"/>
    </row>
    <row r="160" spans="1:8">
      <c r="A160" s="164"/>
      <c r="B160" s="165"/>
      <c r="C160" s="166"/>
      <c r="D160" s="166"/>
      <c r="E160" s="166"/>
      <c r="F160" s="166"/>
      <c r="G160" s="444"/>
      <c r="H160" s="165"/>
    </row>
    <row r="161" spans="1:8">
      <c r="A161" s="164"/>
      <c r="B161" s="165"/>
      <c r="C161" s="166"/>
      <c r="D161" s="166"/>
      <c r="E161" s="166"/>
      <c r="F161" s="166"/>
      <c r="G161" s="444"/>
      <c r="H161" s="165"/>
    </row>
    <row r="162" spans="1:8">
      <c r="A162" s="164"/>
      <c r="B162" s="165"/>
      <c r="C162" s="166"/>
      <c r="D162" s="166"/>
      <c r="E162" s="166"/>
      <c r="F162" s="166"/>
      <c r="G162" s="444"/>
      <c r="H162" s="165"/>
    </row>
    <row r="163" spans="1:8">
      <c r="A163" s="164"/>
      <c r="B163" s="165"/>
      <c r="C163" s="166"/>
      <c r="D163" s="166"/>
      <c r="E163" s="166"/>
      <c r="F163" s="166"/>
      <c r="G163" s="444"/>
      <c r="H163" s="165"/>
    </row>
    <row r="164" spans="1:8">
      <c r="A164" s="164"/>
      <c r="B164" s="165"/>
      <c r="C164" s="166"/>
      <c r="D164" s="166"/>
      <c r="E164" s="166"/>
      <c r="F164" s="166"/>
      <c r="G164" s="444"/>
      <c r="H164" s="165"/>
    </row>
    <row r="165" spans="1:8">
      <c r="A165" s="164"/>
      <c r="B165" s="165"/>
      <c r="C165" s="166"/>
      <c r="D165" s="166"/>
      <c r="E165" s="166"/>
      <c r="F165" s="166"/>
      <c r="G165" s="444"/>
      <c r="H165" s="165"/>
    </row>
    <row r="166" spans="1:8">
      <c r="A166" s="164"/>
      <c r="B166" s="165"/>
      <c r="C166" s="166"/>
      <c r="D166" s="166"/>
      <c r="E166" s="166"/>
      <c r="F166" s="166"/>
      <c r="G166" s="444"/>
      <c r="H166" s="165"/>
    </row>
    <row r="167" spans="1:8">
      <c r="A167" s="164"/>
      <c r="B167" s="165"/>
      <c r="C167" s="166"/>
      <c r="D167" s="166"/>
      <c r="E167" s="166"/>
      <c r="F167" s="166"/>
      <c r="G167" s="444"/>
      <c r="H167" s="165"/>
    </row>
    <row r="168" spans="1:8">
      <c r="A168" s="164"/>
      <c r="B168" s="165"/>
      <c r="C168" s="166"/>
      <c r="D168" s="166"/>
      <c r="E168" s="166"/>
      <c r="F168" s="166"/>
      <c r="G168" s="444"/>
      <c r="H168" s="165"/>
    </row>
    <row r="169" spans="1:8">
      <c r="A169" s="164"/>
      <c r="B169" s="165"/>
      <c r="C169" s="166"/>
      <c r="D169" s="166"/>
      <c r="E169" s="166"/>
      <c r="F169" s="166"/>
      <c r="G169" s="444"/>
      <c r="H169" s="165"/>
    </row>
    <row r="170" spans="1:8">
      <c r="A170" s="164"/>
      <c r="B170" s="165"/>
      <c r="C170" s="166"/>
      <c r="D170" s="166"/>
      <c r="E170" s="166"/>
      <c r="F170" s="166"/>
      <c r="G170" s="444"/>
      <c r="H170" s="165"/>
    </row>
    <row r="171" spans="1:8">
      <c r="A171" s="164"/>
      <c r="B171" s="165"/>
      <c r="C171" s="166"/>
      <c r="D171" s="166"/>
      <c r="E171" s="166"/>
      <c r="F171" s="166"/>
      <c r="G171" s="444"/>
      <c r="H171" s="165"/>
    </row>
  </sheetData>
  <mergeCells count="119">
    <mergeCell ref="E25:G27"/>
    <mergeCell ref="D25:D27"/>
    <mergeCell ref="B92:D92"/>
    <mergeCell ref="B93:D93"/>
    <mergeCell ref="B94:D94"/>
    <mergeCell ref="B95:D95"/>
    <mergeCell ref="B96:D96"/>
    <mergeCell ref="B97:D97"/>
    <mergeCell ref="B122:D122"/>
    <mergeCell ref="A47:B47"/>
    <mergeCell ref="A48:B48"/>
    <mergeCell ref="A49:B49"/>
    <mergeCell ref="C49:D49"/>
    <mergeCell ref="A39:C39"/>
    <mergeCell ref="E40:G40"/>
    <mergeCell ref="E41:F41"/>
    <mergeCell ref="E43:E48"/>
    <mergeCell ref="A41:D41"/>
    <mergeCell ref="F43:H43"/>
    <mergeCell ref="C46:D46"/>
    <mergeCell ref="B75:D75"/>
    <mergeCell ref="B77:D77"/>
    <mergeCell ref="B73:D73"/>
    <mergeCell ref="B119:D119"/>
    <mergeCell ref="B150:H150"/>
    <mergeCell ref="A137:H137"/>
    <mergeCell ref="B143:H143"/>
    <mergeCell ref="B147:H147"/>
    <mergeCell ref="B141:H141"/>
    <mergeCell ref="B140:H140"/>
    <mergeCell ref="B142:H142"/>
    <mergeCell ref="B138:H138"/>
    <mergeCell ref="B145:H145"/>
    <mergeCell ref="B144:H144"/>
    <mergeCell ref="D139:H139"/>
    <mergeCell ref="B148:H148"/>
    <mergeCell ref="B146:H146"/>
    <mergeCell ref="B149:H149"/>
    <mergeCell ref="E133:F133"/>
    <mergeCell ref="E134:F134"/>
    <mergeCell ref="E135:F135"/>
    <mergeCell ref="C43:D43"/>
    <mergeCell ref="A43:B43"/>
    <mergeCell ref="F44:H49"/>
    <mergeCell ref="C44:D44"/>
    <mergeCell ref="C45:D45"/>
    <mergeCell ref="C47:D47"/>
    <mergeCell ref="C48:D48"/>
    <mergeCell ref="A44:B44"/>
    <mergeCell ref="A45:B45"/>
    <mergeCell ref="B87:D87"/>
    <mergeCell ref="B88:D88"/>
    <mergeCell ref="B89:D89"/>
    <mergeCell ref="B120:D120"/>
    <mergeCell ref="B121:D121"/>
    <mergeCell ref="B131:D131"/>
    <mergeCell ref="B132:D132"/>
    <mergeCell ref="B90:D90"/>
    <mergeCell ref="B91:D91"/>
    <mergeCell ref="B130:D130"/>
    <mergeCell ref="B117:D117"/>
    <mergeCell ref="B118:D118"/>
    <mergeCell ref="B125:D125"/>
    <mergeCell ref="B126:D126"/>
    <mergeCell ref="B113:D113"/>
    <mergeCell ref="B114:D114"/>
    <mergeCell ref="B115:D115"/>
    <mergeCell ref="B116:D116"/>
    <mergeCell ref="B127:D127"/>
    <mergeCell ref="B123:D123"/>
    <mergeCell ref="B124:D124"/>
    <mergeCell ref="A51:H51"/>
    <mergeCell ref="A52:H52"/>
    <mergeCell ref="A53:H53"/>
    <mergeCell ref="B54:H54"/>
    <mergeCell ref="A70:H72"/>
    <mergeCell ref="A56:H56"/>
    <mergeCell ref="A55:H55"/>
    <mergeCell ref="B128:D128"/>
    <mergeCell ref="B129:D129"/>
    <mergeCell ref="B108:D108"/>
    <mergeCell ref="B109:D109"/>
    <mergeCell ref="B110:D110"/>
    <mergeCell ref="B111:D111"/>
    <mergeCell ref="B112:D112"/>
    <mergeCell ref="B104:D104"/>
    <mergeCell ref="B105:D105"/>
    <mergeCell ref="B106:D106"/>
    <mergeCell ref="B107:D107"/>
    <mergeCell ref="B98:D98"/>
    <mergeCell ref="B99:D99"/>
    <mergeCell ref="B100:D100"/>
    <mergeCell ref="B101:D101"/>
    <mergeCell ref="B103:D103"/>
    <mergeCell ref="B83:D83"/>
    <mergeCell ref="B66:H66"/>
    <mergeCell ref="B67:H67"/>
    <mergeCell ref="B68:H68"/>
    <mergeCell ref="B69:H69"/>
    <mergeCell ref="B102:G102"/>
    <mergeCell ref="A64:H64"/>
    <mergeCell ref="A65:H65"/>
    <mergeCell ref="B57:H57"/>
    <mergeCell ref="B58:H58"/>
    <mergeCell ref="B59:H59"/>
    <mergeCell ref="B60:H60"/>
    <mergeCell ref="B61:H61"/>
    <mergeCell ref="B62:H62"/>
    <mergeCell ref="B63:H63"/>
    <mergeCell ref="B84:D84"/>
    <mergeCell ref="B85:D85"/>
    <mergeCell ref="B86:D86"/>
    <mergeCell ref="B78:D78"/>
    <mergeCell ref="B79:D79"/>
    <mergeCell ref="B80:D80"/>
    <mergeCell ref="B81:D81"/>
    <mergeCell ref="B82:D82"/>
    <mergeCell ref="B74:G74"/>
    <mergeCell ref="B76:D76"/>
  </mergeCells>
  <phoneticPr fontId="39" type="noConversion"/>
  <pageMargins left="0.23622047244094491" right="0.23622047244094491" top="0.3888888888888889" bottom="0.74803149606299213" header="0.31496062992125984" footer="0.31496062992125984"/>
  <pageSetup scale="81" fitToHeight="0" orientation="portrait" r:id="rId1"/>
  <headerFooter differentFirst="1">
    <oddHeader xml:space="preserve">&amp;L
&amp;C
</oddHeader>
    <oddFooter>&amp;C&amp;"HelveticaNeueLT Std,Regular"&amp;8BAVARO LA ALTAGRACIA, REPUBLICA DOMINICANA
TELÉFONOS: 829-8310497    CORREO: INFO@ELEMENTOCR.COM&amp;R&amp;"HelveticaNeueLT Std,Regular"&amp;P/&amp;N</oddFooter>
    <firstFooter>&amp;C&amp;"HelveticaNeueLT Std,Regular"&amp;8BAVARO LA ALTAGRACIA, REPUBLICA DOMINICANA
TELÉFONOS: 829-8310497    CORREO: INFO@ELEMENTOCR.COM&amp;R&amp;"HelveticaNeueLT Std,Regular"&amp;P/&amp;N</firstFooter>
  </headerFooter>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7A6A852F-D6A9-4582-94C9-051D58918121}">
          <x14:formula1>
            <xm:f>'Lista de Clientes'!$B$4:$B$28</xm:f>
          </x14:formula1>
          <xm:sqref>C43:D43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tabColor rgb="FF00B050"/>
    <outlinePr summaryBelow="0"/>
  </sheetPr>
  <dimension ref="A1:V154"/>
  <sheetViews>
    <sheetView topLeftCell="D1" zoomScale="110" zoomScaleNormal="110" zoomScalePageLayoutView="90" workbookViewId="0">
      <selection activeCell="D124" sqref="D124"/>
    </sheetView>
  </sheetViews>
  <sheetFormatPr baseColWidth="10" defaultColWidth="11.5" defaultRowHeight="13" outlineLevelRow="1"/>
  <cols>
    <col min="1" max="1" width="5" style="59" bestFit="1" customWidth="1"/>
    <col min="2" max="2" width="54.1640625" style="59" bestFit="1" customWidth="1"/>
    <col min="3" max="3" width="16.33203125" style="59" bestFit="1" customWidth="1"/>
    <col min="4" max="4" width="21.5" style="59" bestFit="1" customWidth="1"/>
    <col min="5" max="5" width="15.33203125" style="59" bestFit="1" customWidth="1"/>
    <col min="6" max="6" width="17.6640625" style="59" customWidth="1"/>
    <col min="7" max="7" width="15.1640625" style="59" bestFit="1" customWidth="1"/>
    <col min="8" max="9" width="11" style="59" bestFit="1" customWidth="1"/>
    <col min="10" max="10" width="11" style="59" customWidth="1"/>
    <col min="11" max="11" width="8.6640625" style="59" customWidth="1"/>
    <col min="12" max="12" width="58.33203125" style="59" bestFit="1" customWidth="1"/>
    <col min="13" max="14" width="16.5" style="59" customWidth="1"/>
    <col min="15" max="15" width="26.83203125" style="59" customWidth="1"/>
    <col min="16" max="16384" width="11.5" style="59"/>
  </cols>
  <sheetData>
    <row r="1" spans="1:20" ht="14" thickBot="1">
      <c r="A1" s="38"/>
      <c r="B1" s="38" t="s">
        <v>38</v>
      </c>
      <c r="C1" s="633" t="s">
        <v>39</v>
      </c>
      <c r="D1" s="633"/>
      <c r="E1" s="8">
        <f>+E10</f>
        <v>846.04513043478266</v>
      </c>
      <c r="F1" s="39"/>
      <c r="G1" s="39"/>
      <c r="H1" s="39"/>
      <c r="I1" s="39"/>
      <c r="J1" s="39"/>
      <c r="K1" s="39"/>
      <c r="M1" s="39" t="s">
        <v>40</v>
      </c>
      <c r="N1" s="39">
        <f>+'3. DESGLOSE DE MATERIALES'!N2</f>
        <v>57.5</v>
      </c>
      <c r="O1" s="39"/>
    </row>
    <row r="2" spans="1:20">
      <c r="A2" s="39"/>
      <c r="B2" s="39"/>
      <c r="C2" s="40"/>
      <c r="D2" s="40" t="str">
        <f>+D12</f>
        <v>Personal</v>
      </c>
      <c r="E2" s="41">
        <f>P33</f>
        <v>52.710869565217394</v>
      </c>
      <c r="F2" s="39"/>
      <c r="G2" s="39"/>
      <c r="H2" s="39"/>
      <c r="I2" s="39"/>
      <c r="J2" s="39"/>
      <c r="K2" s="39"/>
      <c r="L2" s="39"/>
      <c r="M2" s="39"/>
      <c r="N2" s="39"/>
      <c r="O2" s="39"/>
    </row>
    <row r="3" spans="1:20">
      <c r="A3" s="39"/>
      <c r="B3" s="39"/>
      <c r="C3" s="39"/>
      <c r="D3" s="39" t="str">
        <f>+D35</f>
        <v>Tercerizado</v>
      </c>
      <c r="E3" s="41">
        <f>G61</f>
        <v>521.73913043478262</v>
      </c>
      <c r="F3" s="39"/>
      <c r="G3" s="39"/>
      <c r="H3" s="39"/>
      <c r="I3" s="39"/>
      <c r="J3" s="39"/>
      <c r="K3" s="39"/>
      <c r="L3" s="39"/>
      <c r="M3" s="39"/>
      <c r="N3" s="39"/>
      <c r="O3" s="39"/>
    </row>
    <row r="4" spans="1:20">
      <c r="A4" s="39"/>
      <c r="B4" s="39"/>
      <c r="C4" s="39"/>
      <c r="D4" s="39" t="str">
        <f>+D67</f>
        <v>Transporte</v>
      </c>
      <c r="E4" s="41">
        <f>G82</f>
        <v>37.565217391304351</v>
      </c>
      <c r="F4" s="39"/>
      <c r="G4" s="39"/>
      <c r="H4" s="39"/>
      <c r="I4" s="39"/>
      <c r="J4" s="39"/>
      <c r="K4" s="39"/>
      <c r="L4" s="39"/>
      <c r="M4" s="39"/>
      <c r="N4" s="39"/>
      <c r="O4" s="39"/>
    </row>
    <row r="5" spans="1:20">
      <c r="A5" s="39"/>
      <c r="B5" s="39"/>
      <c r="C5" s="39"/>
      <c r="D5" s="39" t="str">
        <f>+D84</f>
        <v>Alimentación</v>
      </c>
      <c r="E5" s="41">
        <f>G98</f>
        <v>83.478260869565219</v>
      </c>
      <c r="F5" s="39"/>
      <c r="G5" s="39"/>
      <c r="H5" s="39"/>
      <c r="I5" s="39"/>
      <c r="J5" s="39"/>
      <c r="K5" s="39"/>
      <c r="L5" s="39"/>
      <c r="M5" s="39"/>
      <c r="N5" s="39"/>
      <c r="O5" s="39"/>
    </row>
    <row r="6" spans="1:20">
      <c r="A6" s="39"/>
      <c r="B6" s="39"/>
      <c r="C6" s="39"/>
      <c r="D6" s="39" t="str">
        <f>+D101</f>
        <v>EPP</v>
      </c>
      <c r="E6" s="41">
        <f>G120</f>
        <v>74.782608695652172</v>
      </c>
      <c r="F6" s="39"/>
      <c r="G6" s="39"/>
      <c r="H6" s="39"/>
      <c r="I6" s="39"/>
      <c r="J6" s="39"/>
      <c r="K6" s="39"/>
      <c r="L6" s="39"/>
      <c r="M6" s="39"/>
      <c r="N6" s="39"/>
      <c r="O6" s="39"/>
    </row>
    <row r="7" spans="1:20">
      <c r="A7" s="39"/>
      <c r="B7" s="39"/>
      <c r="C7" s="39"/>
      <c r="D7" s="39" t="str">
        <f>+D122</f>
        <v>Alquileres de EE</v>
      </c>
      <c r="E7" s="41">
        <f>G136</f>
        <v>37.565217391304351</v>
      </c>
      <c r="F7" s="39"/>
      <c r="G7" s="39"/>
      <c r="H7" s="39"/>
      <c r="I7" s="39"/>
      <c r="J7" s="39"/>
      <c r="K7" s="39"/>
      <c r="L7" s="39"/>
      <c r="M7" s="39"/>
      <c r="N7" s="39"/>
      <c r="O7" s="39"/>
    </row>
    <row r="8" spans="1:20">
      <c r="A8" s="39"/>
      <c r="B8" s="39"/>
      <c r="C8" s="39"/>
      <c r="D8" s="39" t="str">
        <f>+D138</f>
        <v>Capacitación Especial</v>
      </c>
      <c r="E8" s="41">
        <f>G152</f>
        <v>38.203826086956518</v>
      </c>
      <c r="F8" s="39"/>
      <c r="G8" s="39"/>
      <c r="H8" s="39"/>
      <c r="I8" s="39"/>
      <c r="J8" s="39"/>
      <c r="K8" s="39"/>
      <c r="L8" s="39"/>
      <c r="M8" s="39"/>
      <c r="N8" s="42"/>
      <c r="O8" s="39"/>
    </row>
    <row r="9" spans="1:20" ht="14" thickBot="1">
      <c r="A9" s="43"/>
      <c r="B9" s="43"/>
      <c r="C9" s="43"/>
      <c r="D9" s="43" t="s">
        <v>41</v>
      </c>
      <c r="E9" s="44"/>
      <c r="F9" s="39"/>
      <c r="G9" s="39"/>
      <c r="H9" s="39"/>
      <c r="I9" s="39"/>
      <c r="J9" s="39"/>
      <c r="K9" s="39"/>
      <c r="L9" s="39"/>
      <c r="M9" s="39"/>
      <c r="N9" s="39"/>
      <c r="O9" s="39"/>
    </row>
    <row r="10" spans="1:20">
      <c r="A10" s="39"/>
      <c r="B10" s="39"/>
      <c r="C10" s="39"/>
      <c r="D10" s="45" t="s">
        <v>42</v>
      </c>
      <c r="E10" s="41">
        <f>SUM(E2:E9)</f>
        <v>846.04513043478266</v>
      </c>
      <c r="F10" s="39"/>
      <c r="G10" s="39"/>
      <c r="H10" s="39"/>
      <c r="I10" s="39"/>
      <c r="J10" s="39"/>
      <c r="K10" s="39"/>
      <c r="L10" s="39"/>
      <c r="M10" s="39"/>
      <c r="N10" s="39"/>
      <c r="O10" s="39"/>
    </row>
    <row r="11" spans="1:20" ht="14" thickBot="1">
      <c r="E11" s="60"/>
    </row>
    <row r="12" spans="1:20" ht="14" thickBot="1">
      <c r="A12" s="39"/>
      <c r="B12" s="39"/>
      <c r="C12" s="39"/>
      <c r="D12" s="94" t="s">
        <v>43</v>
      </c>
      <c r="E12" s="101">
        <f>+O33</f>
        <v>3030.875</v>
      </c>
      <c r="F12" s="39"/>
      <c r="G12" s="39"/>
      <c r="H12" s="39"/>
      <c r="I12" s="39"/>
      <c r="J12" s="39"/>
      <c r="K12" s="39"/>
      <c r="L12" s="39"/>
      <c r="M12" s="39"/>
      <c r="N12" s="39"/>
      <c r="O12" s="39"/>
    </row>
    <row r="13" spans="1:20" ht="28" outlineLevel="1">
      <c r="A13" s="11" t="s">
        <v>44</v>
      </c>
      <c r="B13" s="11" t="s">
        <v>45</v>
      </c>
      <c r="C13" s="15" t="s">
        <v>46</v>
      </c>
      <c r="D13" s="82" t="s">
        <v>47</v>
      </c>
      <c r="E13" s="82" t="s">
        <v>48</v>
      </c>
      <c r="F13" s="11" t="s">
        <v>937</v>
      </c>
      <c r="G13" s="11" t="s">
        <v>938</v>
      </c>
      <c r="H13" s="11" t="s">
        <v>939</v>
      </c>
      <c r="I13" s="11" t="s">
        <v>940</v>
      </c>
      <c r="J13" s="11" t="s">
        <v>49</v>
      </c>
      <c r="K13" s="15" t="s">
        <v>50</v>
      </c>
      <c r="L13" s="61" t="s">
        <v>51</v>
      </c>
      <c r="M13" s="61" t="s">
        <v>52</v>
      </c>
      <c r="N13" s="61" t="s">
        <v>53</v>
      </c>
      <c r="O13" s="62" t="s">
        <v>54</v>
      </c>
    </row>
    <row r="14" spans="1:20" outlineLevel="1">
      <c r="A14" s="46">
        <v>1</v>
      </c>
      <c r="B14" s="47" t="s">
        <v>55</v>
      </c>
      <c r="C14" s="74">
        <f>2500*N1</f>
        <v>143750</v>
      </c>
      <c r="D14" s="48">
        <v>0</v>
      </c>
      <c r="E14" s="49"/>
      <c r="F14" s="74"/>
      <c r="G14" s="48">
        <v>0</v>
      </c>
      <c r="H14" s="48">
        <v>0</v>
      </c>
      <c r="I14" s="48"/>
      <c r="J14" s="48"/>
      <c r="K14" s="48">
        <v>0</v>
      </c>
      <c r="L14" s="74">
        <f>C14</f>
        <v>143750</v>
      </c>
      <c r="M14" s="74">
        <f>+L14/20</f>
        <v>7187.5</v>
      </c>
      <c r="N14" s="63">
        <v>0</v>
      </c>
      <c r="O14" s="74">
        <f>+N14*M14</f>
        <v>0</v>
      </c>
    </row>
    <row r="15" spans="1:20" outlineLevel="1">
      <c r="A15" s="46">
        <v>2</v>
      </c>
      <c r="B15" s="47" t="s">
        <v>56</v>
      </c>
      <c r="C15" s="74">
        <v>117000</v>
      </c>
      <c r="D15" s="48">
        <v>0</v>
      </c>
      <c r="E15" s="49"/>
      <c r="F15" s="74"/>
      <c r="G15" s="48">
        <v>0</v>
      </c>
      <c r="H15" s="48">
        <v>0</v>
      </c>
      <c r="I15" s="48"/>
      <c r="J15" s="48"/>
      <c r="K15" s="48">
        <v>0</v>
      </c>
      <c r="L15" s="74">
        <f>C15</f>
        <v>117000</v>
      </c>
      <c r="M15" s="74">
        <f t="shared" ref="M15:M23" si="0">+L15/20</f>
        <v>5850</v>
      </c>
      <c r="N15" s="63">
        <v>0</v>
      </c>
      <c r="O15" s="74">
        <f t="shared" ref="O15:O23" si="1">+N15*M15</f>
        <v>0</v>
      </c>
      <c r="P15" s="60"/>
      <c r="S15" s="64"/>
    </row>
    <row r="16" spans="1:20" outlineLevel="1">
      <c r="A16" s="46">
        <v>3</v>
      </c>
      <c r="B16" s="47" t="s">
        <v>57</v>
      </c>
      <c r="C16" s="74">
        <f>1000*N1</f>
        <v>57500</v>
      </c>
      <c r="D16" s="48"/>
      <c r="E16" s="49"/>
      <c r="F16" s="74">
        <v>840</v>
      </c>
      <c r="G16" s="74">
        <f>5*N1</f>
        <v>287.5</v>
      </c>
      <c r="H16" s="74">
        <f>12*$N$1</f>
        <v>690</v>
      </c>
      <c r="I16" s="74">
        <v>800</v>
      </c>
      <c r="J16" s="74">
        <v>500</v>
      </c>
      <c r="K16" s="74">
        <v>0</v>
      </c>
      <c r="L16" s="74">
        <f>SUM(C16:K16)</f>
        <v>60617.5</v>
      </c>
      <c r="M16" s="74">
        <f t="shared" si="0"/>
        <v>3030.875</v>
      </c>
      <c r="N16" s="63">
        <v>1</v>
      </c>
      <c r="O16" s="74">
        <f t="shared" si="1"/>
        <v>3030.875</v>
      </c>
      <c r="T16" s="65"/>
    </row>
    <row r="17" spans="1:22" outlineLevel="1">
      <c r="A17" s="46">
        <v>4</v>
      </c>
      <c r="B17" s="47" t="s">
        <v>58</v>
      </c>
      <c r="C17" s="74">
        <f>1000*N1</f>
        <v>57500</v>
      </c>
      <c r="D17" s="48"/>
      <c r="E17" s="49"/>
      <c r="F17" s="74"/>
      <c r="G17" s="74">
        <v>0</v>
      </c>
      <c r="H17" s="74">
        <v>0</v>
      </c>
      <c r="I17" s="74"/>
      <c r="J17" s="74"/>
      <c r="K17" s="74">
        <v>0</v>
      </c>
      <c r="L17" s="74">
        <f t="shared" ref="L17:L23" si="2">C17</f>
        <v>57500</v>
      </c>
      <c r="M17" s="74">
        <f t="shared" si="0"/>
        <v>2875</v>
      </c>
      <c r="N17" s="63">
        <v>0</v>
      </c>
      <c r="O17" s="74">
        <f t="shared" si="1"/>
        <v>0</v>
      </c>
      <c r="R17" s="64"/>
      <c r="T17" s="66"/>
    </row>
    <row r="18" spans="1:22" outlineLevel="1">
      <c r="A18" s="46">
        <v>5</v>
      </c>
      <c r="B18" s="47" t="s">
        <v>59</v>
      </c>
      <c r="C18" s="74">
        <v>29250</v>
      </c>
      <c r="D18" s="48"/>
      <c r="E18" s="49"/>
      <c r="F18" s="74"/>
      <c r="G18" s="48">
        <v>0</v>
      </c>
      <c r="H18" s="48">
        <v>0</v>
      </c>
      <c r="I18" s="48"/>
      <c r="J18" s="48"/>
      <c r="K18" s="48">
        <v>0</v>
      </c>
      <c r="L18" s="74">
        <f t="shared" si="2"/>
        <v>29250</v>
      </c>
      <c r="M18" s="74">
        <f t="shared" si="0"/>
        <v>1462.5</v>
      </c>
      <c r="N18" s="63">
        <v>0</v>
      </c>
      <c r="O18" s="74">
        <f t="shared" si="1"/>
        <v>0</v>
      </c>
      <c r="R18" s="64"/>
      <c r="T18" s="66"/>
      <c r="U18" s="66"/>
      <c r="V18" s="66"/>
    </row>
    <row r="19" spans="1:22" outlineLevel="1">
      <c r="A19" s="46">
        <v>6</v>
      </c>
      <c r="B19" s="47" t="s">
        <v>60</v>
      </c>
      <c r="C19" s="74">
        <v>17550</v>
      </c>
      <c r="D19" s="48"/>
      <c r="E19" s="49"/>
      <c r="F19" s="74"/>
      <c r="G19" s="48">
        <v>0</v>
      </c>
      <c r="H19" s="48">
        <v>0</v>
      </c>
      <c r="I19" s="48"/>
      <c r="J19" s="48"/>
      <c r="K19" s="48">
        <v>0</v>
      </c>
      <c r="L19" s="74">
        <f t="shared" si="2"/>
        <v>17550</v>
      </c>
      <c r="M19" s="74">
        <f t="shared" si="0"/>
        <v>877.5</v>
      </c>
      <c r="N19" s="63">
        <v>0</v>
      </c>
      <c r="O19" s="74">
        <f t="shared" si="1"/>
        <v>0</v>
      </c>
    </row>
    <row r="20" spans="1:22" outlineLevel="1">
      <c r="A20" s="46">
        <v>7</v>
      </c>
      <c r="B20" s="47" t="s">
        <v>60</v>
      </c>
      <c r="C20" s="74">
        <v>17550</v>
      </c>
      <c r="D20" s="48"/>
      <c r="E20" s="49"/>
      <c r="F20" s="74"/>
      <c r="G20" s="48">
        <v>0</v>
      </c>
      <c r="H20" s="48">
        <v>0</v>
      </c>
      <c r="I20" s="48"/>
      <c r="J20" s="48"/>
      <c r="K20" s="48">
        <v>0</v>
      </c>
      <c r="L20" s="74">
        <f t="shared" si="2"/>
        <v>17550</v>
      </c>
      <c r="M20" s="74">
        <f t="shared" si="0"/>
        <v>877.5</v>
      </c>
      <c r="N20" s="63">
        <v>0</v>
      </c>
      <c r="O20" s="74">
        <f t="shared" si="1"/>
        <v>0</v>
      </c>
    </row>
    <row r="21" spans="1:22" outlineLevel="1">
      <c r="A21" s="46">
        <v>8</v>
      </c>
      <c r="B21" s="47" t="s">
        <v>60</v>
      </c>
      <c r="C21" s="74">
        <v>17550</v>
      </c>
      <c r="D21" s="48"/>
      <c r="E21" s="49"/>
      <c r="F21" s="74"/>
      <c r="G21" s="48">
        <v>0</v>
      </c>
      <c r="H21" s="48">
        <v>0</v>
      </c>
      <c r="I21" s="48"/>
      <c r="J21" s="48"/>
      <c r="K21" s="48">
        <v>0</v>
      </c>
      <c r="L21" s="74">
        <f t="shared" si="2"/>
        <v>17550</v>
      </c>
      <c r="M21" s="74">
        <f t="shared" si="0"/>
        <v>877.5</v>
      </c>
      <c r="N21" s="63">
        <v>0</v>
      </c>
      <c r="O21" s="74">
        <f t="shared" si="1"/>
        <v>0</v>
      </c>
    </row>
    <row r="22" spans="1:22" outlineLevel="1">
      <c r="A22" s="46">
        <v>9</v>
      </c>
      <c r="B22" s="47" t="s">
        <v>60</v>
      </c>
      <c r="C22" s="74">
        <v>17550</v>
      </c>
      <c r="D22" s="48"/>
      <c r="E22" s="49"/>
      <c r="F22" s="74"/>
      <c r="G22" s="48">
        <v>0</v>
      </c>
      <c r="H22" s="48">
        <v>0</v>
      </c>
      <c r="I22" s="48"/>
      <c r="J22" s="48"/>
      <c r="K22" s="48">
        <v>0</v>
      </c>
      <c r="L22" s="74">
        <f t="shared" si="2"/>
        <v>17550</v>
      </c>
      <c r="M22" s="74">
        <f t="shared" si="0"/>
        <v>877.5</v>
      </c>
      <c r="N22" s="63">
        <v>0</v>
      </c>
      <c r="O22" s="74">
        <f t="shared" si="1"/>
        <v>0</v>
      </c>
    </row>
    <row r="23" spans="1:22" outlineLevel="1">
      <c r="A23" s="46">
        <v>10</v>
      </c>
      <c r="B23" s="47" t="s">
        <v>61</v>
      </c>
      <c r="C23" s="74">
        <v>35100</v>
      </c>
      <c r="D23" s="48"/>
      <c r="E23" s="49"/>
      <c r="F23" s="74"/>
      <c r="G23" s="48"/>
      <c r="H23" s="48"/>
      <c r="I23" s="48"/>
      <c r="J23" s="48"/>
      <c r="K23" s="48"/>
      <c r="L23" s="74">
        <f t="shared" si="2"/>
        <v>35100</v>
      </c>
      <c r="M23" s="74">
        <f t="shared" si="0"/>
        <v>1755</v>
      </c>
      <c r="N23" s="63">
        <v>0</v>
      </c>
      <c r="O23" s="74">
        <f t="shared" si="1"/>
        <v>0</v>
      </c>
    </row>
    <row r="24" spans="1:22" outlineLevel="1">
      <c r="A24" s="50"/>
      <c r="B24" s="39"/>
      <c r="C24" s="39"/>
      <c r="D24" s="51"/>
      <c r="E24" s="39"/>
      <c r="F24" s="51"/>
      <c r="G24" s="51"/>
      <c r="H24" s="51"/>
      <c r="I24" s="51"/>
      <c r="J24" s="51"/>
      <c r="K24" s="51"/>
      <c r="L24" s="41"/>
      <c r="M24" s="41"/>
      <c r="N24" s="67" t="s">
        <v>62</v>
      </c>
      <c r="O24" s="74">
        <f>SUM(O14:O23)</f>
        <v>3030.875</v>
      </c>
    </row>
    <row r="25" spans="1:22" outlineLevel="1">
      <c r="A25" s="50"/>
      <c r="B25" s="39"/>
      <c r="C25" s="52">
        <f>+C16*575</f>
        <v>33062500</v>
      </c>
      <c r="D25" s="53"/>
      <c r="E25" s="52"/>
      <c r="F25" s="53"/>
      <c r="G25" s="51"/>
      <c r="H25" s="51"/>
      <c r="I25" s="51"/>
      <c r="J25" s="51"/>
      <c r="K25" s="51"/>
      <c r="L25" s="41"/>
      <c r="M25" s="41"/>
      <c r="N25" s="67" t="s">
        <v>63</v>
      </c>
      <c r="O25" s="98">
        <v>1</v>
      </c>
    </row>
    <row r="26" spans="1:22" ht="12.75" customHeight="1" outlineLevel="1">
      <c r="A26" s="39"/>
      <c r="B26" s="39"/>
      <c r="C26" s="52"/>
      <c r="D26" s="52"/>
      <c r="E26" s="52"/>
      <c r="F26" s="54">
        <v>96000</v>
      </c>
      <c r="G26" s="39"/>
      <c r="H26" s="39"/>
      <c r="I26" s="39"/>
      <c r="J26" s="39"/>
      <c r="K26" s="39"/>
      <c r="L26" s="7"/>
      <c r="M26" s="7"/>
      <c r="N26" s="68" t="s">
        <v>64</v>
      </c>
      <c r="O26" s="99">
        <f>+O24*O25</f>
        <v>3030.875</v>
      </c>
    </row>
    <row r="27" spans="1:22" outlineLevel="1">
      <c r="A27" s="39"/>
      <c r="B27" s="39"/>
      <c r="C27" s="52">
        <f>800*10*5</f>
        <v>40000</v>
      </c>
      <c r="D27" s="52"/>
      <c r="E27" s="52"/>
      <c r="F27" s="52">
        <f>+F26/47.2</f>
        <v>2033.8983050847457</v>
      </c>
      <c r="G27" s="39"/>
      <c r="H27" s="39"/>
      <c r="I27" s="39"/>
      <c r="J27" s="39"/>
      <c r="K27" s="39"/>
      <c r="L27" s="39"/>
      <c r="M27" s="39"/>
      <c r="N27" s="39"/>
      <c r="O27" s="39"/>
    </row>
    <row r="28" spans="1:22" ht="12.75" customHeight="1" outlineLevel="1">
      <c r="A28" s="39"/>
      <c r="B28" s="39"/>
      <c r="C28" s="52">
        <f>+C27*4.33</f>
        <v>173200</v>
      </c>
      <c r="D28" s="52"/>
      <c r="E28" s="52"/>
      <c r="F28" s="52"/>
      <c r="G28" s="39"/>
      <c r="H28" s="39"/>
      <c r="I28" s="39"/>
      <c r="J28" s="39"/>
      <c r="K28" s="39"/>
      <c r="L28" s="39"/>
      <c r="M28" s="39"/>
      <c r="N28" s="630" t="s">
        <v>65</v>
      </c>
      <c r="O28" s="631"/>
    </row>
    <row r="29" spans="1:22" outlineLevel="1">
      <c r="A29" s="39"/>
      <c r="B29" s="39"/>
      <c r="C29" s="52">
        <f>+C28/575</f>
        <v>301.21739130434781</v>
      </c>
      <c r="D29" s="52"/>
      <c r="E29" s="52"/>
      <c r="F29" s="52"/>
      <c r="G29" s="39"/>
      <c r="H29" s="39"/>
      <c r="I29" s="39"/>
      <c r="J29" s="39"/>
      <c r="K29" s="39"/>
      <c r="L29" s="39"/>
      <c r="M29" s="39"/>
      <c r="N29" s="55" t="s">
        <v>63</v>
      </c>
      <c r="O29" s="56">
        <v>0</v>
      </c>
    </row>
    <row r="30" spans="1:22" outlineLevel="1">
      <c r="A30" s="39"/>
      <c r="B30" s="39"/>
      <c r="C30" s="39"/>
      <c r="D30" s="39"/>
      <c r="E30" s="39"/>
      <c r="F30" s="39"/>
      <c r="G30" s="39"/>
      <c r="H30" s="39"/>
      <c r="I30" s="39"/>
      <c r="J30" s="39"/>
      <c r="K30" s="39"/>
      <c r="L30" s="39"/>
      <c r="M30" s="39"/>
      <c r="N30" s="55" t="s">
        <v>66</v>
      </c>
      <c r="O30" s="69">
        <v>1.7000000000000001E-2</v>
      </c>
    </row>
    <row r="31" spans="1:22" outlineLevel="1">
      <c r="A31" s="39"/>
      <c r="B31" s="39"/>
      <c r="C31" s="39"/>
      <c r="D31" s="39"/>
      <c r="E31" s="39"/>
      <c r="F31" s="39"/>
      <c r="G31" s="39"/>
      <c r="H31" s="39"/>
      <c r="I31" s="39"/>
      <c r="J31" s="39"/>
      <c r="K31" s="39"/>
      <c r="L31" s="39"/>
      <c r="M31" s="39"/>
      <c r="N31" s="55" t="s">
        <v>67</v>
      </c>
      <c r="O31" s="69">
        <f>+O29*O30</f>
        <v>0</v>
      </c>
    </row>
    <row r="32" spans="1:22" outlineLevel="1">
      <c r="A32" s="39"/>
      <c r="B32" s="39"/>
      <c r="C32" s="39"/>
      <c r="D32" s="39"/>
      <c r="E32" s="39"/>
      <c r="F32" s="39"/>
      <c r="G32" s="39"/>
      <c r="H32" s="39"/>
      <c r="I32" s="39"/>
      <c r="J32" s="39"/>
      <c r="K32" s="39"/>
      <c r="L32" s="39"/>
      <c r="M32" s="39"/>
      <c r="N32" s="55" t="s">
        <v>68</v>
      </c>
      <c r="O32" s="57">
        <f>+O26*O31</f>
        <v>0</v>
      </c>
    </row>
    <row r="33" spans="1:16" outlineLevel="1">
      <c r="A33" s="39"/>
      <c r="B33" s="39"/>
      <c r="C33" s="39"/>
      <c r="D33" s="39"/>
      <c r="E33" s="39"/>
      <c r="F33" s="39"/>
      <c r="G33" s="39"/>
      <c r="H33" s="39"/>
      <c r="I33" s="39"/>
      <c r="J33" s="39"/>
      <c r="K33" s="39"/>
      <c r="L33" s="39"/>
      <c r="M33" s="39"/>
      <c r="N33" s="12" t="s">
        <v>42</v>
      </c>
      <c r="O33" s="81">
        <f>+(O26+O32)</f>
        <v>3030.875</v>
      </c>
      <c r="P33" s="100">
        <f>+O33/N1</f>
        <v>52.710869565217394</v>
      </c>
    </row>
    <row r="34" spans="1:16" s="39" customFormat="1" ht="14" thickBot="1">
      <c r="D34" s="96"/>
      <c r="E34" s="97"/>
    </row>
    <row r="35" spans="1:16" ht="14" thickBot="1">
      <c r="A35" s="39"/>
      <c r="B35" s="45"/>
      <c r="C35" s="78"/>
      <c r="D35" s="95" t="s">
        <v>95</v>
      </c>
      <c r="E35" s="101">
        <f>+F61</f>
        <v>30000</v>
      </c>
      <c r="F35" s="39"/>
    </row>
    <row r="36" spans="1:16" ht="14" outlineLevel="1">
      <c r="A36" s="18" t="s">
        <v>44</v>
      </c>
      <c r="B36" s="18" t="s">
        <v>70</v>
      </c>
      <c r="C36" s="19" t="s">
        <v>96</v>
      </c>
      <c r="D36" s="92" t="s">
        <v>90</v>
      </c>
      <c r="E36" s="93" t="s">
        <v>74</v>
      </c>
      <c r="F36" s="16" t="s">
        <v>97</v>
      </c>
    </row>
    <row r="37" spans="1:16" outlineLevel="1">
      <c r="A37" s="30">
        <v>1</v>
      </c>
      <c r="B37" s="79" t="s">
        <v>98</v>
      </c>
      <c r="C37" s="30">
        <v>0</v>
      </c>
      <c r="D37" s="84">
        <v>600</v>
      </c>
      <c r="E37" s="84">
        <f>+D37*C37</f>
        <v>0</v>
      </c>
      <c r="F37" s="31">
        <f>+E37/$N$1</f>
        <v>0</v>
      </c>
      <c r="L37" s="160" t="s">
        <v>99</v>
      </c>
      <c r="M37" s="59">
        <v>3000</v>
      </c>
    </row>
    <row r="38" spans="1:16" outlineLevel="1">
      <c r="A38" s="30">
        <f>+A37+1</f>
        <v>2</v>
      </c>
      <c r="B38" s="79" t="s">
        <v>100</v>
      </c>
      <c r="C38" s="30">
        <v>0</v>
      </c>
      <c r="D38" s="84">
        <v>100</v>
      </c>
      <c r="E38" s="84">
        <f t="shared" ref="E38:E52" si="3">+D38*C38</f>
        <v>0</v>
      </c>
      <c r="F38" s="31">
        <f t="shared" ref="F38:F52" si="4">+E38/$N$1</f>
        <v>0</v>
      </c>
      <c r="L38" s="160" t="s">
        <v>101</v>
      </c>
      <c r="M38" s="59">
        <v>5600</v>
      </c>
    </row>
    <row r="39" spans="1:16" outlineLevel="1">
      <c r="A39" s="30">
        <f t="shared" ref="A39:A52" si="5">+A38+1</f>
        <v>3</v>
      </c>
      <c r="B39" s="79" t="s">
        <v>102</v>
      </c>
      <c r="C39" s="30">
        <v>1</v>
      </c>
      <c r="D39" s="84">
        <v>30000</v>
      </c>
      <c r="E39" s="84">
        <f t="shared" si="3"/>
        <v>30000</v>
      </c>
      <c r="F39" s="31">
        <f t="shared" si="4"/>
        <v>521.73913043478262</v>
      </c>
      <c r="L39" s="160"/>
    </row>
    <row r="40" spans="1:16" outlineLevel="1">
      <c r="A40" s="30">
        <f t="shared" si="5"/>
        <v>4</v>
      </c>
      <c r="B40" s="79"/>
      <c r="C40" s="30"/>
      <c r="D40" s="84">
        <v>500</v>
      </c>
      <c r="E40" s="84">
        <f t="shared" si="3"/>
        <v>0</v>
      </c>
      <c r="F40" s="31">
        <f t="shared" si="4"/>
        <v>0</v>
      </c>
      <c r="L40" s="160" t="s">
        <v>103</v>
      </c>
    </row>
    <row r="41" spans="1:16" outlineLevel="1">
      <c r="A41" s="30">
        <f t="shared" si="5"/>
        <v>5</v>
      </c>
      <c r="B41" s="29"/>
      <c r="C41" s="30"/>
      <c r="D41" s="84">
        <v>600</v>
      </c>
      <c r="E41" s="84">
        <f t="shared" si="3"/>
        <v>0</v>
      </c>
      <c r="F41" s="31">
        <f t="shared" si="4"/>
        <v>0</v>
      </c>
      <c r="L41" s="160" t="s">
        <v>104</v>
      </c>
      <c r="M41" s="59">
        <v>2400</v>
      </c>
    </row>
    <row r="42" spans="1:16" outlineLevel="1">
      <c r="A42" s="30">
        <f t="shared" si="5"/>
        <v>6</v>
      </c>
      <c r="B42" s="29"/>
      <c r="C42" s="30"/>
      <c r="D42" s="84">
        <v>350</v>
      </c>
      <c r="E42" s="84">
        <f t="shared" si="3"/>
        <v>0</v>
      </c>
      <c r="F42" s="31">
        <f t="shared" si="4"/>
        <v>0</v>
      </c>
      <c r="L42" s="160" t="s">
        <v>105</v>
      </c>
      <c r="M42" s="59">
        <v>4000</v>
      </c>
    </row>
    <row r="43" spans="1:16" outlineLevel="1">
      <c r="A43" s="30">
        <f t="shared" si="5"/>
        <v>7</v>
      </c>
      <c r="B43" s="29"/>
      <c r="C43" s="30"/>
      <c r="D43" s="84">
        <v>600</v>
      </c>
      <c r="E43" s="84">
        <f t="shared" si="3"/>
        <v>0</v>
      </c>
      <c r="F43" s="31">
        <f t="shared" si="4"/>
        <v>0</v>
      </c>
      <c r="L43" s="160" t="s">
        <v>106</v>
      </c>
      <c r="M43" s="59">
        <v>8400</v>
      </c>
    </row>
    <row r="44" spans="1:16" outlineLevel="1">
      <c r="A44" s="30">
        <f t="shared" si="5"/>
        <v>8</v>
      </c>
      <c r="B44" s="29"/>
      <c r="C44" s="30"/>
      <c r="D44" s="84">
        <v>250</v>
      </c>
      <c r="E44" s="84">
        <f t="shared" si="3"/>
        <v>0</v>
      </c>
      <c r="F44" s="31">
        <f t="shared" si="4"/>
        <v>0</v>
      </c>
      <c r="L44" s="160" t="s">
        <v>107</v>
      </c>
      <c r="M44" s="59">
        <v>4900</v>
      </c>
    </row>
    <row r="45" spans="1:16" outlineLevel="1">
      <c r="A45" s="30">
        <f t="shared" si="5"/>
        <v>9</v>
      </c>
      <c r="B45" s="29"/>
      <c r="C45" s="30"/>
      <c r="D45" s="84">
        <v>600</v>
      </c>
      <c r="E45" s="84">
        <f t="shared" si="3"/>
        <v>0</v>
      </c>
      <c r="F45" s="31">
        <f t="shared" si="4"/>
        <v>0</v>
      </c>
      <c r="L45" s="161" t="s">
        <v>108</v>
      </c>
    </row>
    <row r="46" spans="1:16" s="80" customFormat="1" outlineLevel="1">
      <c r="A46" s="30">
        <f t="shared" si="5"/>
        <v>10</v>
      </c>
      <c r="B46" s="29"/>
      <c r="C46" s="30"/>
      <c r="D46" s="84">
        <v>250</v>
      </c>
      <c r="E46" s="84">
        <f t="shared" si="3"/>
        <v>0</v>
      </c>
      <c r="F46" s="31">
        <f t="shared" si="4"/>
        <v>0</v>
      </c>
      <c r="L46" s="160" t="s">
        <v>109</v>
      </c>
      <c r="M46" s="59">
        <v>2400</v>
      </c>
    </row>
    <row r="47" spans="1:16" outlineLevel="1">
      <c r="A47" s="30">
        <f t="shared" si="5"/>
        <v>11</v>
      </c>
      <c r="B47" s="29"/>
      <c r="C47" s="30"/>
      <c r="D47" s="84">
        <v>200</v>
      </c>
      <c r="E47" s="84">
        <f t="shared" si="3"/>
        <v>0</v>
      </c>
      <c r="F47" s="31">
        <f t="shared" si="4"/>
        <v>0</v>
      </c>
      <c r="L47" s="160" t="s">
        <v>110</v>
      </c>
      <c r="M47" s="59">
        <v>1000</v>
      </c>
    </row>
    <row r="48" spans="1:16" outlineLevel="1">
      <c r="A48" s="30">
        <f t="shared" si="5"/>
        <v>12</v>
      </c>
      <c r="B48" s="29"/>
      <c r="C48" s="30"/>
      <c r="D48" s="84">
        <v>200</v>
      </c>
      <c r="E48" s="84">
        <f t="shared" si="3"/>
        <v>0</v>
      </c>
      <c r="F48" s="31">
        <f t="shared" si="4"/>
        <v>0</v>
      </c>
      <c r="L48" s="160" t="s">
        <v>111</v>
      </c>
      <c r="M48" s="59">
        <v>3000</v>
      </c>
    </row>
    <row r="49" spans="1:13" outlineLevel="1">
      <c r="A49" s="30">
        <f t="shared" si="5"/>
        <v>13</v>
      </c>
      <c r="B49" s="29"/>
      <c r="C49" s="30"/>
      <c r="D49" s="84">
        <v>600</v>
      </c>
      <c r="E49" s="84">
        <f t="shared" si="3"/>
        <v>0</v>
      </c>
      <c r="F49" s="31">
        <f t="shared" si="4"/>
        <v>0</v>
      </c>
      <c r="L49" s="160" t="s">
        <v>112</v>
      </c>
      <c r="M49" s="59">
        <v>1250</v>
      </c>
    </row>
    <row r="50" spans="1:13" outlineLevel="1">
      <c r="A50" s="30">
        <f t="shared" si="5"/>
        <v>14</v>
      </c>
      <c r="B50" s="29"/>
      <c r="C50" s="30"/>
      <c r="D50" s="84">
        <v>2500</v>
      </c>
      <c r="E50" s="84">
        <f t="shared" si="3"/>
        <v>0</v>
      </c>
      <c r="F50" s="31">
        <f t="shared" si="4"/>
        <v>0</v>
      </c>
      <c r="L50" s="160" t="s">
        <v>113</v>
      </c>
      <c r="M50" s="59">
        <v>4800</v>
      </c>
    </row>
    <row r="51" spans="1:13" outlineLevel="1">
      <c r="A51" s="30">
        <f t="shared" si="5"/>
        <v>15</v>
      </c>
      <c r="B51" s="29"/>
      <c r="C51" s="30"/>
      <c r="D51" s="84">
        <v>3000</v>
      </c>
      <c r="E51" s="84">
        <f t="shared" si="3"/>
        <v>0</v>
      </c>
      <c r="F51" s="31">
        <f t="shared" si="4"/>
        <v>0</v>
      </c>
      <c r="L51" s="160" t="s">
        <v>114</v>
      </c>
      <c r="M51" s="59">
        <v>4800</v>
      </c>
    </row>
    <row r="52" spans="1:13" ht="14" outlineLevel="1" thickBot="1">
      <c r="A52" s="30">
        <f t="shared" si="5"/>
        <v>16</v>
      </c>
      <c r="B52" s="29"/>
      <c r="C52" s="30"/>
      <c r="D52" s="85"/>
      <c r="E52" s="85">
        <f t="shared" si="3"/>
        <v>0</v>
      </c>
      <c r="F52" s="86">
        <f t="shared" si="4"/>
        <v>0</v>
      </c>
      <c r="L52" s="160" t="s">
        <v>115</v>
      </c>
      <c r="M52" s="59">
        <v>600</v>
      </c>
    </row>
    <row r="53" spans="1:13" ht="15" outlineLevel="1" thickBot="1">
      <c r="A53" s="39"/>
      <c r="B53" s="39"/>
      <c r="C53" s="39"/>
      <c r="D53" s="87" t="s">
        <v>18</v>
      </c>
      <c r="E53" s="88">
        <f>SUM(E37:E52)</f>
        <v>30000</v>
      </c>
      <c r="F53" s="89">
        <f>SUM(F37:F52)</f>
        <v>521.73913043478262</v>
      </c>
      <c r="L53" s="160" t="s">
        <v>116</v>
      </c>
      <c r="M53" s="59">
        <v>2500</v>
      </c>
    </row>
    <row r="54" spans="1:13" outlineLevel="1">
      <c r="A54" s="39"/>
      <c r="B54" s="39"/>
      <c r="C54" s="39"/>
      <c r="D54" s="39"/>
      <c r="E54" s="39"/>
      <c r="L54" s="59" t="s">
        <v>117</v>
      </c>
      <c r="M54" s="59">
        <v>3000</v>
      </c>
    </row>
    <row r="55" spans="1:13" ht="17.5" customHeight="1" outlineLevel="1">
      <c r="A55" s="39"/>
      <c r="B55" s="39"/>
      <c r="C55" s="39"/>
      <c r="E55" s="630" t="s">
        <v>65</v>
      </c>
      <c r="F55" s="631"/>
      <c r="M55" s="59">
        <f>SUM(M37:M54)</f>
        <v>51650</v>
      </c>
    </row>
    <row r="56" spans="1:13" outlineLevel="1">
      <c r="A56" s="39"/>
      <c r="B56" s="39"/>
      <c r="C56" s="39"/>
      <c r="E56" s="55" t="s">
        <v>63</v>
      </c>
      <c r="F56" s="56">
        <v>0</v>
      </c>
      <c r="L56" s="59" t="s">
        <v>118</v>
      </c>
    </row>
    <row r="57" spans="1:13" outlineLevel="1">
      <c r="A57" s="39"/>
      <c r="B57" s="39"/>
      <c r="C57" s="39"/>
      <c r="E57" s="55" t="s">
        <v>66</v>
      </c>
      <c r="F57" s="69">
        <v>1.7000000000000001E-2</v>
      </c>
    </row>
    <row r="58" spans="1:13" outlineLevel="1">
      <c r="A58" s="39"/>
      <c r="B58" s="39"/>
      <c r="C58" s="39"/>
      <c r="E58" s="55" t="s">
        <v>67</v>
      </c>
      <c r="F58" s="69">
        <f>+F56*F57</f>
        <v>0</v>
      </c>
    </row>
    <row r="59" spans="1:13" outlineLevel="1">
      <c r="A59" s="39"/>
      <c r="B59" s="39"/>
      <c r="C59" s="39"/>
      <c r="E59" s="55" t="s">
        <v>68</v>
      </c>
      <c r="F59" s="57">
        <f>+E53*F58</f>
        <v>0</v>
      </c>
    </row>
    <row r="60" spans="1:13" outlineLevel="1">
      <c r="A60" s="39"/>
      <c r="B60" s="39"/>
      <c r="C60" s="39"/>
      <c r="E60" s="55" t="s">
        <v>119</v>
      </c>
      <c r="F60" s="58"/>
    </row>
    <row r="61" spans="1:13" outlineLevel="1">
      <c r="A61" s="39"/>
      <c r="B61" s="39"/>
      <c r="C61" s="39"/>
      <c r="E61" s="12" t="s">
        <v>86</v>
      </c>
      <c r="F61" s="81">
        <f>+E53+F59</f>
        <v>30000</v>
      </c>
      <c r="G61" s="102">
        <f>+F61/$N$1</f>
        <v>521.73913043478262</v>
      </c>
    </row>
    <row r="62" spans="1:13" s="39" customFormat="1">
      <c r="D62" s="96"/>
      <c r="E62" s="97"/>
    </row>
    <row r="63" spans="1:13" s="39" customFormat="1">
      <c r="D63" s="96"/>
      <c r="E63" s="97"/>
    </row>
    <row r="64" spans="1:13" s="39" customFormat="1">
      <c r="D64" s="96"/>
      <c r="E64" s="97"/>
    </row>
    <row r="65" spans="1:15" s="39" customFormat="1">
      <c r="D65" s="96"/>
      <c r="E65" s="97"/>
    </row>
    <row r="66" spans="1:15" s="39" customFormat="1" ht="14" thickBot="1">
      <c r="D66" s="96"/>
      <c r="E66" s="97"/>
    </row>
    <row r="67" spans="1:15" ht="14" thickBot="1">
      <c r="A67" s="39"/>
      <c r="B67" s="39"/>
      <c r="C67" s="39"/>
      <c r="D67" s="94" t="s">
        <v>69</v>
      </c>
      <c r="E67" s="101">
        <f>+F82</f>
        <v>2160</v>
      </c>
      <c r="F67" s="39"/>
      <c r="G67" s="39"/>
      <c r="H67" s="39"/>
      <c r="I67" s="39"/>
      <c r="J67" s="39"/>
      <c r="K67" s="39"/>
      <c r="L67" s="39"/>
      <c r="M67" s="39"/>
      <c r="N67" s="39"/>
      <c r="O67" s="39"/>
    </row>
    <row r="68" spans="1:15" ht="14" outlineLevel="1">
      <c r="A68" s="14" t="s">
        <v>44</v>
      </c>
      <c r="B68" s="14" t="s">
        <v>70</v>
      </c>
      <c r="C68" s="15" t="s">
        <v>71</v>
      </c>
      <c r="D68" s="82" t="s">
        <v>72</v>
      </c>
      <c r="E68" s="82" t="s">
        <v>73</v>
      </c>
      <c r="F68" s="16" t="s">
        <v>74</v>
      </c>
      <c r="G68" s="39"/>
      <c r="H68" s="39"/>
      <c r="I68" s="39"/>
      <c r="J68" s="39"/>
      <c r="L68" s="39"/>
      <c r="M68" s="634" t="s">
        <v>75</v>
      </c>
      <c r="N68" s="635"/>
      <c r="O68" s="636"/>
    </row>
    <row r="69" spans="1:15" ht="33.75" customHeight="1" outlineLevel="1">
      <c r="A69" s="46">
        <v>1</v>
      </c>
      <c r="B69" s="176" t="s">
        <v>76</v>
      </c>
      <c r="C69" s="46">
        <v>0</v>
      </c>
      <c r="D69" s="46"/>
      <c r="E69" s="177"/>
      <c r="F69" s="177"/>
      <c r="G69" s="70"/>
      <c r="H69" s="39"/>
      <c r="I69" s="39"/>
      <c r="J69" s="39"/>
      <c r="K69" s="39"/>
      <c r="L69" s="39"/>
      <c r="M69" s="71" t="s">
        <v>77</v>
      </c>
      <c r="N69" s="72" t="s">
        <v>78</v>
      </c>
      <c r="O69" s="73" t="s">
        <v>79</v>
      </c>
    </row>
    <row r="70" spans="1:15" ht="33.75" customHeight="1" outlineLevel="1" thickBot="1">
      <c r="A70" s="46">
        <v>2</v>
      </c>
      <c r="B70" s="46" t="s">
        <v>80</v>
      </c>
      <c r="C70" s="46">
        <v>4</v>
      </c>
      <c r="D70" s="77">
        <v>15</v>
      </c>
      <c r="E70" s="177">
        <v>36</v>
      </c>
      <c r="F70" s="77">
        <f>+C70*D70*E70</f>
        <v>2160</v>
      </c>
      <c r="G70" s="45"/>
      <c r="H70" s="39"/>
      <c r="I70" s="39"/>
      <c r="J70" s="39"/>
      <c r="K70" s="39"/>
      <c r="L70" s="39"/>
      <c r="M70" s="22" t="s">
        <v>81</v>
      </c>
      <c r="N70" s="20" t="s">
        <v>82</v>
      </c>
      <c r="O70" s="21" t="s">
        <v>83</v>
      </c>
    </row>
    <row r="71" spans="1:15" outlineLevel="1">
      <c r="A71" s="46">
        <v>3</v>
      </c>
      <c r="B71" s="46" t="s">
        <v>84</v>
      </c>
      <c r="C71" s="46">
        <v>0</v>
      </c>
      <c r="D71" s="178">
        <v>5.2649999999999997</v>
      </c>
      <c r="E71" s="177">
        <v>5</v>
      </c>
      <c r="F71" s="77">
        <f>+C71*D71*E71</f>
        <v>0</v>
      </c>
      <c r="G71" s="39"/>
      <c r="H71" s="39"/>
      <c r="I71" s="39"/>
      <c r="J71" s="39"/>
      <c r="K71" s="39"/>
      <c r="L71" s="39"/>
      <c r="M71" s="75"/>
      <c r="N71" s="76"/>
      <c r="O71" s="76"/>
    </row>
    <row r="72" spans="1:15" outlineLevel="1">
      <c r="A72" s="46">
        <v>4</v>
      </c>
      <c r="B72" s="46" t="s">
        <v>85</v>
      </c>
      <c r="C72" s="46">
        <v>0</v>
      </c>
      <c r="D72" s="77">
        <v>5.2649999999999997</v>
      </c>
      <c r="E72" s="177">
        <v>2</v>
      </c>
      <c r="F72" s="77">
        <f>+C72*D72*E72</f>
        <v>0</v>
      </c>
      <c r="G72" s="39"/>
      <c r="H72" s="39"/>
      <c r="I72" s="39"/>
      <c r="J72" s="39"/>
      <c r="K72" s="39"/>
      <c r="L72" s="39"/>
      <c r="M72" s="39"/>
      <c r="N72" s="39"/>
      <c r="O72" s="39"/>
    </row>
    <row r="73" spans="1:15" outlineLevel="1">
      <c r="A73" s="46">
        <v>5</v>
      </c>
      <c r="B73" s="179"/>
      <c r="C73" s="179"/>
      <c r="D73" s="180"/>
      <c r="E73" s="180"/>
      <c r="F73" s="180"/>
      <c r="G73" s="39"/>
      <c r="H73" s="39"/>
      <c r="I73" s="39"/>
      <c r="J73" s="39"/>
      <c r="K73" s="39"/>
      <c r="L73" s="39"/>
      <c r="M73" s="39"/>
      <c r="N73" s="39"/>
      <c r="O73" s="39"/>
    </row>
    <row r="74" spans="1:15" outlineLevel="1">
      <c r="A74" s="46">
        <v>6</v>
      </c>
      <c r="B74" s="46"/>
      <c r="C74" s="46"/>
      <c r="D74" s="46"/>
      <c r="E74" s="177"/>
      <c r="F74" s="177">
        <f>+C74*D74*E74</f>
        <v>0</v>
      </c>
      <c r="G74" s="39"/>
      <c r="H74" s="39"/>
      <c r="I74" s="39"/>
      <c r="J74" s="39"/>
      <c r="K74" s="39"/>
      <c r="L74" s="39"/>
      <c r="M74" s="39"/>
      <c r="N74" s="39"/>
      <c r="O74" s="39"/>
    </row>
    <row r="75" spans="1:15" ht="14" outlineLevel="1">
      <c r="A75" s="39"/>
      <c r="B75" s="39"/>
      <c r="C75" s="39"/>
      <c r="D75" s="39"/>
      <c r="E75" s="17" t="s">
        <v>64</v>
      </c>
      <c r="F75" s="81">
        <f>SUM(F70:F74)</f>
        <v>2160</v>
      </c>
      <c r="G75" s="39"/>
      <c r="H75" s="39"/>
      <c r="I75" s="39"/>
      <c r="J75" s="39"/>
      <c r="K75" s="39"/>
      <c r="L75" s="39"/>
      <c r="M75" s="39"/>
      <c r="N75" s="39"/>
      <c r="O75" s="39"/>
    </row>
    <row r="76" spans="1:15" outlineLevel="1">
      <c r="A76" s="39"/>
      <c r="B76" s="39"/>
      <c r="C76" s="39"/>
      <c r="D76" s="39"/>
      <c r="E76" s="39"/>
      <c r="F76" s="39"/>
      <c r="G76" s="39"/>
      <c r="H76" s="39"/>
      <c r="I76" s="39"/>
      <c r="J76" s="39"/>
      <c r="K76" s="39"/>
      <c r="L76" s="39"/>
      <c r="M76" s="39"/>
      <c r="N76" s="39"/>
      <c r="O76" s="39"/>
    </row>
    <row r="77" spans="1:15" ht="12.75" customHeight="1" outlineLevel="1">
      <c r="A77" s="39"/>
      <c r="B77" s="39"/>
      <c r="C77" s="39"/>
      <c r="D77" s="39"/>
      <c r="E77" s="630" t="s">
        <v>65</v>
      </c>
      <c r="F77" s="631"/>
      <c r="G77" s="39"/>
      <c r="H77" s="39"/>
      <c r="I77" s="39"/>
      <c r="J77" s="39"/>
      <c r="K77" s="39"/>
      <c r="N77" s="39"/>
      <c r="O77" s="39"/>
    </row>
    <row r="78" spans="1:15" outlineLevel="1">
      <c r="A78" s="39"/>
      <c r="B78" s="39"/>
      <c r="C78" s="39"/>
      <c r="D78" s="39"/>
      <c r="E78" s="55" t="s">
        <v>63</v>
      </c>
      <c r="F78" s="56">
        <v>0</v>
      </c>
      <c r="G78" s="39"/>
      <c r="H78" s="39"/>
      <c r="I78" s="39"/>
      <c r="J78" s="39"/>
      <c r="K78" s="39"/>
      <c r="L78" s="39"/>
      <c r="M78" s="39"/>
      <c r="N78" s="39"/>
      <c r="O78" s="39"/>
    </row>
    <row r="79" spans="1:15" outlineLevel="1">
      <c r="A79" s="39"/>
      <c r="B79" s="39"/>
      <c r="C79" s="39"/>
      <c r="D79" s="39"/>
      <c r="E79" s="55" t="s">
        <v>66</v>
      </c>
      <c r="F79" s="69">
        <v>1.7000000000000001E-2</v>
      </c>
      <c r="G79" s="39"/>
      <c r="H79" s="39"/>
      <c r="I79" s="39"/>
      <c r="J79" s="39"/>
      <c r="K79" s="39"/>
      <c r="L79" s="39"/>
      <c r="M79" s="39"/>
      <c r="N79" s="39"/>
      <c r="O79" s="39"/>
    </row>
    <row r="80" spans="1:15" outlineLevel="1">
      <c r="A80" s="39"/>
      <c r="B80" s="39"/>
      <c r="C80" s="39"/>
      <c r="D80" s="39"/>
      <c r="E80" s="55" t="s">
        <v>67</v>
      </c>
      <c r="F80" s="69">
        <f>+F78*F79</f>
        <v>0</v>
      </c>
      <c r="G80" s="39"/>
      <c r="H80" s="39"/>
      <c r="I80" s="39"/>
      <c r="J80" s="39"/>
      <c r="K80" s="39"/>
      <c r="L80" s="39"/>
      <c r="M80" s="39"/>
      <c r="N80" s="39"/>
      <c r="O80" s="39"/>
    </row>
    <row r="81" spans="1:7" outlineLevel="1">
      <c r="A81" s="39"/>
      <c r="B81" s="39"/>
      <c r="C81" s="39"/>
      <c r="D81" s="39"/>
      <c r="E81" s="55" t="s">
        <v>68</v>
      </c>
      <c r="F81" s="57">
        <f>+F75*F80</f>
        <v>0</v>
      </c>
    </row>
    <row r="82" spans="1:7" outlineLevel="1">
      <c r="A82" s="39"/>
      <c r="B82" s="39"/>
      <c r="C82" s="39"/>
      <c r="D82" s="39"/>
      <c r="E82" s="12" t="s">
        <v>86</v>
      </c>
      <c r="F82" s="81">
        <f>+(F75+F81)</f>
        <v>2160</v>
      </c>
      <c r="G82" s="102">
        <f>+F82/$N$1</f>
        <v>37.565217391304351</v>
      </c>
    </row>
    <row r="83" spans="1:7" s="39" customFormat="1" ht="14" thickBot="1">
      <c r="D83" s="1"/>
      <c r="E83" s="2"/>
    </row>
    <row r="84" spans="1:7" ht="14" thickBot="1">
      <c r="A84" s="39"/>
      <c r="B84" s="39"/>
      <c r="C84" s="39"/>
      <c r="D84" s="94" t="s">
        <v>87</v>
      </c>
      <c r="E84" s="101">
        <f>+F98</f>
        <v>4800</v>
      </c>
      <c r="F84" s="39"/>
    </row>
    <row r="85" spans="1:7" ht="14" outlineLevel="1">
      <c r="A85" s="18" t="s">
        <v>44</v>
      </c>
      <c r="B85" s="18" t="s">
        <v>70</v>
      </c>
      <c r="C85" s="19" t="s">
        <v>88</v>
      </c>
      <c r="D85" s="92" t="s">
        <v>89</v>
      </c>
      <c r="E85" s="93" t="s">
        <v>90</v>
      </c>
      <c r="F85" s="16" t="s">
        <v>74</v>
      </c>
    </row>
    <row r="86" spans="1:7" outlineLevel="1">
      <c r="A86" s="46">
        <v>1</v>
      </c>
      <c r="B86" s="47" t="s">
        <v>91</v>
      </c>
      <c r="C86" s="46">
        <v>0</v>
      </c>
      <c r="D86" s="46">
        <v>0</v>
      </c>
      <c r="E86" s="77">
        <v>125</v>
      </c>
      <c r="F86" s="77">
        <f>+E86*D86*C86</f>
        <v>0</v>
      </c>
    </row>
    <row r="87" spans="1:7" outlineLevel="1">
      <c r="A87" s="46">
        <v>2</v>
      </c>
      <c r="B87" s="47" t="s">
        <v>92</v>
      </c>
      <c r="C87" s="46">
        <v>6</v>
      </c>
      <c r="D87" s="46">
        <v>4</v>
      </c>
      <c r="E87" s="77">
        <v>200</v>
      </c>
      <c r="F87" s="77">
        <f>+E87*D87*C87</f>
        <v>4800</v>
      </c>
    </row>
    <row r="88" spans="1:7" outlineLevel="1">
      <c r="A88" s="46">
        <v>3</v>
      </c>
      <c r="B88" s="47" t="s">
        <v>93</v>
      </c>
      <c r="C88" s="46">
        <v>0</v>
      </c>
      <c r="D88" s="46">
        <v>0</v>
      </c>
      <c r="E88" s="77">
        <v>125</v>
      </c>
      <c r="F88" s="77">
        <f>+E88*D88*C88</f>
        <v>0</v>
      </c>
    </row>
    <row r="89" spans="1:7" outlineLevel="1">
      <c r="A89" s="46">
        <v>4</v>
      </c>
      <c r="B89" s="47" t="s">
        <v>94</v>
      </c>
      <c r="C89" s="46">
        <v>0</v>
      </c>
      <c r="D89" s="46">
        <v>0</v>
      </c>
      <c r="E89" s="77">
        <v>1200</v>
      </c>
      <c r="F89" s="77">
        <f>+E89*D89*C89</f>
        <v>0</v>
      </c>
    </row>
    <row r="90" spans="1:7" outlineLevel="1">
      <c r="A90" s="46">
        <v>5</v>
      </c>
      <c r="B90" s="47"/>
      <c r="C90" s="46"/>
      <c r="D90" s="46"/>
      <c r="E90" s="47"/>
      <c r="F90" s="77">
        <f>+E90*D90*C90</f>
        <v>0</v>
      </c>
    </row>
    <row r="91" spans="1:7" ht="14" outlineLevel="1">
      <c r="A91" s="39"/>
      <c r="B91" s="39"/>
      <c r="C91" s="39"/>
      <c r="D91" s="39"/>
      <c r="E91" s="17" t="s">
        <v>64</v>
      </c>
      <c r="F91" s="81">
        <f>SUM(F86:F90)</f>
        <v>4800</v>
      </c>
    </row>
    <row r="92" spans="1:7" outlineLevel="1">
      <c r="A92" s="39"/>
      <c r="B92" s="39"/>
      <c r="C92" s="39"/>
      <c r="D92" s="39"/>
      <c r="E92" s="39"/>
      <c r="F92" s="39"/>
    </row>
    <row r="93" spans="1:7" outlineLevel="1">
      <c r="A93" s="39"/>
      <c r="B93" s="39"/>
      <c r="C93" s="39"/>
      <c r="D93" s="39"/>
      <c r="E93" s="632" t="s">
        <v>65</v>
      </c>
      <c r="F93" s="632"/>
    </row>
    <row r="94" spans="1:7" outlineLevel="1">
      <c r="A94" s="39"/>
      <c r="B94" s="39"/>
      <c r="C94" s="39"/>
      <c r="D94" s="39"/>
      <c r="E94" s="55" t="s">
        <v>63</v>
      </c>
      <c r="F94" s="56">
        <v>0</v>
      </c>
    </row>
    <row r="95" spans="1:7" outlineLevel="1">
      <c r="A95" s="39"/>
      <c r="B95" s="39"/>
      <c r="C95" s="39"/>
      <c r="D95" s="39"/>
      <c r="E95" s="55" t="s">
        <v>66</v>
      </c>
      <c r="F95" s="69">
        <v>1.7000000000000001E-2</v>
      </c>
    </row>
    <row r="96" spans="1:7" outlineLevel="1">
      <c r="A96" s="39"/>
      <c r="B96" s="39"/>
      <c r="C96" s="39"/>
      <c r="D96" s="39"/>
      <c r="E96" s="55" t="s">
        <v>67</v>
      </c>
      <c r="F96" s="69">
        <f>+F94*F95</f>
        <v>0</v>
      </c>
    </row>
    <row r="97" spans="1:12" outlineLevel="1">
      <c r="A97" s="39"/>
      <c r="B97" s="39"/>
      <c r="C97" s="39"/>
      <c r="D97" s="39"/>
      <c r="E97" s="55" t="s">
        <v>68</v>
      </c>
      <c r="F97" s="57">
        <f>+F91*F96</f>
        <v>0</v>
      </c>
    </row>
    <row r="98" spans="1:12" outlineLevel="1">
      <c r="A98" s="39"/>
      <c r="B98" s="39"/>
      <c r="C98" s="39"/>
      <c r="D98" s="39"/>
      <c r="E98" s="12" t="s">
        <v>86</v>
      </c>
      <c r="F98" s="81">
        <f>+(F91+F97)</f>
        <v>4800</v>
      </c>
      <c r="G98" s="102">
        <f>+F98/N1</f>
        <v>83.478260869565219</v>
      </c>
    </row>
    <row r="99" spans="1:12">
      <c r="A99" s="39"/>
      <c r="B99" s="39"/>
      <c r="C99" s="39"/>
      <c r="D99" s="39"/>
      <c r="E99" s="39"/>
      <c r="F99" s="39"/>
    </row>
    <row r="100" spans="1:12" ht="14" thickBot="1">
      <c r="A100" s="39"/>
      <c r="B100" s="39"/>
      <c r="C100" s="39"/>
      <c r="D100" s="39"/>
      <c r="E100" s="39"/>
    </row>
    <row r="101" spans="1:12" ht="14" thickBot="1">
      <c r="A101" s="39"/>
      <c r="B101" s="39"/>
      <c r="C101" s="39"/>
      <c r="D101" s="94" t="s">
        <v>120</v>
      </c>
      <c r="E101" s="101">
        <f>+F120</f>
        <v>4300</v>
      </c>
    </row>
    <row r="102" spans="1:12" ht="14" outlineLevel="1">
      <c r="A102" s="18" t="s">
        <v>44</v>
      </c>
      <c r="B102" s="18" t="s">
        <v>70</v>
      </c>
      <c r="C102" s="19" t="s">
        <v>96</v>
      </c>
      <c r="D102" s="92" t="s">
        <v>90</v>
      </c>
      <c r="E102" s="93" t="s">
        <v>74</v>
      </c>
      <c r="F102" s="16" t="s">
        <v>121</v>
      </c>
    </row>
    <row r="103" spans="1:12" outlineLevel="1">
      <c r="A103" s="46">
        <v>1</v>
      </c>
      <c r="B103" s="47" t="s">
        <v>122</v>
      </c>
      <c r="C103" s="46">
        <v>3</v>
      </c>
      <c r="D103" s="84">
        <v>650</v>
      </c>
      <c r="E103" s="84">
        <f>+C103*D103</f>
        <v>1950</v>
      </c>
      <c r="F103" s="31">
        <f>+E103/$N$1</f>
        <v>33.913043478260867</v>
      </c>
      <c r="L103" s="80"/>
    </row>
    <row r="104" spans="1:12" outlineLevel="1">
      <c r="A104" s="46">
        <v>2</v>
      </c>
      <c r="B104" s="47" t="s">
        <v>123</v>
      </c>
      <c r="C104" s="46">
        <v>3</v>
      </c>
      <c r="D104" s="84">
        <v>250</v>
      </c>
      <c r="E104" s="84">
        <f t="shared" ref="E104:E111" si="6">+C104*D104</f>
        <v>750</v>
      </c>
      <c r="F104" s="31">
        <f t="shared" ref="F104:F112" si="7">+E104/$N$1</f>
        <v>13.043478260869565</v>
      </c>
      <c r="L104" s="80"/>
    </row>
    <row r="105" spans="1:12" outlineLevel="1">
      <c r="A105" s="46">
        <v>3</v>
      </c>
      <c r="B105" s="47" t="s">
        <v>124</v>
      </c>
      <c r="C105" s="46">
        <v>0</v>
      </c>
      <c r="D105" s="84">
        <v>2000</v>
      </c>
      <c r="E105" s="84">
        <f t="shared" si="6"/>
        <v>0</v>
      </c>
      <c r="F105" s="31">
        <f t="shared" si="7"/>
        <v>0</v>
      </c>
      <c r="L105" s="80"/>
    </row>
    <row r="106" spans="1:12" outlineLevel="1">
      <c r="A106" s="46">
        <v>4</v>
      </c>
      <c r="B106" s="47" t="s">
        <v>125</v>
      </c>
      <c r="C106" s="46">
        <v>0</v>
      </c>
      <c r="D106" s="84">
        <v>5000</v>
      </c>
      <c r="E106" s="84">
        <f t="shared" si="6"/>
        <v>0</v>
      </c>
      <c r="F106" s="31">
        <f t="shared" si="7"/>
        <v>0</v>
      </c>
      <c r="L106" s="80"/>
    </row>
    <row r="107" spans="1:12" outlineLevel="1">
      <c r="A107" s="46">
        <v>5</v>
      </c>
      <c r="B107" s="47" t="s">
        <v>126</v>
      </c>
      <c r="C107" s="46">
        <v>0</v>
      </c>
      <c r="D107" s="84">
        <v>10000</v>
      </c>
      <c r="E107" s="84">
        <f t="shared" si="6"/>
        <v>0</v>
      </c>
      <c r="F107" s="31">
        <f t="shared" si="7"/>
        <v>0</v>
      </c>
      <c r="L107" s="80"/>
    </row>
    <row r="108" spans="1:12" outlineLevel="1">
      <c r="A108" s="46">
        <v>6</v>
      </c>
      <c r="B108" s="47" t="s">
        <v>127</v>
      </c>
      <c r="C108" s="46">
        <v>4</v>
      </c>
      <c r="D108" s="84">
        <v>400</v>
      </c>
      <c r="E108" s="84">
        <f t="shared" si="6"/>
        <v>1600</v>
      </c>
      <c r="F108" s="31">
        <f t="shared" si="7"/>
        <v>27.826086956521738</v>
      </c>
      <c r="L108" s="80"/>
    </row>
    <row r="109" spans="1:12" outlineLevel="1">
      <c r="A109" s="46">
        <v>7</v>
      </c>
      <c r="B109" s="47" t="s">
        <v>128</v>
      </c>
      <c r="C109" s="46">
        <v>0</v>
      </c>
      <c r="D109" s="84">
        <v>50000</v>
      </c>
      <c r="E109" s="84">
        <f t="shared" si="6"/>
        <v>0</v>
      </c>
      <c r="F109" s="31">
        <f t="shared" si="7"/>
        <v>0</v>
      </c>
      <c r="L109" s="80"/>
    </row>
    <row r="110" spans="1:12" outlineLevel="1">
      <c r="A110" s="46">
        <v>8</v>
      </c>
      <c r="B110" s="47" t="s">
        <v>129</v>
      </c>
      <c r="C110" s="46">
        <v>0</v>
      </c>
      <c r="D110" s="84">
        <v>50000</v>
      </c>
      <c r="E110" s="84">
        <f t="shared" si="6"/>
        <v>0</v>
      </c>
      <c r="F110" s="31">
        <f t="shared" si="7"/>
        <v>0</v>
      </c>
      <c r="L110" s="80"/>
    </row>
    <row r="111" spans="1:12" outlineLevel="1">
      <c r="A111" s="46">
        <v>9</v>
      </c>
      <c r="B111" s="47" t="s">
        <v>130</v>
      </c>
      <c r="C111" s="46">
        <v>0</v>
      </c>
      <c r="D111" s="84">
        <v>50000</v>
      </c>
      <c r="E111" s="84">
        <f t="shared" si="6"/>
        <v>0</v>
      </c>
      <c r="F111" s="31">
        <f t="shared" si="7"/>
        <v>0</v>
      </c>
      <c r="L111" s="80"/>
    </row>
    <row r="112" spans="1:12" ht="14" outlineLevel="1" thickBot="1">
      <c r="A112" s="46">
        <v>10</v>
      </c>
      <c r="B112" s="47" t="s">
        <v>131</v>
      </c>
      <c r="C112" s="46">
        <v>0</v>
      </c>
      <c r="D112" s="84">
        <v>885</v>
      </c>
      <c r="E112" s="84">
        <f t="shared" ref="E112" si="8">+C112*D112</f>
        <v>0</v>
      </c>
      <c r="F112" s="86">
        <f t="shared" si="7"/>
        <v>0</v>
      </c>
      <c r="L112" s="80"/>
    </row>
    <row r="113" spans="1:12" ht="15" outlineLevel="1" thickBot="1">
      <c r="A113" s="39"/>
      <c r="B113" s="39"/>
      <c r="C113" s="39"/>
      <c r="D113" s="87" t="s">
        <v>18</v>
      </c>
      <c r="E113" s="88">
        <f>SUM(E103:E112)</f>
        <v>4300</v>
      </c>
      <c r="F113" s="91">
        <f>SUM(F103:F112)</f>
        <v>74.782608695652172</v>
      </c>
      <c r="L113" s="80"/>
    </row>
    <row r="114" spans="1:12" outlineLevel="1">
      <c r="A114" s="39"/>
      <c r="B114" s="39"/>
      <c r="C114" s="39"/>
      <c r="D114" s="39"/>
      <c r="E114" s="39"/>
    </row>
    <row r="115" spans="1:12" ht="13.5" customHeight="1" outlineLevel="1">
      <c r="A115" s="39"/>
      <c r="B115" s="39"/>
      <c r="C115" s="39"/>
      <c r="E115" s="630" t="s">
        <v>65</v>
      </c>
      <c r="F115" s="631"/>
    </row>
    <row r="116" spans="1:12" outlineLevel="1">
      <c r="A116" s="39"/>
      <c r="B116" s="39"/>
      <c r="C116" s="39"/>
      <c r="E116" s="55" t="s">
        <v>63</v>
      </c>
      <c r="F116" s="56">
        <v>0</v>
      </c>
    </row>
    <row r="117" spans="1:12" outlineLevel="1">
      <c r="A117" s="39"/>
      <c r="B117" s="39"/>
      <c r="C117" s="39"/>
      <c r="E117" s="55" t="s">
        <v>66</v>
      </c>
      <c r="F117" s="69">
        <v>1.7000000000000001E-2</v>
      </c>
    </row>
    <row r="118" spans="1:12" outlineLevel="1">
      <c r="A118" s="39"/>
      <c r="B118" s="39"/>
      <c r="C118" s="39"/>
      <c r="E118" s="55" t="s">
        <v>67</v>
      </c>
      <c r="F118" s="69">
        <f>+F116*F117</f>
        <v>0</v>
      </c>
    </row>
    <row r="119" spans="1:12" outlineLevel="1">
      <c r="A119" s="39"/>
      <c r="B119" s="39"/>
      <c r="C119" s="39"/>
      <c r="E119" s="55" t="s">
        <v>68</v>
      </c>
      <c r="F119" s="57">
        <f>+E113*F118</f>
        <v>0</v>
      </c>
    </row>
    <row r="120" spans="1:12" outlineLevel="1">
      <c r="A120" s="39"/>
      <c r="B120" s="39"/>
      <c r="C120" s="39"/>
      <c r="E120" s="12" t="s">
        <v>42</v>
      </c>
      <c r="F120" s="81">
        <f>+E113+F119</f>
        <v>4300</v>
      </c>
      <c r="G120" s="102">
        <f>+F120/N1</f>
        <v>74.782608695652172</v>
      </c>
    </row>
    <row r="121" spans="1:12" ht="14" thickBot="1">
      <c r="A121" s="39"/>
      <c r="B121" s="39"/>
      <c r="C121" s="39"/>
      <c r="D121" s="39"/>
      <c r="E121" s="39"/>
    </row>
    <row r="122" spans="1:12" ht="14" thickBot="1">
      <c r="A122" s="39"/>
      <c r="B122" s="39"/>
      <c r="C122" s="39"/>
      <c r="D122" s="83" t="s">
        <v>132</v>
      </c>
      <c r="E122" s="101">
        <f>+F136</f>
        <v>2160</v>
      </c>
    </row>
    <row r="123" spans="1:12" ht="14" outlineLevel="1">
      <c r="A123" s="18" t="s">
        <v>44</v>
      </c>
      <c r="B123" s="18" t="s">
        <v>70</v>
      </c>
      <c r="C123" s="19" t="s">
        <v>96</v>
      </c>
      <c r="D123" s="92" t="s">
        <v>90</v>
      </c>
      <c r="E123" s="93" t="s">
        <v>74</v>
      </c>
      <c r="F123" s="16" t="s">
        <v>121</v>
      </c>
    </row>
    <row r="124" spans="1:12" outlineLevel="1">
      <c r="A124" s="46">
        <v>1</v>
      </c>
      <c r="B124" s="47" t="s">
        <v>918</v>
      </c>
      <c r="C124" s="46">
        <v>1</v>
      </c>
      <c r="D124" s="474">
        <f>F70</f>
        <v>2160</v>
      </c>
      <c r="E124" s="84">
        <f>+C124*D124</f>
        <v>2160</v>
      </c>
      <c r="F124" s="31">
        <f>+E124/$N$1</f>
        <v>37.565217391304351</v>
      </c>
    </row>
    <row r="125" spans="1:12" outlineLevel="1">
      <c r="A125" s="46">
        <v>2</v>
      </c>
      <c r="B125" s="47"/>
      <c r="C125" s="46">
        <v>0</v>
      </c>
      <c r="D125" s="47"/>
      <c r="E125" s="84">
        <f>+C125*D125</f>
        <v>0</v>
      </c>
      <c r="F125" s="31">
        <f>+E125/$N$1</f>
        <v>0</v>
      </c>
    </row>
    <row r="126" spans="1:12" outlineLevel="1">
      <c r="A126" s="46">
        <v>3</v>
      </c>
      <c r="B126" s="47"/>
      <c r="C126" s="46">
        <v>0</v>
      </c>
      <c r="D126" s="47"/>
      <c r="E126" s="84">
        <f>+C126*D126</f>
        <v>0</v>
      </c>
      <c r="F126" s="31">
        <f>+E126/$N$1</f>
        <v>0</v>
      </c>
    </row>
    <row r="127" spans="1:12" outlineLevel="1">
      <c r="A127" s="46">
        <v>4</v>
      </c>
      <c r="B127" s="47"/>
      <c r="C127" s="46"/>
      <c r="D127" s="47"/>
      <c r="E127" s="84">
        <f>+C127*D127</f>
        <v>0</v>
      </c>
      <c r="F127" s="31">
        <f>+E127/$N$1</f>
        <v>0</v>
      </c>
    </row>
    <row r="128" spans="1:12" ht="14" outlineLevel="1" thickBot="1">
      <c r="A128" s="46">
        <v>5</v>
      </c>
      <c r="B128" s="47"/>
      <c r="C128" s="46"/>
      <c r="D128" s="90"/>
      <c r="E128" s="85">
        <f>+C128*D128</f>
        <v>0</v>
      </c>
      <c r="F128" s="86">
        <f>+E128/$N$1</f>
        <v>0</v>
      </c>
    </row>
    <row r="129" spans="1:7" ht="15" outlineLevel="1" thickBot="1">
      <c r="A129" s="39"/>
      <c r="B129" s="39"/>
      <c r="C129" s="39"/>
      <c r="D129" s="87" t="s">
        <v>18</v>
      </c>
      <c r="E129" s="88">
        <f>SUM(E124:E128)</f>
        <v>2160</v>
      </c>
      <c r="F129" s="89">
        <f>SUM(F124:F128)</f>
        <v>37.565217391304351</v>
      </c>
    </row>
    <row r="130" spans="1:7" outlineLevel="1">
      <c r="A130" s="39"/>
      <c r="B130" s="39"/>
      <c r="C130" s="39"/>
      <c r="D130" s="39"/>
      <c r="E130" s="39"/>
    </row>
    <row r="131" spans="1:7" ht="15.5" customHeight="1" outlineLevel="1">
      <c r="A131" s="39"/>
      <c r="B131" s="39"/>
      <c r="C131" s="39"/>
      <c r="E131" s="632" t="s">
        <v>65</v>
      </c>
      <c r="F131" s="632"/>
    </row>
    <row r="132" spans="1:7" outlineLevel="1">
      <c r="A132" s="39"/>
      <c r="B132" s="39"/>
      <c r="C132" s="39"/>
      <c r="E132" s="55" t="s">
        <v>63</v>
      </c>
      <c r="F132" s="56">
        <v>0</v>
      </c>
    </row>
    <row r="133" spans="1:7" outlineLevel="1">
      <c r="A133" s="39"/>
      <c r="B133" s="39"/>
      <c r="C133" s="39"/>
      <c r="E133" s="55" t="s">
        <v>66</v>
      </c>
      <c r="F133" s="69">
        <v>1.7000000000000001E-2</v>
      </c>
    </row>
    <row r="134" spans="1:7" outlineLevel="1">
      <c r="A134" s="39"/>
      <c r="B134" s="39"/>
      <c r="C134" s="39"/>
      <c r="E134" s="55" t="s">
        <v>67</v>
      </c>
      <c r="F134" s="69">
        <f>+F132*F133</f>
        <v>0</v>
      </c>
    </row>
    <row r="135" spans="1:7" outlineLevel="1">
      <c r="A135" s="39"/>
      <c r="B135" s="39"/>
      <c r="C135" s="39"/>
      <c r="E135" s="55" t="s">
        <v>68</v>
      </c>
      <c r="F135" s="57">
        <f>+E129*F134</f>
        <v>0</v>
      </c>
    </row>
    <row r="136" spans="1:7" outlineLevel="1">
      <c r="A136" s="39"/>
      <c r="B136" s="39"/>
      <c r="C136" s="39"/>
      <c r="E136" s="12" t="s">
        <v>42</v>
      </c>
      <c r="F136" s="81">
        <f>+E129+F135</f>
        <v>2160</v>
      </c>
      <c r="G136" s="102">
        <f>+F136/N1</f>
        <v>37.565217391304351</v>
      </c>
    </row>
    <row r="137" spans="1:7" ht="14" thickBot="1">
      <c r="A137" s="39"/>
      <c r="B137" s="39"/>
      <c r="C137" s="39"/>
      <c r="D137" s="39"/>
      <c r="E137" s="39"/>
    </row>
    <row r="138" spans="1:7" ht="14" thickBot="1">
      <c r="A138" s="39"/>
      <c r="B138" s="39"/>
      <c r="C138" s="39"/>
      <c r="D138" s="94" t="s">
        <v>133</v>
      </c>
      <c r="E138" s="101">
        <f>+F152</f>
        <v>2196.7199999999998</v>
      </c>
    </row>
    <row r="139" spans="1:7" ht="14" outlineLevel="1">
      <c r="A139" s="18" t="s">
        <v>44</v>
      </c>
      <c r="B139" s="18" t="s">
        <v>70</v>
      </c>
      <c r="C139" s="19" t="s">
        <v>96</v>
      </c>
      <c r="D139" s="92" t="s">
        <v>90</v>
      </c>
      <c r="E139" s="93" t="s">
        <v>74</v>
      </c>
      <c r="F139" s="16" t="s">
        <v>121</v>
      </c>
    </row>
    <row r="140" spans="1:7" outlineLevel="1">
      <c r="A140" s="46">
        <v>1</v>
      </c>
      <c r="B140" s="47" t="s">
        <v>134</v>
      </c>
      <c r="C140" s="46">
        <v>1</v>
      </c>
      <c r="D140" s="474">
        <f>D124</f>
        <v>2160</v>
      </c>
      <c r="E140" s="84">
        <f>+C140*D140</f>
        <v>2160</v>
      </c>
      <c r="F140" s="31">
        <f>+E140/$N$1</f>
        <v>37.565217391304351</v>
      </c>
    </row>
    <row r="141" spans="1:7" outlineLevel="1">
      <c r="A141" s="46">
        <v>2</v>
      </c>
      <c r="B141" s="47" t="s">
        <v>135</v>
      </c>
      <c r="C141" s="46"/>
      <c r="D141" s="47"/>
      <c r="E141" s="84">
        <f>+C141*D141</f>
        <v>0</v>
      </c>
      <c r="F141" s="31">
        <f>+E141/$N$1</f>
        <v>0</v>
      </c>
    </row>
    <row r="142" spans="1:7" outlineLevel="1">
      <c r="A142" s="46">
        <v>3</v>
      </c>
      <c r="B142" s="47" t="s">
        <v>87</v>
      </c>
      <c r="C142" s="46"/>
      <c r="D142" s="47"/>
      <c r="E142" s="84">
        <f>+C142*D142</f>
        <v>0</v>
      </c>
      <c r="F142" s="31">
        <f>+E142/$N$1</f>
        <v>0</v>
      </c>
    </row>
    <row r="143" spans="1:7" outlineLevel="1">
      <c r="A143" s="46">
        <v>4</v>
      </c>
      <c r="B143" s="47"/>
      <c r="C143" s="46"/>
      <c r="D143" s="47"/>
      <c r="E143" s="84">
        <f>+C143*D143</f>
        <v>0</v>
      </c>
      <c r="F143" s="31">
        <f>+E143/$N$1</f>
        <v>0</v>
      </c>
    </row>
    <row r="144" spans="1:7" ht="14" outlineLevel="1" thickBot="1">
      <c r="A144" s="46">
        <v>5</v>
      </c>
      <c r="B144" s="47"/>
      <c r="C144" s="46"/>
      <c r="D144" s="90"/>
      <c r="E144" s="85">
        <f>+C144*D144</f>
        <v>0</v>
      </c>
      <c r="F144" s="86">
        <f>+E144/$N$1</f>
        <v>0</v>
      </c>
    </row>
    <row r="145" spans="1:7" ht="15" outlineLevel="1" thickBot="1">
      <c r="A145" s="39"/>
      <c r="B145" s="39"/>
      <c r="C145" s="39"/>
      <c r="D145" s="87" t="s">
        <v>18</v>
      </c>
      <c r="E145" s="88">
        <f>SUM(E140:E144)</f>
        <v>2160</v>
      </c>
      <c r="F145" s="89">
        <f>SUM(F140:F144)</f>
        <v>37.565217391304351</v>
      </c>
    </row>
    <row r="146" spans="1:7" outlineLevel="1">
      <c r="A146" s="39"/>
      <c r="B146" s="39"/>
      <c r="C146" s="39"/>
      <c r="D146" s="39"/>
      <c r="E146" s="39"/>
    </row>
    <row r="147" spans="1:7" ht="17.5" customHeight="1" outlineLevel="1">
      <c r="A147" s="39"/>
      <c r="B147" s="39"/>
      <c r="C147" s="39"/>
      <c r="E147" s="630" t="s">
        <v>65</v>
      </c>
      <c r="F147" s="631"/>
    </row>
    <row r="148" spans="1:7" outlineLevel="1">
      <c r="A148" s="39"/>
      <c r="B148" s="39"/>
      <c r="C148" s="39"/>
      <c r="E148" s="55" t="s">
        <v>63</v>
      </c>
      <c r="F148" s="56">
        <v>1</v>
      </c>
    </row>
    <row r="149" spans="1:7" outlineLevel="1">
      <c r="A149" s="39"/>
      <c r="B149" s="39"/>
      <c r="C149" s="39"/>
      <c r="E149" s="55" t="s">
        <v>66</v>
      </c>
      <c r="F149" s="69">
        <v>1.7000000000000001E-2</v>
      </c>
    </row>
    <row r="150" spans="1:7" outlineLevel="1">
      <c r="A150" s="39"/>
      <c r="B150" s="39"/>
      <c r="C150" s="39"/>
      <c r="E150" s="55" t="s">
        <v>67</v>
      </c>
      <c r="F150" s="69">
        <f>+F148*F149</f>
        <v>1.7000000000000001E-2</v>
      </c>
    </row>
    <row r="151" spans="1:7" outlineLevel="1">
      <c r="A151" s="39"/>
      <c r="B151" s="39"/>
      <c r="C151" s="39"/>
      <c r="E151" s="55" t="s">
        <v>68</v>
      </c>
      <c r="F151" s="57">
        <f>+E145*F150</f>
        <v>36.720000000000006</v>
      </c>
    </row>
    <row r="152" spans="1:7" outlineLevel="1">
      <c r="A152" s="39"/>
      <c r="B152" s="39"/>
      <c r="C152" s="39"/>
      <c r="E152" s="12" t="s">
        <v>42</v>
      </c>
      <c r="F152" s="13">
        <f>+E145+F151</f>
        <v>2196.7199999999998</v>
      </c>
      <c r="G152" s="102">
        <f>+F152/$N$1</f>
        <v>38.203826086956518</v>
      </c>
    </row>
    <row r="153" spans="1:7">
      <c r="A153" s="39"/>
      <c r="B153" s="39"/>
      <c r="C153" s="39"/>
      <c r="D153" s="39"/>
      <c r="E153" s="39"/>
    </row>
    <row r="154" spans="1:7">
      <c r="A154" s="39"/>
      <c r="B154" s="39"/>
      <c r="C154" s="39"/>
      <c r="D154" s="39"/>
      <c r="E154" s="39"/>
    </row>
  </sheetData>
  <mergeCells count="9">
    <mergeCell ref="E115:F115"/>
    <mergeCell ref="E131:F131"/>
    <mergeCell ref="E147:F147"/>
    <mergeCell ref="C1:D1"/>
    <mergeCell ref="N28:O28"/>
    <mergeCell ref="E77:F77"/>
    <mergeCell ref="E93:F93"/>
    <mergeCell ref="M68:O68"/>
    <mergeCell ref="E55:F55"/>
  </mergeCells>
  <phoneticPr fontId="39" type="noConversion"/>
  <pageMargins left="0.7" right="0.7" top="0.75" bottom="0.75" header="0.3" footer="0.3"/>
  <pageSetup orientation="portrait"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5D3C4-A5BC-400E-80A4-5BC3572A2E6F}">
  <sheetPr codeName="Sheet5"/>
  <dimension ref="A1:W74"/>
  <sheetViews>
    <sheetView tabSelected="1" topLeftCell="C1" zoomScale="80" zoomScaleNormal="80" zoomScalePageLayoutView="60" workbookViewId="0">
      <selection activeCell="R2" sqref="R2"/>
    </sheetView>
  </sheetViews>
  <sheetFormatPr baseColWidth="10" defaultColWidth="9" defaultRowHeight="15" outlineLevelCol="1"/>
  <cols>
    <col min="1" max="1" width="1.33203125" style="185" customWidth="1"/>
    <col min="2" max="2" width="6.1640625" style="148" bestFit="1" customWidth="1"/>
    <col min="3" max="3" width="48.1640625" style="148" bestFit="1" customWidth="1"/>
    <col min="4" max="4" width="19.5" style="148" bestFit="1" customWidth="1"/>
    <col min="5" max="5" width="13" style="148" bestFit="1" customWidth="1"/>
    <col min="6" max="6" width="8.1640625" style="148" bestFit="1" customWidth="1"/>
    <col min="7" max="7" width="71.33203125" style="246" bestFit="1" customWidth="1"/>
    <col min="8" max="8" width="24.1640625" style="148" bestFit="1" customWidth="1"/>
    <col min="9" max="9" width="23.6640625" style="212" bestFit="1" customWidth="1"/>
    <col min="10" max="10" width="12.5" style="212" bestFit="1" customWidth="1"/>
    <col min="11" max="11" width="12.5" style="148" customWidth="1" outlineLevel="1"/>
    <col min="12" max="12" width="10.83203125" style="148" customWidth="1" outlineLevel="1"/>
    <col min="13" max="13" width="17.5" style="158" customWidth="1" outlineLevel="1"/>
    <col min="14" max="14" width="17.5" style="148" customWidth="1" outlineLevel="1"/>
    <col min="15" max="15" width="24" style="200" bestFit="1" customWidth="1" outlineLevel="1"/>
    <col min="16" max="16" width="15.33203125" style="201" customWidth="1" outlineLevel="1"/>
    <col min="17" max="18" width="19.5" style="148" customWidth="1" outlineLevel="1"/>
    <col min="19" max="19" width="21.5" style="148" customWidth="1"/>
    <col min="20" max="20" width="23" style="185" customWidth="1"/>
    <col min="21" max="21" width="11.83203125" style="186" bestFit="1" customWidth="1"/>
    <col min="22" max="22" width="19.5" style="148" customWidth="1"/>
    <col min="23" max="23" width="12.5" style="148" customWidth="1"/>
    <col min="24" max="24" width="7.6640625" style="148" bestFit="1" customWidth="1"/>
    <col min="25" max="16384" width="9" style="148"/>
  </cols>
  <sheetData>
    <row r="1" spans="1:23" ht="17" thickBot="1">
      <c r="M1" s="147" t="s">
        <v>136</v>
      </c>
      <c r="N1" s="311">
        <v>69.63</v>
      </c>
    </row>
    <row r="2" spans="1:23" ht="15" customHeight="1" thickBot="1">
      <c r="K2" s="311"/>
      <c r="L2" s="311"/>
      <c r="M2" s="147" t="s">
        <v>137</v>
      </c>
      <c r="N2" s="311">
        <v>57.5</v>
      </c>
      <c r="O2" s="644" t="s">
        <v>138</v>
      </c>
      <c r="P2" s="644"/>
      <c r="Q2" s="202" t="s">
        <v>139</v>
      </c>
      <c r="R2" s="296">
        <v>0.05</v>
      </c>
      <c r="S2" s="203"/>
    </row>
    <row r="3" spans="1:23" ht="16" thickBot="1">
      <c r="G3" s="261"/>
      <c r="H3" s="4"/>
      <c r="I3" s="4"/>
      <c r="J3" s="4"/>
      <c r="K3" s="4"/>
      <c r="L3" s="4"/>
      <c r="M3" s="34"/>
      <c r="N3" s="4"/>
      <c r="O3" s="5"/>
      <c r="P3" s="6"/>
    </row>
    <row r="4" spans="1:23">
      <c r="B4" s="642" t="s">
        <v>140</v>
      </c>
      <c r="C4" s="640" t="s">
        <v>141</v>
      </c>
      <c r="D4" s="640" t="s">
        <v>141</v>
      </c>
      <c r="E4" s="640" t="s">
        <v>142</v>
      </c>
      <c r="F4" s="640" t="s">
        <v>143</v>
      </c>
      <c r="G4" s="637" t="s">
        <v>14</v>
      </c>
      <c r="H4" s="638"/>
      <c r="I4" s="639"/>
      <c r="J4" s="241"/>
      <c r="K4" s="645" t="s">
        <v>144</v>
      </c>
      <c r="L4" s="645" t="s">
        <v>16</v>
      </c>
      <c r="M4" s="35" t="s">
        <v>17</v>
      </c>
      <c r="N4" s="312" t="s">
        <v>17</v>
      </c>
      <c r="O4" s="24" t="s">
        <v>145</v>
      </c>
      <c r="P4" s="25" t="s">
        <v>145</v>
      </c>
      <c r="Q4" s="32" t="s">
        <v>146</v>
      </c>
      <c r="R4" s="32" t="s">
        <v>146</v>
      </c>
      <c r="S4" s="312" t="s">
        <v>17</v>
      </c>
      <c r="T4" s="249" t="s">
        <v>17</v>
      </c>
    </row>
    <row r="5" spans="1:23" ht="17" thickBot="1">
      <c r="B5" s="643"/>
      <c r="C5" s="641"/>
      <c r="D5" s="641"/>
      <c r="E5" s="641"/>
      <c r="F5" s="641"/>
      <c r="G5" s="244" t="s">
        <v>147</v>
      </c>
      <c r="H5" s="242" t="s">
        <v>143</v>
      </c>
      <c r="I5" s="243" t="s">
        <v>148</v>
      </c>
      <c r="J5" s="250" t="s">
        <v>149</v>
      </c>
      <c r="K5" s="646"/>
      <c r="L5" s="647"/>
      <c r="M5" s="461" t="s">
        <v>150</v>
      </c>
      <c r="N5" s="462" t="s">
        <v>151</v>
      </c>
      <c r="O5" s="463" t="s">
        <v>150</v>
      </c>
      <c r="P5" s="464" t="s">
        <v>151</v>
      </c>
      <c r="Q5" s="465" t="s">
        <v>150</v>
      </c>
      <c r="R5" s="466" t="s">
        <v>151</v>
      </c>
      <c r="S5" s="465" t="s">
        <v>150</v>
      </c>
      <c r="T5" s="467" t="s">
        <v>151</v>
      </c>
    </row>
    <row r="6" spans="1:23" ht="15" customHeight="1">
      <c r="A6" s="265"/>
      <c r="B6" s="340">
        <v>1</v>
      </c>
      <c r="C6" s="269" t="s">
        <v>865</v>
      </c>
      <c r="D6" s="269"/>
      <c r="E6" s="269"/>
      <c r="F6" s="270"/>
      <c r="G6" s="271"/>
      <c r="H6" s="272"/>
      <c r="I6" s="272"/>
      <c r="J6" s="272"/>
      <c r="K6" s="268"/>
      <c r="L6" s="268"/>
      <c r="M6" s="469">
        <f>IFERROR(VLOOKUP(G7,MATERIALES!$D$5:$I$1332,4,FALSE),0)</f>
        <v>224214.54</v>
      </c>
      <c r="N6" s="470">
        <f t="shared" ref="N6:N8" si="0">M6/$N$2</f>
        <v>3899.3833043478262</v>
      </c>
      <c r="O6" s="469">
        <f>+L7*M6</f>
        <v>224214.54</v>
      </c>
      <c r="P6" s="470">
        <f>L7*N6</f>
        <v>3899.3833043478262</v>
      </c>
      <c r="Q6" s="469">
        <f>+$O6+($O6*$R$2)</f>
        <v>235425.26700000002</v>
      </c>
      <c r="R6" s="471">
        <f>+$P6+($P6*$R$2)</f>
        <v>4094.3524695652177</v>
      </c>
      <c r="S6" s="469">
        <f>Q6/L7</f>
        <v>235425.26700000002</v>
      </c>
      <c r="T6" s="472">
        <f>R6/L7</f>
        <v>4094.3524695652177</v>
      </c>
      <c r="U6" s="276">
        <f>SUM(R6:R33)</f>
        <v>4094.3524695652177</v>
      </c>
      <c r="V6" s="145">
        <f>'1. OFERTA'!H74</f>
        <v>4094.3524695652177</v>
      </c>
      <c r="W6" s="266">
        <f>U6-V6</f>
        <v>0</v>
      </c>
    </row>
    <row r="7" spans="1:23" ht="16">
      <c r="B7" s="280">
        <f>B6+0.01</f>
        <v>1.01</v>
      </c>
      <c r="C7" s="247"/>
      <c r="D7" s="247"/>
      <c r="E7" s="247"/>
      <c r="F7" s="247"/>
      <c r="G7" s="339" t="s">
        <v>881</v>
      </c>
      <c r="H7" s="137"/>
      <c r="I7" s="316"/>
      <c r="J7" s="316"/>
      <c r="K7" s="338" t="s">
        <v>152</v>
      </c>
      <c r="L7" s="468">
        <v>1</v>
      </c>
      <c r="M7" s="248">
        <v>0</v>
      </c>
      <c r="N7" s="174">
        <f t="shared" si="0"/>
        <v>0</v>
      </c>
      <c r="O7" s="140">
        <f t="shared" ref="O7:O8" si="1">+L7*M7</f>
        <v>0</v>
      </c>
      <c r="P7" s="174">
        <f t="shared" ref="P7:P8" si="2">L7*N7</f>
        <v>0</v>
      </c>
      <c r="Q7" s="140">
        <f t="shared" ref="Q7:Q62" si="3">+$O7+($O7*$R$2)</f>
        <v>0</v>
      </c>
      <c r="R7" s="175">
        <f t="shared" ref="R7:R62" si="4">+$P7+($P7*$R$2)</f>
        <v>0</v>
      </c>
      <c r="S7" s="140">
        <f t="shared" ref="S7:S8" si="5">Q7/L7</f>
        <v>0</v>
      </c>
      <c r="T7" s="149">
        <f t="shared" ref="T7:T8" si="6">R7/L7</f>
        <v>0</v>
      </c>
      <c r="U7" s="172"/>
    </row>
    <row r="8" spans="1:23" ht="16">
      <c r="B8" s="280">
        <f t="shared" ref="B8:B62" si="7">B7+0.01</f>
        <v>1.02</v>
      </c>
      <c r="C8" s="247"/>
      <c r="D8" s="247"/>
      <c r="E8" s="247"/>
      <c r="F8" s="247"/>
      <c r="G8" s="339" t="s">
        <v>864</v>
      </c>
      <c r="H8" s="137"/>
      <c r="I8" s="316"/>
      <c r="J8" s="316"/>
      <c r="K8" s="428" t="s">
        <v>152</v>
      </c>
      <c r="L8" s="173">
        <v>1</v>
      </c>
      <c r="M8" s="248">
        <f>IFERROR(VLOOKUP(G8,MATERIALES!$D$5:$I$1332,4,FALSE),0)</f>
        <v>0</v>
      </c>
      <c r="N8" s="174">
        <f t="shared" si="0"/>
        <v>0</v>
      </c>
      <c r="O8" s="140">
        <f t="shared" si="1"/>
        <v>0</v>
      </c>
      <c r="P8" s="174">
        <f t="shared" si="2"/>
        <v>0</v>
      </c>
      <c r="Q8" s="140">
        <f t="shared" si="3"/>
        <v>0</v>
      </c>
      <c r="R8" s="175">
        <f t="shared" si="4"/>
        <v>0</v>
      </c>
      <c r="S8" s="140">
        <f t="shared" si="5"/>
        <v>0</v>
      </c>
      <c r="T8" s="149">
        <f t="shared" si="6"/>
        <v>0</v>
      </c>
      <c r="U8" s="172"/>
    </row>
    <row r="9" spans="1:23" ht="16">
      <c r="B9" s="280">
        <f t="shared" si="7"/>
        <v>1.03</v>
      </c>
      <c r="C9" s="247"/>
      <c r="D9" s="247"/>
      <c r="E9" s="247"/>
      <c r="F9" s="247"/>
      <c r="G9" s="339" t="s">
        <v>882</v>
      </c>
      <c r="H9" s="137"/>
      <c r="I9" s="316"/>
      <c r="J9" s="316"/>
      <c r="K9" s="428" t="s">
        <v>152</v>
      </c>
      <c r="L9" s="173">
        <v>1</v>
      </c>
      <c r="M9" s="248">
        <f>IFERROR(VLOOKUP(G9,MATERIALES!$D$5:$I$1332,4,FALSE),0)</f>
        <v>0</v>
      </c>
      <c r="N9" s="174">
        <f t="shared" ref="N9:N19" si="8">M9/$N$2</f>
        <v>0</v>
      </c>
      <c r="O9" s="140">
        <f t="shared" ref="O9:O19" si="9">+L9*M9</f>
        <v>0</v>
      </c>
      <c r="P9" s="174">
        <f t="shared" ref="P9:P19" si="10">L9*N9</f>
        <v>0</v>
      </c>
      <c r="Q9" s="140">
        <f t="shared" si="3"/>
        <v>0</v>
      </c>
      <c r="R9" s="175">
        <f t="shared" si="4"/>
        <v>0</v>
      </c>
      <c r="S9" s="140">
        <f t="shared" ref="S9:S19" si="11">Q9/L9</f>
        <v>0</v>
      </c>
      <c r="T9" s="149">
        <f t="shared" ref="T9:T19" si="12">R9/L9</f>
        <v>0</v>
      </c>
      <c r="U9" s="172"/>
    </row>
    <row r="10" spans="1:23" ht="16">
      <c r="B10" s="280">
        <f t="shared" si="7"/>
        <v>1.04</v>
      </c>
      <c r="C10" s="247"/>
      <c r="D10" s="247"/>
      <c r="E10" s="247"/>
      <c r="F10" s="247"/>
      <c r="G10" s="339" t="s">
        <v>883</v>
      </c>
      <c r="H10" s="137"/>
      <c r="I10" s="316"/>
      <c r="J10" s="316"/>
      <c r="K10" s="428" t="s">
        <v>152</v>
      </c>
      <c r="L10" s="173">
        <v>1</v>
      </c>
      <c r="M10" s="248">
        <f>IFERROR(VLOOKUP(G10,MATERIALES!$D$5:$I$1332,4,FALSE),0)</f>
        <v>0</v>
      </c>
      <c r="N10" s="174">
        <f t="shared" si="8"/>
        <v>0</v>
      </c>
      <c r="O10" s="140">
        <f t="shared" si="9"/>
        <v>0</v>
      </c>
      <c r="P10" s="174">
        <f t="shared" si="10"/>
        <v>0</v>
      </c>
      <c r="Q10" s="140">
        <f t="shared" si="3"/>
        <v>0</v>
      </c>
      <c r="R10" s="175">
        <f t="shared" si="4"/>
        <v>0</v>
      </c>
      <c r="S10" s="140">
        <f t="shared" si="11"/>
        <v>0</v>
      </c>
      <c r="T10" s="149">
        <f t="shared" si="12"/>
        <v>0</v>
      </c>
      <c r="U10" s="172"/>
    </row>
    <row r="11" spans="1:23" ht="16">
      <c r="B11" s="280">
        <f t="shared" si="7"/>
        <v>1.05</v>
      </c>
      <c r="C11" s="247"/>
      <c r="D11" s="247"/>
      <c r="E11" s="247"/>
      <c r="F11" s="247"/>
      <c r="G11" s="339" t="s">
        <v>884</v>
      </c>
      <c r="H11" s="137"/>
      <c r="I11" s="316"/>
      <c r="J11" s="316"/>
      <c r="K11" s="428" t="s">
        <v>152</v>
      </c>
      <c r="L11" s="173">
        <v>1</v>
      </c>
      <c r="M11" s="248">
        <f>IFERROR(VLOOKUP(G11,MATERIALES!$D$5:$I$1332,4,FALSE),0)</f>
        <v>0</v>
      </c>
      <c r="N11" s="174">
        <f t="shared" si="8"/>
        <v>0</v>
      </c>
      <c r="O11" s="140">
        <f t="shared" si="9"/>
        <v>0</v>
      </c>
      <c r="P11" s="174">
        <f t="shared" si="10"/>
        <v>0</v>
      </c>
      <c r="Q11" s="140">
        <f t="shared" si="3"/>
        <v>0</v>
      </c>
      <c r="R11" s="175">
        <f t="shared" si="4"/>
        <v>0</v>
      </c>
      <c r="S11" s="140">
        <f t="shared" si="11"/>
        <v>0</v>
      </c>
      <c r="T11" s="149">
        <f t="shared" si="12"/>
        <v>0</v>
      </c>
      <c r="U11" s="172"/>
    </row>
    <row r="12" spans="1:23">
      <c r="B12" s="280">
        <f t="shared" si="7"/>
        <v>1.06</v>
      </c>
      <c r="C12" s="247"/>
      <c r="D12" s="247"/>
      <c r="E12" s="247"/>
      <c r="F12" s="247"/>
      <c r="G12" s="327" t="s">
        <v>886</v>
      </c>
      <c r="H12" s="137"/>
      <c r="I12" s="316"/>
      <c r="J12" s="316"/>
      <c r="K12" s="428" t="s">
        <v>152</v>
      </c>
      <c r="L12" s="173">
        <v>3</v>
      </c>
      <c r="M12" s="248">
        <f>IFERROR(VLOOKUP(G12,MATERIALES!$D$5:$I$1332,4,FALSE),0)</f>
        <v>0</v>
      </c>
      <c r="N12" s="174">
        <f t="shared" si="8"/>
        <v>0</v>
      </c>
      <c r="O12" s="140">
        <f t="shared" si="9"/>
        <v>0</v>
      </c>
      <c r="P12" s="174">
        <f t="shared" si="10"/>
        <v>0</v>
      </c>
      <c r="Q12" s="140">
        <f t="shared" si="3"/>
        <v>0</v>
      </c>
      <c r="R12" s="175">
        <f t="shared" si="4"/>
        <v>0</v>
      </c>
      <c r="S12" s="140">
        <f t="shared" si="11"/>
        <v>0</v>
      </c>
      <c r="T12" s="149">
        <f t="shared" si="12"/>
        <v>0</v>
      </c>
      <c r="U12" s="172"/>
    </row>
    <row r="13" spans="1:23">
      <c r="B13" s="280">
        <f t="shared" si="7"/>
        <v>1.07</v>
      </c>
      <c r="C13" s="247"/>
      <c r="D13" s="247"/>
      <c r="E13" s="247"/>
      <c r="F13" s="247"/>
      <c r="G13" s="327" t="s">
        <v>885</v>
      </c>
      <c r="H13" s="137"/>
      <c r="I13" s="316"/>
      <c r="J13" s="316"/>
      <c r="K13" s="428" t="s">
        <v>152</v>
      </c>
      <c r="L13" s="173">
        <v>3</v>
      </c>
      <c r="M13" s="248">
        <f>IFERROR(VLOOKUP(G13,MATERIALES!$D$5:$I$1332,4,FALSE),0)</f>
        <v>0</v>
      </c>
      <c r="N13" s="174">
        <f t="shared" si="8"/>
        <v>0</v>
      </c>
      <c r="O13" s="140">
        <f t="shared" si="9"/>
        <v>0</v>
      </c>
      <c r="P13" s="174">
        <f t="shared" si="10"/>
        <v>0</v>
      </c>
      <c r="Q13" s="140">
        <f t="shared" si="3"/>
        <v>0</v>
      </c>
      <c r="R13" s="175">
        <f t="shared" si="4"/>
        <v>0</v>
      </c>
      <c r="S13" s="140">
        <f t="shared" si="11"/>
        <v>0</v>
      </c>
      <c r="T13" s="149">
        <f t="shared" si="12"/>
        <v>0</v>
      </c>
      <c r="U13" s="172"/>
    </row>
    <row r="14" spans="1:23" ht="16">
      <c r="B14" s="280">
        <f t="shared" si="7"/>
        <v>1.08</v>
      </c>
      <c r="C14" s="247"/>
      <c r="D14" s="247"/>
      <c r="E14" s="247"/>
      <c r="F14" s="247"/>
      <c r="G14" s="339" t="s">
        <v>872</v>
      </c>
      <c r="H14" s="137"/>
      <c r="I14" s="316"/>
      <c r="J14" s="316"/>
      <c r="K14" s="428" t="s">
        <v>152</v>
      </c>
      <c r="L14" s="173">
        <v>3</v>
      </c>
      <c r="M14" s="248">
        <f>IFERROR(VLOOKUP(G14,MATERIALES!$D$5:$I$1332,4,FALSE),0)</f>
        <v>0</v>
      </c>
      <c r="N14" s="174">
        <f t="shared" si="8"/>
        <v>0</v>
      </c>
      <c r="O14" s="140">
        <f t="shared" si="9"/>
        <v>0</v>
      </c>
      <c r="P14" s="174">
        <f t="shared" si="10"/>
        <v>0</v>
      </c>
      <c r="Q14" s="140">
        <f t="shared" si="3"/>
        <v>0</v>
      </c>
      <c r="R14" s="175">
        <f t="shared" si="4"/>
        <v>0</v>
      </c>
      <c r="S14" s="140">
        <f t="shared" si="11"/>
        <v>0</v>
      </c>
      <c r="T14" s="149">
        <f t="shared" si="12"/>
        <v>0</v>
      </c>
      <c r="U14" s="172"/>
    </row>
    <row r="15" spans="1:23">
      <c r="B15" s="280">
        <f t="shared" si="7"/>
        <v>1.0900000000000001</v>
      </c>
      <c r="C15" s="247"/>
      <c r="D15" s="247"/>
      <c r="E15" s="247"/>
      <c r="F15" s="247"/>
      <c r="G15" s="327" t="s">
        <v>887</v>
      </c>
      <c r="H15" s="137"/>
      <c r="I15" s="316"/>
      <c r="J15" s="316"/>
      <c r="K15" s="428" t="s">
        <v>152</v>
      </c>
      <c r="L15" s="173">
        <v>3</v>
      </c>
      <c r="M15" s="248">
        <f>IFERROR(VLOOKUP(G15,MATERIALES!$D$5:$I$1332,4,FALSE),0)</f>
        <v>0</v>
      </c>
      <c r="N15" s="174">
        <f t="shared" si="8"/>
        <v>0</v>
      </c>
      <c r="O15" s="140">
        <f t="shared" si="9"/>
        <v>0</v>
      </c>
      <c r="P15" s="174">
        <f t="shared" si="10"/>
        <v>0</v>
      </c>
      <c r="Q15" s="140">
        <f t="shared" si="3"/>
        <v>0</v>
      </c>
      <c r="R15" s="175">
        <f t="shared" si="4"/>
        <v>0</v>
      </c>
      <c r="S15" s="140">
        <f t="shared" si="11"/>
        <v>0</v>
      </c>
      <c r="T15" s="149">
        <f t="shared" si="12"/>
        <v>0</v>
      </c>
      <c r="U15" s="172"/>
    </row>
    <row r="16" spans="1:23">
      <c r="B16" s="280">
        <f t="shared" si="7"/>
        <v>1.1000000000000001</v>
      </c>
      <c r="C16" s="247"/>
      <c r="D16" s="247"/>
      <c r="E16" s="247"/>
      <c r="F16" s="247"/>
      <c r="G16" s="327" t="s">
        <v>888</v>
      </c>
      <c r="H16" s="137"/>
      <c r="I16" s="316"/>
      <c r="J16" s="316"/>
      <c r="K16" s="428" t="s">
        <v>152</v>
      </c>
      <c r="L16" s="173">
        <v>1</v>
      </c>
      <c r="M16" s="248">
        <f>IFERROR(VLOOKUP(G16,MATERIALES!$D$5:$I$1332,4,FALSE),0)</f>
        <v>0</v>
      </c>
      <c r="N16" s="174">
        <f t="shared" si="8"/>
        <v>0</v>
      </c>
      <c r="O16" s="140">
        <f t="shared" si="9"/>
        <v>0</v>
      </c>
      <c r="P16" s="174">
        <f t="shared" si="10"/>
        <v>0</v>
      </c>
      <c r="Q16" s="140">
        <f t="shared" si="3"/>
        <v>0</v>
      </c>
      <c r="R16" s="175">
        <f t="shared" si="4"/>
        <v>0</v>
      </c>
      <c r="S16" s="140">
        <f t="shared" si="11"/>
        <v>0</v>
      </c>
      <c r="T16" s="149">
        <f t="shared" si="12"/>
        <v>0</v>
      </c>
      <c r="U16" s="172"/>
    </row>
    <row r="17" spans="2:21">
      <c r="B17" s="280">
        <f t="shared" si="7"/>
        <v>1.1100000000000001</v>
      </c>
      <c r="C17" s="247"/>
      <c r="D17" s="247"/>
      <c r="E17" s="247"/>
      <c r="F17" s="247"/>
      <c r="G17" s="327" t="s">
        <v>889</v>
      </c>
      <c r="H17" s="137"/>
      <c r="I17" s="316"/>
      <c r="J17" s="316"/>
      <c r="K17" s="428" t="s">
        <v>152</v>
      </c>
      <c r="L17" s="173">
        <v>2</v>
      </c>
      <c r="M17" s="248">
        <f>IFERROR(VLOOKUP(G17,MATERIALES!$D$5:$I$1332,4,FALSE),0)</f>
        <v>0</v>
      </c>
      <c r="N17" s="174">
        <f t="shared" si="8"/>
        <v>0</v>
      </c>
      <c r="O17" s="140">
        <f t="shared" si="9"/>
        <v>0</v>
      </c>
      <c r="P17" s="174">
        <f t="shared" si="10"/>
        <v>0</v>
      </c>
      <c r="Q17" s="140">
        <f t="shared" si="3"/>
        <v>0</v>
      </c>
      <c r="R17" s="175">
        <f t="shared" si="4"/>
        <v>0</v>
      </c>
      <c r="S17" s="140">
        <f t="shared" si="11"/>
        <v>0</v>
      </c>
      <c r="T17" s="149">
        <f t="shared" si="12"/>
        <v>0</v>
      </c>
      <c r="U17" s="172"/>
    </row>
    <row r="18" spans="2:21">
      <c r="B18" s="280">
        <f t="shared" si="7"/>
        <v>1.1200000000000001</v>
      </c>
      <c r="C18" s="247"/>
      <c r="D18" s="247"/>
      <c r="E18" s="247"/>
      <c r="F18" s="247"/>
      <c r="G18" s="327" t="s">
        <v>890</v>
      </c>
      <c r="H18" s="137"/>
      <c r="I18" s="316"/>
      <c r="J18" s="316"/>
      <c r="K18" s="428" t="s">
        <v>152</v>
      </c>
      <c r="L18" s="173">
        <v>1</v>
      </c>
      <c r="M18" s="248">
        <f>IFERROR(VLOOKUP(G18,MATERIALES!$D$5:$I$1332,4,FALSE),0)</f>
        <v>0</v>
      </c>
      <c r="N18" s="174">
        <f t="shared" si="8"/>
        <v>0</v>
      </c>
      <c r="O18" s="140">
        <f t="shared" si="9"/>
        <v>0</v>
      </c>
      <c r="P18" s="174">
        <f t="shared" si="10"/>
        <v>0</v>
      </c>
      <c r="Q18" s="140">
        <f t="shared" si="3"/>
        <v>0</v>
      </c>
      <c r="R18" s="175">
        <f t="shared" si="4"/>
        <v>0</v>
      </c>
      <c r="S18" s="140">
        <f t="shared" si="11"/>
        <v>0</v>
      </c>
      <c r="T18" s="149">
        <f t="shared" si="12"/>
        <v>0</v>
      </c>
      <c r="U18" s="172"/>
    </row>
    <row r="19" spans="2:21">
      <c r="B19" s="280">
        <f t="shared" si="7"/>
        <v>1.1300000000000001</v>
      </c>
      <c r="C19" s="247"/>
      <c r="D19" s="247"/>
      <c r="E19" s="247"/>
      <c r="F19" s="247"/>
      <c r="G19" s="327" t="s">
        <v>866</v>
      </c>
      <c r="H19" s="137"/>
      <c r="I19" s="316"/>
      <c r="J19" s="316"/>
      <c r="K19" s="428" t="s">
        <v>152</v>
      </c>
      <c r="L19" s="173">
        <v>4</v>
      </c>
      <c r="M19" s="248">
        <f>IFERROR(VLOOKUP(G19,MATERIALES!$D$5:$I$1332,4,FALSE),0)</f>
        <v>0</v>
      </c>
      <c r="N19" s="174">
        <f t="shared" si="8"/>
        <v>0</v>
      </c>
      <c r="O19" s="140">
        <f t="shared" si="9"/>
        <v>0</v>
      </c>
      <c r="P19" s="174">
        <f t="shared" si="10"/>
        <v>0</v>
      </c>
      <c r="Q19" s="140">
        <f t="shared" si="3"/>
        <v>0</v>
      </c>
      <c r="R19" s="175">
        <f t="shared" si="4"/>
        <v>0</v>
      </c>
      <c r="S19" s="140">
        <f t="shared" si="11"/>
        <v>0</v>
      </c>
      <c r="T19" s="149">
        <f t="shared" si="12"/>
        <v>0</v>
      </c>
      <c r="U19" s="172"/>
    </row>
    <row r="20" spans="2:21">
      <c r="B20" s="280">
        <f t="shared" si="7"/>
        <v>1.1400000000000001</v>
      </c>
      <c r="C20" s="247"/>
      <c r="D20" s="247"/>
      <c r="E20" s="247"/>
      <c r="F20" s="247"/>
      <c r="G20" s="327" t="s">
        <v>739</v>
      </c>
      <c r="H20" s="137"/>
      <c r="I20" s="316"/>
      <c r="J20" s="316"/>
      <c r="K20" s="428" t="s">
        <v>152</v>
      </c>
      <c r="L20" s="173">
        <v>3</v>
      </c>
      <c r="M20" s="248">
        <f>IFERROR(VLOOKUP(G20,MATERIALES!$D$5:$I$1332,4,FALSE),0)</f>
        <v>0</v>
      </c>
      <c r="N20" s="174">
        <f t="shared" ref="N20:N33" si="13">M20/$N$2</f>
        <v>0</v>
      </c>
      <c r="O20" s="140">
        <f t="shared" ref="O20:O33" si="14">+L20*M20</f>
        <v>0</v>
      </c>
      <c r="P20" s="174">
        <f t="shared" ref="P20:P33" si="15">L20*N20</f>
        <v>0</v>
      </c>
      <c r="Q20" s="140">
        <f t="shared" si="3"/>
        <v>0</v>
      </c>
      <c r="R20" s="175">
        <f t="shared" si="4"/>
        <v>0</v>
      </c>
      <c r="S20" s="140">
        <f t="shared" ref="S20:S33" si="16">Q20/L20</f>
        <v>0</v>
      </c>
      <c r="T20" s="149">
        <f t="shared" ref="T20:T33" si="17">R20/L20</f>
        <v>0</v>
      </c>
      <c r="U20" s="172"/>
    </row>
    <row r="21" spans="2:21">
      <c r="B21" s="280">
        <f t="shared" si="7"/>
        <v>1.1500000000000001</v>
      </c>
      <c r="C21" s="247"/>
      <c r="D21" s="247"/>
      <c r="E21" s="247"/>
      <c r="F21" s="247"/>
      <c r="G21" s="327" t="s">
        <v>867</v>
      </c>
      <c r="H21" s="137"/>
      <c r="I21" s="316"/>
      <c r="J21" s="316"/>
      <c r="K21" s="428" t="s">
        <v>152</v>
      </c>
      <c r="L21" s="173">
        <v>3</v>
      </c>
      <c r="M21" s="248">
        <f>IFERROR(VLOOKUP(G21,MATERIALES!$D$5:$I$1332,4,FALSE),0)</f>
        <v>0</v>
      </c>
      <c r="N21" s="174">
        <f t="shared" si="13"/>
        <v>0</v>
      </c>
      <c r="O21" s="140">
        <f t="shared" si="14"/>
        <v>0</v>
      </c>
      <c r="P21" s="174">
        <f t="shared" si="15"/>
        <v>0</v>
      </c>
      <c r="Q21" s="140">
        <f t="shared" si="3"/>
        <v>0</v>
      </c>
      <c r="R21" s="175">
        <f t="shared" si="4"/>
        <v>0</v>
      </c>
      <c r="S21" s="140">
        <f t="shared" si="16"/>
        <v>0</v>
      </c>
      <c r="T21" s="149">
        <f t="shared" si="17"/>
        <v>0</v>
      </c>
      <c r="U21" s="172"/>
    </row>
    <row r="22" spans="2:21">
      <c r="B22" s="280">
        <f t="shared" si="7"/>
        <v>1.1600000000000001</v>
      </c>
      <c r="C22" s="247"/>
      <c r="D22" s="247"/>
      <c r="E22" s="247"/>
      <c r="F22" s="247"/>
      <c r="G22" s="327" t="s">
        <v>868</v>
      </c>
      <c r="H22" s="137"/>
      <c r="I22" s="316"/>
      <c r="J22" s="316"/>
      <c r="K22" s="428" t="s">
        <v>152</v>
      </c>
      <c r="L22" s="173">
        <v>3</v>
      </c>
      <c r="M22" s="248">
        <f>IFERROR(VLOOKUP(G22,MATERIALES!$D$5:$I$1332,4,FALSE),0)</f>
        <v>0</v>
      </c>
      <c r="N22" s="174">
        <f t="shared" si="13"/>
        <v>0</v>
      </c>
      <c r="O22" s="140">
        <f t="shared" si="14"/>
        <v>0</v>
      </c>
      <c r="P22" s="174">
        <f t="shared" si="15"/>
        <v>0</v>
      </c>
      <c r="Q22" s="140">
        <f t="shared" si="3"/>
        <v>0</v>
      </c>
      <c r="R22" s="175">
        <f t="shared" si="4"/>
        <v>0</v>
      </c>
      <c r="S22" s="140">
        <f t="shared" si="16"/>
        <v>0</v>
      </c>
      <c r="T22" s="149">
        <f t="shared" si="17"/>
        <v>0</v>
      </c>
      <c r="U22" s="172"/>
    </row>
    <row r="23" spans="2:21" ht="16">
      <c r="B23" s="280">
        <f t="shared" si="7"/>
        <v>1.1700000000000002</v>
      </c>
      <c r="C23" s="247"/>
      <c r="D23" s="247"/>
      <c r="E23" s="247"/>
      <c r="F23" s="247"/>
      <c r="G23" s="431" t="s">
        <v>873</v>
      </c>
      <c r="H23" s="137"/>
      <c r="I23" s="316"/>
      <c r="J23" s="316"/>
      <c r="K23" s="428" t="s">
        <v>152</v>
      </c>
      <c r="L23" s="173">
        <v>1</v>
      </c>
      <c r="M23" s="248">
        <f>IFERROR(VLOOKUP(G23,MATERIALES!$D$5:$I$1332,4,FALSE),0)</f>
        <v>0</v>
      </c>
      <c r="N23" s="174">
        <f t="shared" si="13"/>
        <v>0</v>
      </c>
      <c r="O23" s="140">
        <f t="shared" si="14"/>
        <v>0</v>
      </c>
      <c r="P23" s="174">
        <f t="shared" si="15"/>
        <v>0</v>
      </c>
      <c r="Q23" s="140">
        <f t="shared" si="3"/>
        <v>0</v>
      </c>
      <c r="R23" s="175">
        <f t="shared" si="4"/>
        <v>0</v>
      </c>
      <c r="S23" s="140">
        <f t="shared" si="16"/>
        <v>0</v>
      </c>
      <c r="T23" s="149">
        <f t="shared" si="17"/>
        <v>0</v>
      </c>
      <c r="U23" s="172"/>
    </row>
    <row r="24" spans="2:21">
      <c r="B24" s="280">
        <f t="shared" si="7"/>
        <v>1.1800000000000002</v>
      </c>
      <c r="C24" s="247"/>
      <c r="D24" s="247"/>
      <c r="E24" s="247"/>
      <c r="F24" s="247"/>
      <c r="G24" s="327" t="s">
        <v>891</v>
      </c>
      <c r="H24" s="137"/>
      <c r="I24" s="316"/>
      <c r="J24" s="316"/>
      <c r="K24" s="428" t="s">
        <v>152</v>
      </c>
      <c r="L24" s="173">
        <v>1</v>
      </c>
      <c r="M24" s="248">
        <f>IFERROR(VLOOKUP(G24,MATERIALES!$D$5:$I$1332,4,FALSE),0)</f>
        <v>0</v>
      </c>
      <c r="N24" s="174">
        <f t="shared" si="13"/>
        <v>0</v>
      </c>
      <c r="O24" s="140">
        <f t="shared" si="14"/>
        <v>0</v>
      </c>
      <c r="P24" s="174">
        <f t="shared" si="15"/>
        <v>0</v>
      </c>
      <c r="Q24" s="140">
        <f t="shared" si="3"/>
        <v>0</v>
      </c>
      <c r="R24" s="175">
        <f t="shared" si="4"/>
        <v>0</v>
      </c>
      <c r="S24" s="140">
        <f t="shared" si="16"/>
        <v>0</v>
      </c>
      <c r="T24" s="149">
        <f t="shared" si="17"/>
        <v>0</v>
      </c>
      <c r="U24" s="172"/>
    </row>
    <row r="25" spans="2:21" ht="16">
      <c r="B25" s="280">
        <f t="shared" si="7"/>
        <v>1.1900000000000002</v>
      </c>
      <c r="C25" s="247"/>
      <c r="D25" s="247"/>
      <c r="E25" s="247"/>
      <c r="F25" s="247"/>
      <c r="G25" s="339" t="s">
        <v>874</v>
      </c>
      <c r="H25" s="137"/>
      <c r="I25" s="316"/>
      <c r="J25" s="316"/>
      <c r="K25" s="428" t="s">
        <v>152</v>
      </c>
      <c r="L25" s="173">
        <v>1</v>
      </c>
      <c r="M25" s="248">
        <f>IFERROR(VLOOKUP(G25,MATERIALES!$D$5:$I$1332,4,FALSE),0)</f>
        <v>0</v>
      </c>
      <c r="N25" s="174">
        <f t="shared" si="13"/>
        <v>0</v>
      </c>
      <c r="O25" s="140">
        <f t="shared" si="14"/>
        <v>0</v>
      </c>
      <c r="P25" s="174">
        <f t="shared" si="15"/>
        <v>0</v>
      </c>
      <c r="Q25" s="140">
        <f t="shared" si="3"/>
        <v>0</v>
      </c>
      <c r="R25" s="175">
        <f t="shared" si="4"/>
        <v>0</v>
      </c>
      <c r="S25" s="140">
        <f t="shared" si="16"/>
        <v>0</v>
      </c>
      <c r="T25" s="149">
        <f t="shared" si="17"/>
        <v>0</v>
      </c>
      <c r="U25" s="172"/>
    </row>
    <row r="26" spans="2:21">
      <c r="B26" s="280">
        <f t="shared" si="7"/>
        <v>1.2000000000000002</v>
      </c>
      <c r="C26" s="247"/>
      <c r="D26" s="247"/>
      <c r="E26" s="247"/>
      <c r="F26" s="247"/>
      <c r="G26" s="327" t="s">
        <v>892</v>
      </c>
      <c r="H26" s="137"/>
      <c r="I26" s="316"/>
      <c r="J26" s="316"/>
      <c r="K26" s="428" t="s">
        <v>152</v>
      </c>
      <c r="L26" s="173">
        <v>6</v>
      </c>
      <c r="M26" s="248">
        <f>IFERROR(VLOOKUP(G26,MATERIALES!$D$5:$I$1332,4,FALSE),0)</f>
        <v>0</v>
      </c>
      <c r="N26" s="174">
        <f t="shared" si="13"/>
        <v>0</v>
      </c>
      <c r="O26" s="140">
        <f t="shared" si="14"/>
        <v>0</v>
      </c>
      <c r="P26" s="174">
        <f t="shared" si="15"/>
        <v>0</v>
      </c>
      <c r="Q26" s="140">
        <f t="shared" si="3"/>
        <v>0</v>
      </c>
      <c r="R26" s="175">
        <f t="shared" si="4"/>
        <v>0</v>
      </c>
      <c r="S26" s="140">
        <f t="shared" si="16"/>
        <v>0</v>
      </c>
      <c r="T26" s="149">
        <f t="shared" si="17"/>
        <v>0</v>
      </c>
      <c r="U26" s="172"/>
    </row>
    <row r="27" spans="2:21" ht="16">
      <c r="B27" s="280">
        <f t="shared" si="7"/>
        <v>1.2100000000000002</v>
      </c>
      <c r="C27" s="247"/>
      <c r="D27" s="247"/>
      <c r="E27" s="247"/>
      <c r="F27" s="247"/>
      <c r="G27" s="431" t="s">
        <v>897</v>
      </c>
      <c r="H27" s="137"/>
      <c r="I27" s="316"/>
      <c r="J27" s="316"/>
      <c r="K27" s="428" t="s">
        <v>152</v>
      </c>
      <c r="L27" s="173">
        <v>9</v>
      </c>
      <c r="M27" s="248">
        <f>IFERROR(VLOOKUP(#REF!,MATERIALES!$D$5:$I$1332,4,FALSE),0)</f>
        <v>0</v>
      </c>
      <c r="N27" s="174">
        <f t="shared" si="13"/>
        <v>0</v>
      </c>
      <c r="O27" s="140">
        <f t="shared" si="14"/>
        <v>0</v>
      </c>
      <c r="P27" s="174">
        <f t="shared" si="15"/>
        <v>0</v>
      </c>
      <c r="Q27" s="140">
        <f t="shared" si="3"/>
        <v>0</v>
      </c>
      <c r="R27" s="175">
        <f t="shared" si="4"/>
        <v>0</v>
      </c>
      <c r="S27" s="140">
        <f t="shared" si="16"/>
        <v>0</v>
      </c>
      <c r="T27" s="149">
        <f t="shared" si="17"/>
        <v>0</v>
      </c>
      <c r="U27" s="172"/>
    </row>
    <row r="28" spans="2:21">
      <c r="B28" s="280">
        <f t="shared" si="7"/>
        <v>1.2200000000000002</v>
      </c>
      <c r="C28" s="247"/>
      <c r="D28" s="247"/>
      <c r="E28" s="247"/>
      <c r="F28" s="247"/>
      <c r="G28" s="225" t="s">
        <v>896</v>
      </c>
      <c r="H28" s="137"/>
      <c r="I28" s="316"/>
      <c r="J28" s="316"/>
      <c r="K28" s="428" t="s">
        <v>152</v>
      </c>
      <c r="L28" s="173">
        <v>4</v>
      </c>
      <c r="M28" s="248">
        <f>IFERROR(VLOOKUP(#REF!,MATERIALES!$D$5:$I$1332,4,FALSE),0)</f>
        <v>0</v>
      </c>
      <c r="N28" s="174">
        <f t="shared" si="13"/>
        <v>0</v>
      </c>
      <c r="O28" s="140">
        <f t="shared" si="14"/>
        <v>0</v>
      </c>
      <c r="P28" s="174">
        <f t="shared" si="15"/>
        <v>0</v>
      </c>
      <c r="Q28" s="140">
        <f t="shared" si="3"/>
        <v>0</v>
      </c>
      <c r="R28" s="175">
        <f t="shared" si="4"/>
        <v>0</v>
      </c>
      <c r="S28" s="140">
        <f t="shared" si="16"/>
        <v>0</v>
      </c>
      <c r="T28" s="149">
        <f t="shared" si="17"/>
        <v>0</v>
      </c>
      <c r="U28" s="172"/>
    </row>
    <row r="29" spans="2:21">
      <c r="B29" s="280">
        <f t="shared" si="7"/>
        <v>1.2300000000000002</v>
      </c>
      <c r="C29" s="247"/>
      <c r="D29" s="247"/>
      <c r="E29" s="247"/>
      <c r="F29" s="247"/>
      <c r="G29" s="456" t="s">
        <v>893</v>
      </c>
      <c r="H29" s="137"/>
      <c r="I29" s="316"/>
      <c r="J29" s="316"/>
      <c r="K29" s="428" t="s">
        <v>152</v>
      </c>
      <c r="L29" s="173">
        <v>2</v>
      </c>
      <c r="M29" s="248">
        <f>IFERROR(VLOOKUP(G27,MATERIALES!$D$5:$I$1332,4,FALSE),0)</f>
        <v>0</v>
      </c>
      <c r="N29" s="174">
        <f t="shared" si="13"/>
        <v>0</v>
      </c>
      <c r="O29" s="140">
        <f t="shared" si="14"/>
        <v>0</v>
      </c>
      <c r="P29" s="174">
        <f t="shared" si="15"/>
        <v>0</v>
      </c>
      <c r="Q29" s="140">
        <f t="shared" si="3"/>
        <v>0</v>
      </c>
      <c r="R29" s="175">
        <f t="shared" si="4"/>
        <v>0</v>
      </c>
      <c r="S29" s="140">
        <f t="shared" si="16"/>
        <v>0</v>
      </c>
      <c r="T29" s="149">
        <f t="shared" si="17"/>
        <v>0</v>
      </c>
      <c r="U29" s="172"/>
    </row>
    <row r="30" spans="2:21">
      <c r="B30" s="280">
        <f t="shared" si="7"/>
        <v>1.2400000000000002</v>
      </c>
      <c r="C30" s="247"/>
      <c r="D30" s="247"/>
      <c r="E30" s="247"/>
      <c r="F30" s="247"/>
      <c r="G30" s="456" t="s">
        <v>894</v>
      </c>
      <c r="H30" s="137"/>
      <c r="I30" s="316"/>
      <c r="J30" s="316"/>
      <c r="K30" s="428" t="s">
        <v>152</v>
      </c>
      <c r="L30" s="173">
        <v>2</v>
      </c>
      <c r="M30" s="248">
        <f>IFERROR(VLOOKUP(G28,MATERIALES!$D$5:$I$1332,4,FALSE),0)</f>
        <v>0</v>
      </c>
      <c r="N30" s="174">
        <f t="shared" si="13"/>
        <v>0</v>
      </c>
      <c r="O30" s="140">
        <f t="shared" si="14"/>
        <v>0</v>
      </c>
      <c r="P30" s="174">
        <f t="shared" si="15"/>
        <v>0</v>
      </c>
      <c r="Q30" s="140">
        <f t="shared" si="3"/>
        <v>0</v>
      </c>
      <c r="R30" s="175">
        <f t="shared" si="4"/>
        <v>0</v>
      </c>
      <c r="S30" s="140">
        <f t="shared" si="16"/>
        <v>0</v>
      </c>
      <c r="T30" s="149">
        <f t="shared" si="17"/>
        <v>0</v>
      </c>
      <c r="U30" s="172"/>
    </row>
    <row r="31" spans="2:21" ht="16">
      <c r="B31" s="280">
        <f t="shared" si="7"/>
        <v>1.2500000000000002</v>
      </c>
      <c r="C31" s="247"/>
      <c r="D31" s="247"/>
      <c r="E31" s="247"/>
      <c r="F31" s="247"/>
      <c r="G31" s="431" t="s">
        <v>895</v>
      </c>
      <c r="H31" s="137"/>
      <c r="I31" s="316"/>
      <c r="J31" s="316"/>
      <c r="K31" s="428" t="s">
        <v>152</v>
      </c>
      <c r="L31" s="173">
        <v>5</v>
      </c>
      <c r="M31" s="248">
        <f>IFERROR(VLOOKUP(G31,MATERIALES!$D$5:$I$1332,4,FALSE),0)</f>
        <v>0</v>
      </c>
      <c r="N31" s="174">
        <f t="shared" si="13"/>
        <v>0</v>
      </c>
      <c r="O31" s="140">
        <f t="shared" si="14"/>
        <v>0</v>
      </c>
      <c r="P31" s="174">
        <f t="shared" si="15"/>
        <v>0</v>
      </c>
      <c r="Q31" s="140">
        <f t="shared" si="3"/>
        <v>0</v>
      </c>
      <c r="R31" s="175">
        <f t="shared" si="4"/>
        <v>0</v>
      </c>
      <c r="S31" s="140">
        <f t="shared" si="16"/>
        <v>0</v>
      </c>
      <c r="T31" s="149">
        <f t="shared" si="17"/>
        <v>0</v>
      </c>
      <c r="U31" s="172"/>
    </row>
    <row r="32" spans="2:21">
      <c r="B32" s="280">
        <f t="shared" si="7"/>
        <v>1.2600000000000002</v>
      </c>
      <c r="C32" s="247"/>
      <c r="D32" s="247"/>
      <c r="E32" s="247"/>
      <c r="F32" s="247"/>
      <c r="G32" s="456" t="s">
        <v>898</v>
      </c>
      <c r="H32" s="137"/>
      <c r="I32" s="316"/>
      <c r="J32" s="316"/>
      <c r="K32" s="428" t="s">
        <v>152</v>
      </c>
      <c r="L32" s="173">
        <v>1</v>
      </c>
      <c r="M32" s="248">
        <f>IFERROR(VLOOKUP(#REF!,MATERIALES!$D$5:$I$1332,4,FALSE),0)</f>
        <v>0</v>
      </c>
      <c r="N32" s="174">
        <f t="shared" si="13"/>
        <v>0</v>
      </c>
      <c r="O32" s="140">
        <f t="shared" si="14"/>
        <v>0</v>
      </c>
      <c r="P32" s="174">
        <f t="shared" si="15"/>
        <v>0</v>
      </c>
      <c r="Q32" s="140">
        <f t="shared" si="3"/>
        <v>0</v>
      </c>
      <c r="R32" s="175">
        <f t="shared" si="4"/>
        <v>0</v>
      </c>
      <c r="S32" s="140">
        <f t="shared" si="16"/>
        <v>0</v>
      </c>
      <c r="T32" s="149">
        <f t="shared" si="17"/>
        <v>0</v>
      </c>
      <c r="U32" s="172"/>
    </row>
    <row r="33" spans="1:23" ht="16">
      <c r="B33" s="280">
        <f t="shared" si="7"/>
        <v>1.2700000000000002</v>
      </c>
      <c r="C33" s="247"/>
      <c r="D33" s="247"/>
      <c r="E33" s="247"/>
      <c r="F33" s="247"/>
      <c r="G33" s="431" t="s">
        <v>899</v>
      </c>
      <c r="H33" s="137"/>
      <c r="I33" s="316"/>
      <c r="J33" s="316"/>
      <c r="K33" s="428" t="s">
        <v>152</v>
      </c>
      <c r="L33" s="173">
        <v>1</v>
      </c>
      <c r="M33" s="248">
        <f>IFERROR(VLOOKUP(G33,MATERIALES!$D$5:$I$1332,4,FALSE),0)</f>
        <v>0</v>
      </c>
      <c r="N33" s="174">
        <f t="shared" si="13"/>
        <v>0</v>
      </c>
      <c r="O33" s="140">
        <f t="shared" si="14"/>
        <v>0</v>
      </c>
      <c r="P33" s="174">
        <f t="shared" si="15"/>
        <v>0</v>
      </c>
      <c r="Q33" s="140">
        <f t="shared" si="3"/>
        <v>0</v>
      </c>
      <c r="R33" s="175">
        <f t="shared" si="4"/>
        <v>0</v>
      </c>
      <c r="S33" s="140">
        <f t="shared" si="16"/>
        <v>0</v>
      </c>
      <c r="T33" s="149">
        <f t="shared" si="17"/>
        <v>0</v>
      </c>
      <c r="U33" s="172"/>
    </row>
    <row r="34" spans="1:23" ht="15" customHeight="1">
      <c r="A34" s="265">
        <v>2</v>
      </c>
      <c r="B34" s="340">
        <v>2</v>
      </c>
      <c r="C34" s="269" t="s">
        <v>900</v>
      </c>
      <c r="D34" s="269"/>
      <c r="E34" s="269"/>
      <c r="F34" s="270"/>
      <c r="G34" s="271"/>
      <c r="H34" s="272"/>
      <c r="I34" s="272"/>
      <c r="J34" s="272"/>
      <c r="K34" s="268"/>
      <c r="L34" s="268"/>
      <c r="M34" s="273"/>
      <c r="N34" s="274"/>
      <c r="O34" s="273"/>
      <c r="P34" s="274"/>
      <c r="Q34" s="273"/>
      <c r="R34" s="275"/>
      <c r="S34" s="273"/>
      <c r="T34" s="276"/>
      <c r="U34" s="457"/>
      <c r="V34" s="145"/>
      <c r="W34" s="266"/>
    </row>
    <row r="35" spans="1:23" ht="16">
      <c r="B35" s="280">
        <f t="shared" si="7"/>
        <v>2.0099999999999998</v>
      </c>
      <c r="C35" s="247"/>
      <c r="D35" s="247"/>
      <c r="E35" s="247"/>
      <c r="F35" s="247"/>
      <c r="G35" s="431" t="s">
        <v>334</v>
      </c>
      <c r="H35" s="137"/>
      <c r="I35" s="316"/>
      <c r="J35" s="316"/>
      <c r="K35" s="455" t="s">
        <v>901</v>
      </c>
      <c r="L35" s="173">
        <v>35</v>
      </c>
      <c r="M35" s="248">
        <f>IFERROR(VLOOKUP(G35,MATERIALES!$D$5:$I$1332,4,FALSE),0)</f>
        <v>170</v>
      </c>
      <c r="N35" s="174">
        <f t="shared" ref="N35" si="18">M35/$N$2</f>
        <v>2.9565217391304346</v>
      </c>
      <c r="O35" s="140">
        <f t="shared" ref="O35" si="19">+L35*M35</f>
        <v>5950</v>
      </c>
      <c r="P35" s="174">
        <f t="shared" ref="P35" si="20">L35*N35</f>
        <v>103.4782608695652</v>
      </c>
      <c r="Q35" s="140">
        <f t="shared" si="3"/>
        <v>6247.5</v>
      </c>
      <c r="R35" s="175">
        <f t="shared" si="4"/>
        <v>108.65217391304347</v>
      </c>
      <c r="S35" s="140">
        <f t="shared" ref="S35" si="21">Q35/L35</f>
        <v>178.5</v>
      </c>
      <c r="T35" s="149">
        <f t="shared" ref="T35" si="22">R35/L35</f>
        <v>3.1043478260869564</v>
      </c>
      <c r="U35" s="172"/>
    </row>
    <row r="36" spans="1:23" ht="16">
      <c r="B36" s="280">
        <f t="shared" si="7"/>
        <v>2.0199999999999996</v>
      </c>
      <c r="C36" s="247"/>
      <c r="D36" s="247"/>
      <c r="E36" s="247"/>
      <c r="F36" s="247"/>
      <c r="G36" s="431" t="s">
        <v>340</v>
      </c>
      <c r="H36" s="137"/>
      <c r="I36" s="316"/>
      <c r="J36" s="316"/>
      <c r="K36" s="455" t="s">
        <v>152</v>
      </c>
      <c r="L36" s="173">
        <v>2</v>
      </c>
      <c r="M36" s="248">
        <f>IFERROR(VLOOKUP(G36,MATERIALES!$D$5:$I$1332,4,FALSE),0)</f>
        <v>277.45</v>
      </c>
      <c r="N36" s="174">
        <f t="shared" ref="N36:N53" si="23">M36/$N$2</f>
        <v>4.8252173913043475</v>
      </c>
      <c r="O36" s="140">
        <f t="shared" ref="O36:O53" si="24">+L36*M36</f>
        <v>554.9</v>
      </c>
      <c r="P36" s="174">
        <f t="shared" ref="P36:P53" si="25">L36*N36</f>
        <v>9.6504347826086949</v>
      </c>
      <c r="Q36" s="140">
        <f t="shared" si="3"/>
        <v>582.64499999999998</v>
      </c>
      <c r="R36" s="175">
        <f t="shared" si="4"/>
        <v>10.13295652173913</v>
      </c>
      <c r="S36" s="140">
        <f t="shared" ref="S36:S53" si="26">Q36/L36</f>
        <v>291.32249999999999</v>
      </c>
      <c r="T36" s="149">
        <f t="shared" ref="T36:T53" si="27">R36/L36</f>
        <v>5.0664782608695651</v>
      </c>
      <c r="U36" s="172"/>
    </row>
    <row r="37" spans="1:23" ht="16">
      <c r="B37" s="280">
        <f t="shared" si="7"/>
        <v>2.0299999999999994</v>
      </c>
      <c r="C37" s="247"/>
      <c r="D37" s="247"/>
      <c r="E37" s="247"/>
      <c r="F37" s="247"/>
      <c r="G37" s="431" t="s">
        <v>902</v>
      </c>
      <c r="H37" s="137"/>
      <c r="I37" s="316"/>
      <c r="J37" s="316"/>
      <c r="K37" s="455" t="s">
        <v>152</v>
      </c>
      <c r="L37" s="173">
        <v>2</v>
      </c>
      <c r="M37" s="248">
        <f>IFERROR(VLOOKUP(G37,MATERIALES!$D$5:$I$1332,4,FALSE),0)</f>
        <v>278.45</v>
      </c>
      <c r="N37" s="174">
        <f t="shared" si="23"/>
        <v>4.8426086956521734</v>
      </c>
      <c r="O37" s="140">
        <f t="shared" si="24"/>
        <v>556.9</v>
      </c>
      <c r="P37" s="174">
        <f t="shared" si="25"/>
        <v>9.6852173913043469</v>
      </c>
      <c r="Q37" s="140">
        <f t="shared" si="3"/>
        <v>584.745</v>
      </c>
      <c r="R37" s="175">
        <f t="shared" si="4"/>
        <v>10.169478260869564</v>
      </c>
      <c r="S37" s="140">
        <f t="shared" si="26"/>
        <v>292.3725</v>
      </c>
      <c r="T37" s="149">
        <f t="shared" si="27"/>
        <v>5.084739130434782</v>
      </c>
      <c r="U37" s="172"/>
    </row>
    <row r="38" spans="1:23" ht="16">
      <c r="B38" s="280">
        <f t="shared" si="7"/>
        <v>2.0399999999999991</v>
      </c>
      <c r="C38" s="247"/>
      <c r="D38" s="247"/>
      <c r="E38" s="247"/>
      <c r="F38" s="247"/>
      <c r="G38" s="431" t="s">
        <v>218</v>
      </c>
      <c r="H38" s="137"/>
      <c r="I38" s="316"/>
      <c r="J38" s="316"/>
      <c r="K38" s="455" t="s">
        <v>901</v>
      </c>
      <c r="L38" s="173">
        <v>140</v>
      </c>
      <c r="M38" s="248">
        <f>IFERROR(VLOOKUP(G38,MATERIALES!$D$5:$I$1332,4,FALSE),0)</f>
        <v>147</v>
      </c>
      <c r="N38" s="174">
        <f t="shared" si="23"/>
        <v>2.5565217391304347</v>
      </c>
      <c r="O38" s="140">
        <f t="shared" si="24"/>
        <v>20580</v>
      </c>
      <c r="P38" s="174">
        <f t="shared" si="25"/>
        <v>357.91304347826087</v>
      </c>
      <c r="Q38" s="140">
        <f t="shared" si="3"/>
        <v>21609</v>
      </c>
      <c r="R38" s="175">
        <f t="shared" si="4"/>
        <v>375.80869565217392</v>
      </c>
      <c r="S38" s="140">
        <f t="shared" si="26"/>
        <v>154.35</v>
      </c>
      <c r="T38" s="149">
        <f t="shared" si="27"/>
        <v>2.6843478260869564</v>
      </c>
      <c r="U38" s="172"/>
    </row>
    <row r="39" spans="1:23" ht="16">
      <c r="B39" s="280">
        <f t="shared" si="7"/>
        <v>2.0499999999999989</v>
      </c>
      <c r="C39" s="247"/>
      <c r="D39" s="247"/>
      <c r="E39" s="247"/>
      <c r="F39" s="247"/>
      <c r="G39" s="431" t="s">
        <v>200</v>
      </c>
      <c r="H39" s="137"/>
      <c r="I39" s="316"/>
      <c r="J39" s="316"/>
      <c r="K39" s="455" t="s">
        <v>901</v>
      </c>
      <c r="L39" s="173">
        <v>35</v>
      </c>
      <c r="M39" s="248">
        <f>IFERROR(VLOOKUP(G39,MATERIALES!$D$5:$I$1332,4,FALSE),0)</f>
        <v>23.07</v>
      </c>
      <c r="N39" s="174">
        <f t="shared" si="23"/>
        <v>0.4012173913043478</v>
      </c>
      <c r="O39" s="140">
        <f t="shared" si="24"/>
        <v>807.45</v>
      </c>
      <c r="P39" s="174">
        <f t="shared" si="25"/>
        <v>14.042608695652174</v>
      </c>
      <c r="Q39" s="140">
        <f t="shared" si="3"/>
        <v>847.82249999999999</v>
      </c>
      <c r="R39" s="175">
        <f t="shared" si="4"/>
        <v>14.744739130434782</v>
      </c>
      <c r="S39" s="140">
        <f t="shared" si="26"/>
        <v>24.223500000000001</v>
      </c>
      <c r="T39" s="149">
        <f t="shared" si="27"/>
        <v>0.42127826086956521</v>
      </c>
      <c r="U39" s="172"/>
    </row>
    <row r="40" spans="1:23" ht="16">
      <c r="B40" s="280">
        <f t="shared" si="7"/>
        <v>2.0599999999999987</v>
      </c>
      <c r="C40" s="247"/>
      <c r="D40" s="247"/>
      <c r="E40" s="247"/>
      <c r="F40" s="247"/>
      <c r="G40" s="431" t="s">
        <v>741</v>
      </c>
      <c r="H40" s="137"/>
      <c r="I40" s="316"/>
      <c r="J40" s="316"/>
      <c r="K40" s="455" t="s">
        <v>152</v>
      </c>
      <c r="L40" s="173">
        <v>2</v>
      </c>
      <c r="M40" s="248">
        <f>IFERROR(VLOOKUP(G40,MATERIALES!$D$5:$I$1332,4,FALSE),0)</f>
        <v>346</v>
      </c>
      <c r="N40" s="174">
        <f t="shared" si="23"/>
        <v>6.017391304347826</v>
      </c>
      <c r="O40" s="140">
        <f t="shared" si="24"/>
        <v>692</v>
      </c>
      <c r="P40" s="174">
        <f t="shared" si="25"/>
        <v>12.034782608695652</v>
      </c>
      <c r="Q40" s="140">
        <f t="shared" si="3"/>
        <v>726.6</v>
      </c>
      <c r="R40" s="175">
        <f t="shared" si="4"/>
        <v>12.636521739130435</v>
      </c>
      <c r="S40" s="140">
        <f t="shared" si="26"/>
        <v>363.3</v>
      </c>
      <c r="T40" s="149">
        <f t="shared" si="27"/>
        <v>6.3182608695652176</v>
      </c>
      <c r="U40" s="172"/>
    </row>
    <row r="41" spans="1:23" ht="16">
      <c r="B41" s="280">
        <f t="shared" si="7"/>
        <v>2.0699999999999985</v>
      </c>
      <c r="C41" s="247"/>
      <c r="D41" s="247"/>
      <c r="E41" s="247"/>
      <c r="F41" s="247"/>
      <c r="G41" s="431" t="s">
        <v>299</v>
      </c>
      <c r="H41" s="137"/>
      <c r="I41" s="316"/>
      <c r="J41" s="316"/>
      <c r="K41" s="455" t="s">
        <v>152</v>
      </c>
      <c r="L41" s="173">
        <v>10</v>
      </c>
      <c r="M41" s="248">
        <f>IFERROR(VLOOKUP(G41,MATERIALES!$D$5:$I$1332,4,FALSE),0)</f>
        <v>52.52</v>
      </c>
      <c r="N41" s="174">
        <f t="shared" si="23"/>
        <v>0.91339130434782612</v>
      </c>
      <c r="O41" s="140">
        <f t="shared" si="24"/>
        <v>525.20000000000005</v>
      </c>
      <c r="P41" s="174">
        <f t="shared" si="25"/>
        <v>9.1339130434782607</v>
      </c>
      <c r="Q41" s="140">
        <f t="shared" si="3"/>
        <v>551.46</v>
      </c>
      <c r="R41" s="175">
        <f t="shared" si="4"/>
        <v>9.5906086956521737</v>
      </c>
      <c r="S41" s="140">
        <f t="shared" si="26"/>
        <v>55.146000000000001</v>
      </c>
      <c r="T41" s="149">
        <f t="shared" si="27"/>
        <v>0.95906086956521741</v>
      </c>
      <c r="U41" s="172"/>
    </row>
    <row r="42" spans="1:23" ht="16">
      <c r="B42" s="280">
        <f t="shared" si="7"/>
        <v>2.0799999999999983</v>
      </c>
      <c r="C42" s="247"/>
      <c r="D42" s="247"/>
      <c r="E42" s="247"/>
      <c r="F42" s="247"/>
      <c r="G42" s="431" t="s">
        <v>903</v>
      </c>
      <c r="H42" s="137"/>
      <c r="I42" s="316"/>
      <c r="J42" s="316"/>
      <c r="K42" s="455" t="s">
        <v>152</v>
      </c>
      <c r="L42" s="173">
        <v>1</v>
      </c>
      <c r="M42" s="248">
        <f>IFERROR(VLOOKUP(G42,MATERIALES!$D$5:$I$1332,4,FALSE),0)</f>
        <v>950</v>
      </c>
      <c r="N42" s="174">
        <f t="shared" si="23"/>
        <v>16.521739130434781</v>
      </c>
      <c r="O42" s="140">
        <f t="shared" si="24"/>
        <v>950</v>
      </c>
      <c r="P42" s="174">
        <f t="shared" si="25"/>
        <v>16.521739130434781</v>
      </c>
      <c r="Q42" s="140">
        <f t="shared" si="3"/>
        <v>997.5</v>
      </c>
      <c r="R42" s="175">
        <f t="shared" si="4"/>
        <v>17.34782608695652</v>
      </c>
      <c r="S42" s="140">
        <f t="shared" si="26"/>
        <v>997.5</v>
      </c>
      <c r="T42" s="149">
        <f t="shared" si="27"/>
        <v>17.34782608695652</v>
      </c>
      <c r="U42" s="172"/>
    </row>
    <row r="43" spans="1:23" ht="16">
      <c r="B43" s="280">
        <f t="shared" si="7"/>
        <v>2.0899999999999981</v>
      </c>
      <c r="C43" s="247"/>
      <c r="D43" s="247"/>
      <c r="E43" s="247"/>
      <c r="F43" s="247"/>
      <c r="G43" s="431" t="s">
        <v>158</v>
      </c>
      <c r="H43" s="137"/>
      <c r="I43" s="316"/>
      <c r="J43" s="316"/>
      <c r="K43" s="455" t="s">
        <v>152</v>
      </c>
      <c r="L43" s="173">
        <v>1</v>
      </c>
      <c r="M43" s="248">
        <f>IFERROR(VLOOKUP(G43,MATERIALES!$D$5:$I$1332,4,FALSE),0)</f>
        <v>185</v>
      </c>
      <c r="N43" s="174">
        <f t="shared" si="23"/>
        <v>3.2173913043478262</v>
      </c>
      <c r="O43" s="140">
        <f t="shared" si="24"/>
        <v>185</v>
      </c>
      <c r="P43" s="174">
        <f t="shared" si="25"/>
        <v>3.2173913043478262</v>
      </c>
      <c r="Q43" s="140">
        <f t="shared" si="3"/>
        <v>194.25</v>
      </c>
      <c r="R43" s="175">
        <f t="shared" si="4"/>
        <v>3.3782608695652177</v>
      </c>
      <c r="S43" s="140">
        <f t="shared" si="26"/>
        <v>194.25</v>
      </c>
      <c r="T43" s="149">
        <f t="shared" si="27"/>
        <v>3.3782608695652177</v>
      </c>
      <c r="U43" s="172"/>
    </row>
    <row r="44" spans="1:23" ht="16">
      <c r="B44" s="280">
        <f t="shared" si="7"/>
        <v>2.0999999999999979</v>
      </c>
      <c r="C44" s="247"/>
      <c r="D44" s="247"/>
      <c r="E44" s="247"/>
      <c r="F44" s="247"/>
      <c r="G44" s="431" t="s">
        <v>904</v>
      </c>
      <c r="H44" s="137"/>
      <c r="I44" s="316"/>
      <c r="J44" s="316"/>
      <c r="K44" s="455" t="s">
        <v>152</v>
      </c>
      <c r="L44" s="173">
        <v>9</v>
      </c>
      <c r="M44" s="248">
        <f>IFERROR(VLOOKUP(G44,MATERIALES!$D$5:$I$1332,4,FALSE),0)</f>
        <v>100</v>
      </c>
      <c r="N44" s="174">
        <f t="shared" si="23"/>
        <v>1.7391304347826086</v>
      </c>
      <c r="O44" s="140">
        <f t="shared" si="24"/>
        <v>900</v>
      </c>
      <c r="P44" s="174">
        <f t="shared" si="25"/>
        <v>15.652173913043478</v>
      </c>
      <c r="Q44" s="140">
        <f t="shared" si="3"/>
        <v>945</v>
      </c>
      <c r="R44" s="175">
        <f t="shared" si="4"/>
        <v>16.434782608695652</v>
      </c>
      <c r="S44" s="140">
        <f t="shared" si="26"/>
        <v>105</v>
      </c>
      <c r="T44" s="149">
        <f t="shared" si="27"/>
        <v>1.8260869565217392</v>
      </c>
      <c r="U44" s="172"/>
    </row>
    <row r="45" spans="1:23" ht="16">
      <c r="B45" s="280">
        <f t="shared" si="7"/>
        <v>2.1099999999999977</v>
      </c>
      <c r="C45" s="247"/>
      <c r="D45" s="247"/>
      <c r="E45" s="247"/>
      <c r="F45" s="247"/>
      <c r="G45" s="431" t="s">
        <v>905</v>
      </c>
      <c r="H45" s="137"/>
      <c r="I45" s="316"/>
      <c r="J45" s="316"/>
      <c r="K45" s="455" t="s">
        <v>152</v>
      </c>
      <c r="L45" s="173">
        <v>3</v>
      </c>
      <c r="M45" s="248">
        <f>IFERROR(VLOOKUP(G45,MATERIALES!$D$5:$I$1332,4,FALSE),0)</f>
        <v>35</v>
      </c>
      <c r="N45" s="174">
        <f t="shared" si="23"/>
        <v>0.60869565217391308</v>
      </c>
      <c r="O45" s="140">
        <f t="shared" si="24"/>
        <v>105</v>
      </c>
      <c r="P45" s="174">
        <f t="shared" si="25"/>
        <v>1.8260869565217392</v>
      </c>
      <c r="Q45" s="140">
        <f t="shared" si="3"/>
        <v>110.25</v>
      </c>
      <c r="R45" s="175">
        <f t="shared" si="4"/>
        <v>1.9173913043478261</v>
      </c>
      <c r="S45" s="140">
        <f t="shared" si="26"/>
        <v>36.75</v>
      </c>
      <c r="T45" s="149">
        <f t="shared" si="27"/>
        <v>0.63913043478260867</v>
      </c>
      <c r="U45" s="172"/>
    </row>
    <row r="46" spans="1:23" ht="16">
      <c r="B46" s="280">
        <f t="shared" si="7"/>
        <v>2.1199999999999974</v>
      </c>
      <c r="C46" s="247"/>
      <c r="D46" s="247"/>
      <c r="E46" s="247"/>
      <c r="F46" s="247"/>
      <c r="G46" s="431" t="s">
        <v>906</v>
      </c>
      <c r="H46" s="137"/>
      <c r="I46" s="316"/>
      <c r="J46" s="316"/>
      <c r="K46" s="455" t="s">
        <v>901</v>
      </c>
      <c r="L46" s="173">
        <v>50</v>
      </c>
      <c r="M46" s="248">
        <f>IFERROR(VLOOKUP(G46,MATERIALES!$D$5:$I$1332,4,FALSE),0)</f>
        <v>41.12</v>
      </c>
      <c r="N46" s="174">
        <f t="shared" si="23"/>
        <v>0.71513043478260863</v>
      </c>
      <c r="O46" s="140">
        <f t="shared" si="24"/>
        <v>2056</v>
      </c>
      <c r="P46" s="174">
        <f t="shared" si="25"/>
        <v>35.756521739130434</v>
      </c>
      <c r="Q46" s="140">
        <f t="shared" si="3"/>
        <v>2158.8000000000002</v>
      </c>
      <c r="R46" s="175">
        <f t="shared" si="4"/>
        <v>37.544347826086955</v>
      </c>
      <c r="S46" s="140">
        <f t="shared" si="26"/>
        <v>43.176000000000002</v>
      </c>
      <c r="T46" s="149">
        <f t="shared" si="27"/>
        <v>0.75088695652173909</v>
      </c>
      <c r="U46" s="172"/>
    </row>
    <row r="47" spans="1:23">
      <c r="B47" s="280">
        <f t="shared" si="7"/>
        <v>2.1299999999999972</v>
      </c>
      <c r="C47" s="247"/>
      <c r="D47" s="247"/>
      <c r="E47" s="247"/>
      <c r="F47" s="247"/>
      <c r="G47" s="459" t="s">
        <v>777</v>
      </c>
      <c r="H47" s="137"/>
      <c r="I47" s="316"/>
      <c r="J47" s="316"/>
      <c r="K47" s="455" t="s">
        <v>152</v>
      </c>
      <c r="L47" s="173">
        <v>1</v>
      </c>
      <c r="M47" s="248">
        <f>IFERROR(VLOOKUP(G47,MATERIALES!$D$5:$I$1332,4,FALSE),0)</f>
        <v>1643</v>
      </c>
      <c r="N47" s="174">
        <f t="shared" si="23"/>
        <v>28.57391304347826</v>
      </c>
      <c r="O47" s="140">
        <f t="shared" si="24"/>
        <v>1643</v>
      </c>
      <c r="P47" s="174">
        <f t="shared" si="25"/>
        <v>28.57391304347826</v>
      </c>
      <c r="Q47" s="140">
        <f t="shared" si="3"/>
        <v>1725.15</v>
      </c>
      <c r="R47" s="175">
        <f t="shared" si="4"/>
        <v>30.002608695652174</v>
      </c>
      <c r="S47" s="140">
        <f t="shared" si="26"/>
        <v>1725.15</v>
      </c>
      <c r="T47" s="149">
        <f t="shared" si="27"/>
        <v>30.002608695652174</v>
      </c>
      <c r="U47" s="172"/>
    </row>
    <row r="48" spans="1:23">
      <c r="B48" s="280">
        <f t="shared" si="7"/>
        <v>2.139999999999997</v>
      </c>
      <c r="C48" s="247"/>
      <c r="D48" s="247"/>
      <c r="E48" s="247"/>
      <c r="F48" s="247"/>
      <c r="G48" s="459" t="s">
        <v>778</v>
      </c>
      <c r="H48" s="137"/>
      <c r="I48" s="316"/>
      <c r="J48" s="316"/>
      <c r="K48" s="455" t="s">
        <v>152</v>
      </c>
      <c r="L48" s="173">
        <v>1</v>
      </c>
      <c r="M48" s="248">
        <f>IFERROR(VLOOKUP(G48,MATERIALES!$D$5:$I$1332,4,FALSE),0)</f>
        <v>704</v>
      </c>
      <c r="N48" s="174">
        <f t="shared" si="23"/>
        <v>12.243478260869566</v>
      </c>
      <c r="O48" s="140">
        <f t="shared" si="24"/>
        <v>704</v>
      </c>
      <c r="P48" s="174">
        <f t="shared" si="25"/>
        <v>12.243478260869566</v>
      </c>
      <c r="Q48" s="140">
        <f t="shared" si="3"/>
        <v>739.2</v>
      </c>
      <c r="R48" s="175">
        <f t="shared" si="4"/>
        <v>12.855652173913043</v>
      </c>
      <c r="S48" s="140">
        <f t="shared" si="26"/>
        <v>739.2</v>
      </c>
      <c r="T48" s="149">
        <f t="shared" si="27"/>
        <v>12.855652173913043</v>
      </c>
      <c r="U48" s="172"/>
    </row>
    <row r="49" spans="2:21" ht="16">
      <c r="B49" s="280">
        <f t="shared" si="7"/>
        <v>2.1499999999999968</v>
      </c>
      <c r="C49" s="247"/>
      <c r="D49" s="247"/>
      <c r="E49" s="247"/>
      <c r="F49" s="247"/>
      <c r="G49" s="431" t="s">
        <v>909</v>
      </c>
      <c r="H49" s="137"/>
      <c r="I49" s="316"/>
      <c r="J49" s="316"/>
      <c r="K49" s="455" t="s">
        <v>152</v>
      </c>
      <c r="L49" s="173">
        <v>6</v>
      </c>
      <c r="M49" s="248">
        <f>IFERROR(VLOOKUP(G49,MATERIALES!$D$5:$I$1332,4,FALSE),0)</f>
        <v>60</v>
      </c>
      <c r="N49" s="174">
        <f t="shared" si="23"/>
        <v>1.0434782608695652</v>
      </c>
      <c r="O49" s="140">
        <f t="shared" si="24"/>
        <v>360</v>
      </c>
      <c r="P49" s="174">
        <f t="shared" si="25"/>
        <v>6.2608695652173907</v>
      </c>
      <c r="Q49" s="140">
        <f t="shared" si="3"/>
        <v>378</v>
      </c>
      <c r="R49" s="175">
        <f t="shared" si="4"/>
        <v>6.5739130434782602</v>
      </c>
      <c r="S49" s="140">
        <f t="shared" si="26"/>
        <v>63</v>
      </c>
      <c r="T49" s="149">
        <f t="shared" si="27"/>
        <v>1.0956521739130434</v>
      </c>
      <c r="U49" s="172"/>
    </row>
    <row r="50" spans="2:21">
      <c r="B50" s="280">
        <f t="shared" si="7"/>
        <v>2.1599999999999966</v>
      </c>
      <c r="C50" s="247"/>
      <c r="D50" s="247"/>
      <c r="E50" s="247"/>
      <c r="F50" s="247"/>
      <c r="G50" s="225" t="s">
        <v>910</v>
      </c>
      <c r="H50" s="137"/>
      <c r="I50" s="316"/>
      <c r="J50" s="316"/>
      <c r="K50" s="455" t="s">
        <v>152</v>
      </c>
      <c r="L50" s="173">
        <v>6</v>
      </c>
      <c r="M50" s="248">
        <f>IFERROR(VLOOKUP(G50,MATERIALES!$D$5:$I$1332,4,FALSE),0)</f>
        <v>66.849999999999994</v>
      </c>
      <c r="N50" s="174">
        <f t="shared" si="23"/>
        <v>1.1626086956521737</v>
      </c>
      <c r="O50" s="140">
        <f t="shared" si="24"/>
        <v>401.09999999999997</v>
      </c>
      <c r="P50" s="174">
        <f t="shared" si="25"/>
        <v>6.9756521739130424</v>
      </c>
      <c r="Q50" s="140">
        <f t="shared" si="3"/>
        <v>421.15499999999997</v>
      </c>
      <c r="R50" s="175">
        <f t="shared" si="4"/>
        <v>7.3244347826086944</v>
      </c>
      <c r="S50" s="140">
        <f t="shared" si="26"/>
        <v>70.192499999999995</v>
      </c>
      <c r="T50" s="149">
        <f t="shared" si="27"/>
        <v>1.2207391304347823</v>
      </c>
      <c r="U50" s="172"/>
    </row>
    <row r="51" spans="2:21">
      <c r="B51" s="280">
        <f t="shared" si="7"/>
        <v>2.1699999999999964</v>
      </c>
      <c r="C51" s="247"/>
      <c r="D51" s="247"/>
      <c r="E51" s="247"/>
      <c r="F51" s="247"/>
      <c r="G51" s="459" t="s">
        <v>775</v>
      </c>
      <c r="H51" s="137"/>
      <c r="I51" s="316"/>
      <c r="J51" s="316"/>
      <c r="K51" s="455" t="s">
        <v>152</v>
      </c>
      <c r="L51" s="173">
        <v>1</v>
      </c>
      <c r="M51" s="248">
        <f>IFERROR(VLOOKUP(G51,MATERIALES!$D$5:$I$1332,4,FALSE),0)</f>
        <v>890</v>
      </c>
      <c r="N51" s="174">
        <f t="shared" si="23"/>
        <v>15.478260869565217</v>
      </c>
      <c r="O51" s="140">
        <f t="shared" si="24"/>
        <v>890</v>
      </c>
      <c r="P51" s="174">
        <f t="shared" si="25"/>
        <v>15.478260869565217</v>
      </c>
      <c r="Q51" s="140">
        <f t="shared" si="3"/>
        <v>934.5</v>
      </c>
      <c r="R51" s="175">
        <f t="shared" si="4"/>
        <v>16.252173913043478</v>
      </c>
      <c r="S51" s="140">
        <f t="shared" si="26"/>
        <v>934.5</v>
      </c>
      <c r="T51" s="149">
        <f t="shared" si="27"/>
        <v>16.252173913043478</v>
      </c>
      <c r="U51" s="172"/>
    </row>
    <row r="52" spans="2:21">
      <c r="B52" s="280">
        <f t="shared" si="7"/>
        <v>2.1799999999999962</v>
      </c>
      <c r="C52" s="247"/>
      <c r="D52" s="247"/>
      <c r="E52" s="247"/>
      <c r="F52" s="247"/>
      <c r="G52" s="459" t="s">
        <v>776</v>
      </c>
      <c r="H52" s="137"/>
      <c r="I52" s="316"/>
      <c r="J52" s="316"/>
      <c r="K52" s="455" t="s">
        <v>152</v>
      </c>
      <c r="L52" s="173">
        <v>2</v>
      </c>
      <c r="M52" s="248">
        <f>IFERROR(VLOOKUP(G52,MATERIALES!$D$5:$I$1332,4,FALSE),0)</f>
        <v>400</v>
      </c>
      <c r="N52" s="174">
        <f t="shared" si="23"/>
        <v>6.9565217391304346</v>
      </c>
      <c r="O52" s="140">
        <f t="shared" si="24"/>
        <v>800</v>
      </c>
      <c r="P52" s="174">
        <f t="shared" si="25"/>
        <v>13.913043478260869</v>
      </c>
      <c r="Q52" s="140">
        <f t="shared" si="3"/>
        <v>840</v>
      </c>
      <c r="R52" s="175">
        <f t="shared" si="4"/>
        <v>14.608695652173912</v>
      </c>
      <c r="S52" s="140">
        <f t="shared" si="26"/>
        <v>420</v>
      </c>
      <c r="T52" s="149">
        <f t="shared" si="27"/>
        <v>7.3043478260869561</v>
      </c>
      <c r="U52" s="172"/>
    </row>
    <row r="53" spans="2:21" ht="16">
      <c r="B53" s="280">
        <f t="shared" si="7"/>
        <v>2.1899999999999959</v>
      </c>
      <c r="C53" s="247"/>
      <c r="D53" s="247"/>
      <c r="E53" s="247"/>
      <c r="F53" s="247"/>
      <c r="G53" s="431" t="s">
        <v>427</v>
      </c>
      <c r="H53" s="137"/>
      <c r="I53" s="316"/>
      <c r="J53" s="316"/>
      <c r="K53" s="455" t="s">
        <v>152</v>
      </c>
      <c r="L53" s="173">
        <v>24</v>
      </c>
      <c r="M53" s="248">
        <f>IFERROR(VLOOKUP(G53,MATERIALES!$D$5:$I$1332,4,FALSE),0)</f>
        <v>19.5</v>
      </c>
      <c r="N53" s="174">
        <f t="shared" si="23"/>
        <v>0.33913043478260868</v>
      </c>
      <c r="O53" s="140">
        <f t="shared" si="24"/>
        <v>468</v>
      </c>
      <c r="P53" s="174">
        <f t="shared" si="25"/>
        <v>8.1391304347826079</v>
      </c>
      <c r="Q53" s="140">
        <f t="shared" si="3"/>
        <v>491.4</v>
      </c>
      <c r="R53" s="175">
        <f t="shared" si="4"/>
        <v>8.546086956521739</v>
      </c>
      <c r="S53" s="140">
        <f t="shared" si="26"/>
        <v>20.474999999999998</v>
      </c>
      <c r="T53" s="149">
        <f t="shared" si="27"/>
        <v>0.35608695652173911</v>
      </c>
      <c r="U53" s="172"/>
    </row>
    <row r="54" spans="2:21" ht="16">
      <c r="B54" s="280">
        <f t="shared" si="7"/>
        <v>2.1999999999999957</v>
      </c>
      <c r="C54" s="247"/>
      <c r="D54" s="247"/>
      <c r="E54" s="247"/>
      <c r="F54" s="247"/>
      <c r="G54" s="431" t="s">
        <v>748</v>
      </c>
      <c r="H54" s="137"/>
      <c r="I54" s="316"/>
      <c r="J54" s="316"/>
      <c r="K54" s="455" t="s">
        <v>152</v>
      </c>
      <c r="L54" s="173">
        <v>24</v>
      </c>
      <c r="M54" s="248">
        <f>IFERROR(VLOOKUP(G54,MATERIALES!$D$5:$I$1332,4,FALSE),0)</f>
        <v>6.5</v>
      </c>
      <c r="N54" s="174">
        <f t="shared" ref="N54:N62" si="28">M54/$N$2</f>
        <v>0.11304347826086956</v>
      </c>
      <c r="O54" s="140">
        <f t="shared" ref="O54:O62" si="29">+L54*M54</f>
        <v>156</v>
      </c>
      <c r="P54" s="174">
        <f t="shared" ref="P54:P62" si="30">L54*N54</f>
        <v>2.7130434782608694</v>
      </c>
      <c r="Q54" s="140">
        <f t="shared" si="3"/>
        <v>163.80000000000001</v>
      </c>
      <c r="R54" s="175">
        <f t="shared" si="4"/>
        <v>2.8486956521739129</v>
      </c>
      <c r="S54" s="140">
        <f t="shared" ref="S54:S62" si="31">Q54/L54</f>
        <v>6.8250000000000002</v>
      </c>
      <c r="T54" s="149">
        <f t="shared" ref="T54:T62" si="32">R54/L54</f>
        <v>0.11869565217391304</v>
      </c>
      <c r="U54" s="172"/>
    </row>
    <row r="55" spans="2:21" ht="16">
      <c r="B55" s="280">
        <f t="shared" si="7"/>
        <v>2.2099999999999955</v>
      </c>
      <c r="C55" s="247"/>
      <c r="D55" s="247"/>
      <c r="E55" s="247"/>
      <c r="F55" s="247"/>
      <c r="G55" s="431" t="s">
        <v>749</v>
      </c>
      <c r="H55" s="137"/>
      <c r="I55" s="316"/>
      <c r="J55" s="316"/>
      <c r="K55" s="455" t="s">
        <v>152</v>
      </c>
      <c r="L55" s="173">
        <v>24</v>
      </c>
      <c r="M55" s="248">
        <f>IFERROR(VLOOKUP(G55,MATERIALES!$D$5:$I$1332,4,FALSE),0)</f>
        <v>2</v>
      </c>
      <c r="N55" s="174">
        <f t="shared" si="28"/>
        <v>3.4782608695652174E-2</v>
      </c>
      <c r="O55" s="140">
        <f t="shared" si="29"/>
        <v>48</v>
      </c>
      <c r="P55" s="174">
        <f t="shared" si="30"/>
        <v>0.83478260869565224</v>
      </c>
      <c r="Q55" s="140">
        <f t="shared" si="3"/>
        <v>50.4</v>
      </c>
      <c r="R55" s="175">
        <f t="shared" si="4"/>
        <v>0.87652173913043485</v>
      </c>
      <c r="S55" s="140">
        <f t="shared" si="31"/>
        <v>2.1</v>
      </c>
      <c r="T55" s="149">
        <f t="shared" si="32"/>
        <v>3.6521739130434785E-2</v>
      </c>
      <c r="U55" s="172"/>
    </row>
    <row r="56" spans="2:21" ht="16">
      <c r="B56" s="280">
        <f t="shared" si="7"/>
        <v>2.2199999999999953</v>
      </c>
      <c r="C56" s="247"/>
      <c r="D56" s="247"/>
      <c r="E56" s="247"/>
      <c r="F56" s="247"/>
      <c r="G56" s="431" t="s">
        <v>911</v>
      </c>
      <c r="H56" s="137"/>
      <c r="I56" s="316"/>
      <c r="J56" s="316"/>
      <c r="K56" s="455" t="s">
        <v>152</v>
      </c>
      <c r="L56" s="173">
        <v>40</v>
      </c>
      <c r="M56" s="248">
        <f>IFERROR(VLOOKUP(G56,MATERIALES!$D$5:$I$1332,4,FALSE),0)</f>
        <v>2</v>
      </c>
      <c r="N56" s="174">
        <f t="shared" si="28"/>
        <v>3.4782608695652174E-2</v>
      </c>
      <c r="O56" s="140">
        <f t="shared" si="29"/>
        <v>80</v>
      </c>
      <c r="P56" s="174">
        <f t="shared" si="30"/>
        <v>1.3913043478260869</v>
      </c>
      <c r="Q56" s="140">
        <f t="shared" si="3"/>
        <v>84</v>
      </c>
      <c r="R56" s="175">
        <f t="shared" si="4"/>
        <v>1.4608695652173913</v>
      </c>
      <c r="S56" s="140">
        <f t="shared" si="31"/>
        <v>2.1</v>
      </c>
      <c r="T56" s="149">
        <f t="shared" si="32"/>
        <v>3.6521739130434785E-2</v>
      </c>
      <c r="U56" s="172"/>
    </row>
    <row r="57" spans="2:21" ht="16">
      <c r="B57" s="280">
        <f t="shared" si="7"/>
        <v>2.2299999999999951</v>
      </c>
      <c r="C57" s="247"/>
      <c r="D57" s="247"/>
      <c r="E57" s="247"/>
      <c r="F57" s="247"/>
      <c r="G57" s="431" t="s">
        <v>424</v>
      </c>
      <c r="H57" s="137"/>
      <c r="I57" s="316"/>
      <c r="J57" s="316"/>
      <c r="K57" s="455" t="s">
        <v>152</v>
      </c>
      <c r="L57" s="173">
        <v>40</v>
      </c>
      <c r="M57" s="248">
        <f>IFERROR(VLOOKUP(G57,MATERIALES!$D$5:$I$1332,4,FALSE),0)</f>
        <v>1</v>
      </c>
      <c r="N57" s="174">
        <f t="shared" si="28"/>
        <v>1.7391304347826087E-2</v>
      </c>
      <c r="O57" s="140">
        <f t="shared" si="29"/>
        <v>40</v>
      </c>
      <c r="P57" s="174">
        <f t="shared" si="30"/>
        <v>0.69565217391304346</v>
      </c>
      <c r="Q57" s="140">
        <f t="shared" si="3"/>
        <v>42</v>
      </c>
      <c r="R57" s="175">
        <f t="shared" si="4"/>
        <v>0.73043478260869565</v>
      </c>
      <c r="S57" s="140">
        <f t="shared" si="31"/>
        <v>1.05</v>
      </c>
      <c r="T57" s="149">
        <f t="shared" si="32"/>
        <v>1.8260869565217393E-2</v>
      </c>
      <c r="U57" s="172"/>
    </row>
    <row r="58" spans="2:21" ht="16">
      <c r="B58" s="280">
        <f t="shared" si="7"/>
        <v>2.2399999999999949</v>
      </c>
      <c r="C58" s="247"/>
      <c r="D58" s="247"/>
      <c r="E58" s="247"/>
      <c r="F58" s="247"/>
      <c r="G58" s="431" t="s">
        <v>169</v>
      </c>
      <c r="H58" s="137"/>
      <c r="I58" s="316"/>
      <c r="J58" s="316"/>
      <c r="K58" s="455" t="s">
        <v>152</v>
      </c>
      <c r="L58" s="173">
        <v>3</v>
      </c>
      <c r="M58" s="248">
        <f>IFERROR(VLOOKUP(G58,MATERIALES!$D$5:$I$1332,4,FALSE),0)</f>
        <v>300</v>
      </c>
      <c r="N58" s="174">
        <f t="shared" si="28"/>
        <v>5.2173913043478262</v>
      </c>
      <c r="O58" s="140">
        <f t="shared" si="29"/>
        <v>900</v>
      </c>
      <c r="P58" s="174">
        <f t="shared" si="30"/>
        <v>15.652173913043478</v>
      </c>
      <c r="Q58" s="140">
        <f t="shared" si="3"/>
        <v>945</v>
      </c>
      <c r="R58" s="175">
        <f t="shared" si="4"/>
        <v>16.434782608695652</v>
      </c>
      <c r="S58" s="140">
        <f t="shared" si="31"/>
        <v>315</v>
      </c>
      <c r="T58" s="149">
        <f t="shared" si="32"/>
        <v>5.4782608695652177</v>
      </c>
      <c r="U58" s="172"/>
    </row>
    <row r="59" spans="2:21" ht="16">
      <c r="B59" s="280">
        <f t="shared" si="7"/>
        <v>2.2499999999999947</v>
      </c>
      <c r="C59" s="247"/>
      <c r="D59" s="247"/>
      <c r="E59" s="247"/>
      <c r="F59" s="247"/>
      <c r="G59" s="431" t="s">
        <v>155</v>
      </c>
      <c r="H59" s="137"/>
      <c r="I59" s="316"/>
      <c r="J59" s="316"/>
      <c r="K59" s="455" t="s">
        <v>152</v>
      </c>
      <c r="L59" s="173">
        <v>15</v>
      </c>
      <c r="M59" s="248">
        <f>IFERROR(VLOOKUP(G59,MATERIALES!$D$5:$I$1332,4,FALSE),0)</f>
        <v>5.0199999999999996</v>
      </c>
      <c r="N59" s="174">
        <f t="shared" si="28"/>
        <v>8.7304347826086953E-2</v>
      </c>
      <c r="O59" s="140">
        <f t="shared" si="29"/>
        <v>75.3</v>
      </c>
      <c r="P59" s="174">
        <f t="shared" si="30"/>
        <v>1.3095652173913044</v>
      </c>
      <c r="Q59" s="140">
        <f t="shared" si="3"/>
        <v>79.064999999999998</v>
      </c>
      <c r="R59" s="175">
        <f t="shared" si="4"/>
        <v>1.3750434782608696</v>
      </c>
      <c r="S59" s="140">
        <f t="shared" si="31"/>
        <v>5.2709999999999999</v>
      </c>
      <c r="T59" s="149">
        <f t="shared" si="32"/>
        <v>9.1669565217391308E-2</v>
      </c>
      <c r="U59" s="172"/>
    </row>
    <row r="60" spans="2:21" ht="16">
      <c r="B60" s="280">
        <f t="shared" si="7"/>
        <v>2.2599999999999945</v>
      </c>
      <c r="C60" s="247"/>
      <c r="D60" s="247"/>
      <c r="E60" s="247"/>
      <c r="F60" s="247"/>
      <c r="G60" s="431" t="s">
        <v>912</v>
      </c>
      <c r="H60" s="137"/>
      <c r="I60" s="316"/>
      <c r="J60" s="316"/>
      <c r="K60" s="455" t="s">
        <v>152</v>
      </c>
      <c r="L60" s="173">
        <v>1</v>
      </c>
      <c r="M60" s="248">
        <f>IFERROR(VLOOKUP(G60,MATERIALES!$D$5:$I$1332,4,FALSE),0)</f>
        <v>250</v>
      </c>
      <c r="N60" s="174">
        <f t="shared" si="28"/>
        <v>4.3478260869565215</v>
      </c>
      <c r="O60" s="140">
        <f t="shared" si="29"/>
        <v>250</v>
      </c>
      <c r="P60" s="174">
        <f t="shared" si="30"/>
        <v>4.3478260869565215</v>
      </c>
      <c r="Q60" s="140">
        <f t="shared" si="3"/>
        <v>262.5</v>
      </c>
      <c r="R60" s="175">
        <f t="shared" si="4"/>
        <v>4.5652173913043477</v>
      </c>
      <c r="S60" s="140">
        <f t="shared" si="31"/>
        <v>262.5</v>
      </c>
      <c r="T60" s="149">
        <f t="shared" si="32"/>
        <v>4.5652173913043477</v>
      </c>
      <c r="U60" s="172"/>
    </row>
    <row r="61" spans="2:21" ht="16">
      <c r="B61" s="280">
        <f t="shared" si="7"/>
        <v>2.2699999999999942</v>
      </c>
      <c r="C61" s="247"/>
      <c r="D61" s="247"/>
      <c r="E61" s="247"/>
      <c r="F61" s="247"/>
      <c r="G61" s="431" t="s">
        <v>913</v>
      </c>
      <c r="H61" s="137"/>
      <c r="I61" s="316"/>
      <c r="J61" s="316"/>
      <c r="K61" s="455" t="s">
        <v>152</v>
      </c>
      <c r="L61" s="173">
        <v>6</v>
      </c>
      <c r="M61" s="248">
        <f>IFERROR(VLOOKUP(G61,MATERIALES!$D$5:$I$1332,4,FALSE),0)</f>
        <v>28</v>
      </c>
      <c r="N61" s="174">
        <f t="shared" si="28"/>
        <v>0.48695652173913045</v>
      </c>
      <c r="O61" s="140">
        <f t="shared" si="29"/>
        <v>168</v>
      </c>
      <c r="P61" s="174">
        <f t="shared" si="30"/>
        <v>2.9217391304347826</v>
      </c>
      <c r="Q61" s="140">
        <f t="shared" si="3"/>
        <v>176.4</v>
      </c>
      <c r="R61" s="175">
        <f t="shared" si="4"/>
        <v>3.0678260869565217</v>
      </c>
      <c r="S61" s="140">
        <f t="shared" si="31"/>
        <v>29.400000000000002</v>
      </c>
      <c r="T61" s="149">
        <f t="shared" si="32"/>
        <v>0.51130434782608691</v>
      </c>
      <c r="U61" s="172"/>
    </row>
    <row r="62" spans="2:21" ht="17" thickBot="1">
      <c r="B62" s="280">
        <f t="shared" si="7"/>
        <v>2.279999999999994</v>
      </c>
      <c r="C62" s="247"/>
      <c r="D62" s="247"/>
      <c r="E62" s="247"/>
      <c r="F62" s="247"/>
      <c r="G62" s="431" t="s">
        <v>914</v>
      </c>
      <c r="H62" s="137"/>
      <c r="I62" s="316"/>
      <c r="J62" s="316"/>
      <c r="K62" s="455" t="s">
        <v>152</v>
      </c>
      <c r="L62" s="173">
        <v>6</v>
      </c>
      <c r="M62" s="248">
        <f>IFERROR(VLOOKUP(G62,MATERIALES!$D$5:$I$1332,4,FALSE),0)</f>
        <v>686.15</v>
      </c>
      <c r="N62" s="174">
        <f t="shared" si="28"/>
        <v>11.933043478260869</v>
      </c>
      <c r="O62" s="140">
        <f t="shared" si="29"/>
        <v>4116.8999999999996</v>
      </c>
      <c r="P62" s="174">
        <f t="shared" si="30"/>
        <v>71.598260869565209</v>
      </c>
      <c r="Q62" s="140">
        <f t="shared" si="3"/>
        <v>4322.7449999999999</v>
      </c>
      <c r="R62" s="175">
        <f t="shared" si="4"/>
        <v>75.178173913043466</v>
      </c>
      <c r="S62" s="140">
        <f t="shared" si="31"/>
        <v>720.45749999999998</v>
      </c>
      <c r="T62" s="149">
        <f t="shared" si="32"/>
        <v>12.529695652173912</v>
      </c>
      <c r="U62" s="172"/>
    </row>
    <row r="63" spans="2:21">
      <c r="G63" s="302" t="s">
        <v>18</v>
      </c>
      <c r="H63" s="258"/>
      <c r="I63" s="228"/>
      <c r="J63" s="228"/>
      <c r="K63" s="229"/>
      <c r="L63" s="259"/>
      <c r="M63" s="232"/>
      <c r="N63" s="230"/>
      <c r="O63" s="233">
        <f>SUM(O6:O62)</f>
        <v>269177.29000000004</v>
      </c>
      <c r="P63" s="231">
        <f>SUM(P6:P62)</f>
        <v>4681.3441739130421</v>
      </c>
      <c r="Q63" s="233">
        <f>SUM(Q6:Q62)</f>
        <v>282636.15450000012</v>
      </c>
      <c r="R63" s="328">
        <f>SUM(R6:R62)</f>
        <v>4915.411382608695</v>
      </c>
      <c r="S63" s="227"/>
      <c r="T63" s="175"/>
      <c r="U63" s="172"/>
    </row>
    <row r="64" spans="2:21">
      <c r="G64" s="188"/>
      <c r="H64" s="260"/>
      <c r="I64" s="213"/>
      <c r="J64" s="213"/>
      <c r="K64" s="189"/>
      <c r="L64" s="204"/>
      <c r="M64" s="205"/>
      <c r="N64" s="151"/>
      <c r="P64" s="151"/>
      <c r="Q64" s="152"/>
      <c r="R64" s="153"/>
      <c r="S64" s="227"/>
      <c r="T64" s="175"/>
      <c r="U64" s="145"/>
    </row>
    <row r="65" spans="1:21" ht="16" thickBot="1">
      <c r="G65" s="262"/>
      <c r="H65" s="235"/>
      <c r="I65" s="210"/>
      <c r="J65" s="210"/>
      <c r="K65" s="190"/>
      <c r="L65" s="190"/>
      <c r="M65" s="36"/>
      <c r="N65" s="191" t="s">
        <v>171</v>
      </c>
      <c r="O65" s="206">
        <f>Q63-O63</f>
        <v>13458.864500000083</v>
      </c>
      <c r="P65" s="234">
        <f>R63-P63</f>
        <v>234.06720869565288</v>
      </c>
      <c r="S65" s="155"/>
      <c r="T65" s="154"/>
      <c r="U65" s="145"/>
    </row>
    <row r="66" spans="1:21" ht="16" thickBot="1">
      <c r="A66" s="154"/>
      <c r="B66" s="156"/>
      <c r="C66" s="156"/>
      <c r="D66" s="156"/>
      <c r="E66" s="156"/>
      <c r="F66" s="156"/>
      <c r="G66" s="263"/>
      <c r="H66" s="192"/>
      <c r="I66" s="211"/>
      <c r="J66" s="211"/>
      <c r="K66" s="192"/>
      <c r="L66" s="192"/>
      <c r="M66" s="37"/>
      <c r="N66" s="192"/>
      <c r="O66" s="193"/>
      <c r="P66" s="194"/>
      <c r="Q66" s="155"/>
      <c r="R66" s="156"/>
      <c r="S66" s="156"/>
      <c r="T66" s="154"/>
      <c r="U66" s="145"/>
    </row>
    <row r="67" spans="1:21" s="156" customFormat="1" ht="32">
      <c r="A67" s="154"/>
      <c r="G67" s="263"/>
      <c r="H67" s="192"/>
      <c r="I67" s="211"/>
      <c r="J67" s="211"/>
      <c r="L67" s="332" t="s">
        <v>172</v>
      </c>
      <c r="M67" s="333"/>
      <c r="N67" s="183"/>
      <c r="O67" s="233">
        <f>O63+O65</f>
        <v>282636.15450000012</v>
      </c>
      <c r="P67" s="329">
        <f>P63+P65</f>
        <v>4915.411382608695</v>
      </c>
      <c r="T67" s="155"/>
      <c r="U67" s="195"/>
    </row>
    <row r="68" spans="1:21" s="156" customFormat="1" ht="30" customHeight="1">
      <c r="A68" s="154"/>
      <c r="G68" s="263"/>
      <c r="H68" s="192"/>
      <c r="I68" s="211"/>
      <c r="J68" s="211"/>
      <c r="L68" s="334" t="s">
        <v>173</v>
      </c>
      <c r="M68" s="335"/>
      <c r="N68" s="159">
        <v>0</v>
      </c>
      <c r="O68" s="196">
        <f>+O67*N68</f>
        <v>0</v>
      </c>
      <c r="P68" s="197">
        <f>+P67*$N$68</f>
        <v>0</v>
      </c>
      <c r="T68" s="154"/>
      <c r="U68" s="195"/>
    </row>
    <row r="69" spans="1:21" s="156" customFormat="1" ht="30" customHeight="1" thickBot="1">
      <c r="A69" s="154"/>
      <c r="G69" s="263"/>
      <c r="H69" s="192"/>
      <c r="I69" s="211"/>
      <c r="J69" s="211"/>
      <c r="L69" s="336" t="s">
        <v>174</v>
      </c>
      <c r="M69" s="337"/>
      <c r="N69" s="184"/>
      <c r="O69" s="198">
        <f>SUM(O67:O68)</f>
        <v>282636.15450000012</v>
      </c>
      <c r="P69" s="330">
        <f>SUM(P67:P68)</f>
        <v>4915.411382608695</v>
      </c>
      <c r="T69" s="154"/>
      <c r="U69" s="195"/>
    </row>
    <row r="70" spans="1:21" s="156" customFormat="1" ht="30.75" customHeight="1">
      <c r="A70" s="154"/>
      <c r="G70" s="264"/>
      <c r="I70" s="207"/>
      <c r="J70" s="207"/>
      <c r="K70" s="207"/>
      <c r="L70" s="207"/>
      <c r="M70" s="208"/>
      <c r="N70" s="207"/>
      <c r="O70" s="207"/>
      <c r="P70" s="194"/>
      <c r="T70" s="154"/>
      <c r="U70" s="195"/>
    </row>
    <row r="71" spans="1:21" s="156" customFormat="1">
      <c r="A71" s="154"/>
      <c r="G71" s="264"/>
      <c r="I71" s="207"/>
      <c r="J71" s="207"/>
      <c r="K71" s="207"/>
      <c r="L71" s="207"/>
      <c r="M71" s="208"/>
      <c r="N71" s="207"/>
      <c r="O71" s="331">
        <f>O69*0.4</f>
        <v>113054.46180000005</v>
      </c>
      <c r="P71" s="194"/>
      <c r="Q71" s="209">
        <f>P69*N2</f>
        <v>282636.15449999995</v>
      </c>
      <c r="T71" s="150"/>
      <c r="U71" s="195"/>
    </row>
    <row r="72" spans="1:21" s="156" customFormat="1">
      <c r="A72" s="154"/>
      <c r="G72" s="264"/>
      <c r="I72" s="207"/>
      <c r="J72" s="207"/>
      <c r="K72" s="207"/>
      <c r="L72" s="207"/>
      <c r="M72" s="208"/>
      <c r="N72" s="207"/>
      <c r="O72" s="207"/>
      <c r="P72" s="194"/>
      <c r="Q72" s="209">
        <f>Q71*0.4</f>
        <v>113054.46179999999</v>
      </c>
      <c r="T72" s="154"/>
      <c r="U72" s="195"/>
    </row>
    <row r="73" spans="1:21" s="156" customFormat="1" ht="14" customHeight="1">
      <c r="A73" s="154"/>
      <c r="G73" s="264"/>
      <c r="I73" s="214"/>
      <c r="J73" s="214"/>
      <c r="M73" s="157"/>
      <c r="O73" s="172"/>
      <c r="P73" s="194"/>
      <c r="T73" s="154"/>
      <c r="U73" s="195"/>
    </row>
    <row r="74" spans="1:21" s="156" customFormat="1">
      <c r="A74" s="185"/>
      <c r="B74" s="148"/>
      <c r="C74" s="148"/>
      <c r="D74" s="148"/>
      <c r="E74" s="148"/>
      <c r="F74" s="148"/>
      <c r="G74" s="246"/>
      <c r="H74" s="148"/>
      <c r="I74" s="212"/>
      <c r="J74" s="212"/>
      <c r="K74" s="148"/>
      <c r="L74" s="148"/>
      <c r="M74" s="158"/>
      <c r="N74" s="148"/>
      <c r="O74" s="200"/>
      <c r="P74" s="201"/>
      <c r="Q74" s="148"/>
      <c r="R74" s="148"/>
      <c r="S74" s="148"/>
      <c r="T74" s="185"/>
      <c r="U74" s="199"/>
    </row>
  </sheetData>
  <dataConsolidate/>
  <mergeCells count="9">
    <mergeCell ref="G4:I4"/>
    <mergeCell ref="F4:F5"/>
    <mergeCell ref="B4:B5"/>
    <mergeCell ref="O2:P2"/>
    <mergeCell ref="D4:D5"/>
    <mergeCell ref="K4:K5"/>
    <mergeCell ref="L4:L5"/>
    <mergeCell ref="E4:E5"/>
    <mergeCell ref="C4:C5"/>
  </mergeCells>
  <phoneticPr fontId="39"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082B8-5DC7-4D3E-9D0D-6A8E16E776BE}">
  <dimension ref="A1:X700"/>
  <sheetViews>
    <sheetView zoomScale="85" zoomScaleNormal="85" zoomScalePageLayoutView="60" workbookViewId="0">
      <selection activeCell="G165" sqref="G165"/>
    </sheetView>
  </sheetViews>
  <sheetFormatPr baseColWidth="10" defaultColWidth="9" defaultRowHeight="15" outlineLevelRow="1" outlineLevelCol="1"/>
  <cols>
    <col min="1" max="1" width="1.33203125" style="3" customWidth="1"/>
    <col min="2" max="2" width="7.5" style="3" bestFit="1" customWidth="1"/>
    <col min="3" max="3" width="63.1640625" style="3" bestFit="1" customWidth="1"/>
    <col min="4" max="4" width="26.33203125" style="3" bestFit="1" customWidth="1"/>
    <col min="5" max="5" width="18.83203125" style="3" bestFit="1" customWidth="1"/>
    <col min="6" max="6" width="14.33203125" style="3" bestFit="1" customWidth="1"/>
    <col min="7" max="7" width="29.5" style="348" customWidth="1"/>
    <col min="8" max="8" width="25.6640625" style="3" bestFit="1" customWidth="1"/>
    <col min="9" max="9" width="26" style="346" bestFit="1" customWidth="1"/>
    <col min="10" max="10" width="14.33203125" style="346" bestFit="1" customWidth="1"/>
    <col min="11" max="11" width="16.6640625" style="3" customWidth="1" outlineLevel="1"/>
    <col min="12" max="12" width="15.6640625" style="3" customWidth="1" outlineLevel="1"/>
    <col min="13" max="13" width="24.5" style="426" customWidth="1" outlineLevel="1"/>
    <col min="14" max="14" width="24.5" style="3" customWidth="1" outlineLevel="1"/>
    <col min="15" max="15" width="22" style="349" customWidth="1" outlineLevel="1"/>
    <col min="16" max="16" width="23.1640625" style="350" customWidth="1" outlineLevel="1"/>
    <col min="17" max="18" width="26.83203125" style="3" customWidth="1" outlineLevel="1"/>
    <col min="19" max="20" width="24.5" style="3" bestFit="1" customWidth="1"/>
    <col min="21" max="21" width="9.33203125" style="186" bestFit="1" customWidth="1"/>
    <col min="22" max="22" width="9.33203125" style="3" bestFit="1" customWidth="1"/>
    <col min="23" max="23" width="10.33203125" style="3" bestFit="1" customWidth="1"/>
    <col min="24" max="24" width="7.6640625" style="3" bestFit="1" customWidth="1"/>
    <col min="25" max="16384" width="9" style="3"/>
  </cols>
  <sheetData>
    <row r="1" spans="1:23" ht="16">
      <c r="M1" s="147" t="s">
        <v>136</v>
      </c>
      <c r="N1" s="342">
        <v>69.63</v>
      </c>
    </row>
    <row r="2" spans="1:23" ht="15" customHeight="1">
      <c r="K2" s="342"/>
      <c r="L2" s="342"/>
      <c r="M2" s="147" t="s">
        <v>137</v>
      </c>
      <c r="N2" s="342">
        <v>57.5</v>
      </c>
      <c r="O2" s="644" t="s">
        <v>138</v>
      </c>
      <c r="P2" s="644"/>
      <c r="Q2" s="351" t="s">
        <v>139</v>
      </c>
      <c r="R2" s="352">
        <v>0.1</v>
      </c>
      <c r="S2" s="352"/>
    </row>
    <row r="3" spans="1:23" ht="16" thickBot="1">
      <c r="G3" s="261"/>
      <c r="H3" s="4"/>
      <c r="I3" s="4"/>
      <c r="J3" s="4"/>
      <c r="K3" s="4"/>
      <c r="L3" s="4"/>
      <c r="M3" s="34"/>
      <c r="N3" s="4"/>
      <c r="O3" s="5"/>
      <c r="P3" s="6"/>
    </row>
    <row r="4" spans="1:23">
      <c r="B4" s="642" t="s">
        <v>140</v>
      </c>
      <c r="C4" s="640" t="s">
        <v>141</v>
      </c>
      <c r="D4" s="640" t="s">
        <v>141</v>
      </c>
      <c r="E4" s="640" t="s">
        <v>142</v>
      </c>
      <c r="F4" s="640" t="s">
        <v>143</v>
      </c>
      <c r="G4" s="637" t="s">
        <v>14</v>
      </c>
      <c r="H4" s="638"/>
      <c r="I4" s="639"/>
      <c r="J4" s="241"/>
      <c r="K4" s="645" t="s">
        <v>144</v>
      </c>
      <c r="L4" s="645" t="s">
        <v>16</v>
      </c>
      <c r="M4" s="35" t="s">
        <v>17</v>
      </c>
      <c r="N4" s="343" t="s">
        <v>17</v>
      </c>
      <c r="O4" s="24" t="s">
        <v>145</v>
      </c>
      <c r="P4" s="25" t="s">
        <v>145</v>
      </c>
      <c r="Q4" s="32" t="s">
        <v>146</v>
      </c>
      <c r="R4" s="32" t="s">
        <v>146</v>
      </c>
      <c r="S4" s="343" t="s">
        <v>17</v>
      </c>
      <c r="T4" s="249" t="s">
        <v>17</v>
      </c>
    </row>
    <row r="5" spans="1:23" ht="17" thickBot="1">
      <c r="B5" s="643"/>
      <c r="C5" s="641"/>
      <c r="D5" s="641"/>
      <c r="E5" s="641"/>
      <c r="F5" s="641"/>
      <c r="G5" s="244" t="s">
        <v>147</v>
      </c>
      <c r="H5" s="242" t="s">
        <v>143</v>
      </c>
      <c r="I5" s="243" t="s">
        <v>148</v>
      </c>
      <c r="J5" s="250" t="s">
        <v>149</v>
      </c>
      <c r="K5" s="646"/>
      <c r="L5" s="646"/>
      <c r="M5" s="251" t="s">
        <v>150</v>
      </c>
      <c r="N5" s="252" t="s">
        <v>151</v>
      </c>
      <c r="O5" s="253" t="s">
        <v>150</v>
      </c>
      <c r="P5" s="254" t="s">
        <v>151</v>
      </c>
      <c r="Q5" s="255" t="s">
        <v>150</v>
      </c>
      <c r="R5" s="256" t="s">
        <v>151</v>
      </c>
      <c r="S5" s="255" t="s">
        <v>150</v>
      </c>
      <c r="T5" s="257" t="s">
        <v>151</v>
      </c>
    </row>
    <row r="6" spans="1:23" ht="15" customHeight="1" thickBot="1">
      <c r="A6" s="353"/>
      <c r="B6" s="354">
        <v>1</v>
      </c>
      <c r="C6" s="355" t="s">
        <v>781</v>
      </c>
      <c r="D6" s="269" t="s">
        <v>782</v>
      </c>
      <c r="E6" s="269">
        <v>2</v>
      </c>
      <c r="F6" s="270" t="s">
        <v>783</v>
      </c>
      <c r="G6" s="271"/>
      <c r="H6" s="272"/>
      <c r="I6" s="272"/>
      <c r="J6" s="272"/>
      <c r="K6" s="268"/>
      <c r="L6" s="268"/>
      <c r="M6" s="273"/>
      <c r="N6" s="274"/>
      <c r="O6" s="273"/>
      <c r="P6" s="274"/>
      <c r="Q6" s="273"/>
      <c r="R6" s="275"/>
      <c r="S6" s="273"/>
      <c r="T6" s="356"/>
      <c r="U6" s="357" t="e">
        <f>SUM(R7:R27)</f>
        <v>#VALUE!</v>
      </c>
      <c r="V6" s="358">
        <v>114.08</v>
      </c>
      <c r="W6" s="144" t="e">
        <f>U6-V6</f>
        <v>#VALUE!</v>
      </c>
    </row>
    <row r="7" spans="1:23" ht="15" hidden="1" customHeight="1" outlineLevel="1">
      <c r="A7" s="353"/>
      <c r="B7" s="359">
        <f>B6+0.01</f>
        <v>1.01</v>
      </c>
      <c r="C7" s="360" t="s">
        <v>781</v>
      </c>
      <c r="D7" s="360" t="s">
        <v>782</v>
      </c>
      <c r="E7" s="360">
        <v>2</v>
      </c>
      <c r="F7" s="347" t="s">
        <v>783</v>
      </c>
      <c r="G7" s="361" t="str">
        <f>IF(H7="PVC",VLOOKUP(I7,[1]MATERIALES!$C$5:$D$11,2,FALSE),IF(H7="EMT",VLOOKUP(I7,[1]MATERIALES!$C$40:$D$46,2,FALSE),IF(H7="IMC",VLOOKUP(I7,[1]MATERIALES!$C$82:$D$88,2,FALSE),IF(H7="LFNC",VLOOKUP(I7,[1]MATERIALES!$C$110:$D$116,2,FALSE),0))))</f>
        <v>Tubería PVC SDR-26 3/4"</v>
      </c>
      <c r="H7" s="362" t="s">
        <v>184</v>
      </c>
      <c r="I7" s="362" t="s">
        <v>212</v>
      </c>
      <c r="J7" s="362">
        <v>9.64</v>
      </c>
      <c r="K7" s="134" t="str">
        <f>IF(OR(H7="Conductores Americanos",H7="Conductores Europeos"),"Pies","Unid.")</f>
        <v>Unid.</v>
      </c>
      <c r="L7" s="363">
        <f>IF(H7="PVC",ROUNDUP(J7/6,0),IF(H7="EMT",ROUNDUP(J7/3,0),IF(H7="IMC",ROUNDUP(J7/3,0),IF(H7="LFNC",ROUNDUP(3.28*J7,0),0))))</f>
        <v>2</v>
      </c>
      <c r="M7" s="248" t="str">
        <f>IFERROR(VLOOKUP(G7,[1]MATERIALES!$D$5:$I$1368,2,FALSE),0)</f>
        <v xml:space="preserve">Suplidores electricos </v>
      </c>
      <c r="N7" s="364" t="e">
        <f t="shared" ref="N7:N22" si="0">M7/$N$2</f>
        <v>#VALUE!</v>
      </c>
      <c r="O7" s="248" t="e">
        <f>+L7*M7</f>
        <v>#VALUE!</v>
      </c>
      <c r="P7" s="364" t="e">
        <f>L7*N7</f>
        <v>#VALUE!</v>
      </c>
      <c r="Q7" s="248" t="e">
        <f t="shared" ref="Q7:Q27" si="1">+$O7+($O7*$R$2)</f>
        <v>#VALUE!</v>
      </c>
      <c r="R7" s="365" t="e">
        <f t="shared" ref="R7:R27" si="2">+$P7+($P7*$R$2)</f>
        <v>#VALUE!</v>
      </c>
      <c r="S7" s="248">
        <f>+IFERROR(Q7/L7,0)</f>
        <v>0</v>
      </c>
      <c r="T7" s="146">
        <f>+IFERROR(R7/L7,0)</f>
        <v>0</v>
      </c>
      <c r="U7" s="145"/>
      <c r="V7" s="145"/>
      <c r="W7" s="141"/>
    </row>
    <row r="8" spans="1:23" ht="15" hidden="1" customHeight="1" outlineLevel="1">
      <c r="A8" s="353"/>
      <c r="B8" s="344">
        <f>B7+0.01</f>
        <v>1.02</v>
      </c>
      <c r="C8" s="360" t="s">
        <v>781</v>
      </c>
      <c r="D8" s="360" t="s">
        <v>782</v>
      </c>
      <c r="E8" s="360">
        <v>2</v>
      </c>
      <c r="F8" s="347" t="str">
        <f t="shared" ref="F8:F22" si="3">F7</f>
        <v>120V 1Ø</v>
      </c>
      <c r="G8" s="361" t="str">
        <f>IF(H8="PVC",VLOOKUP(I8,[1]MATERIALES!$C$12:$D$18,2,FALSE),IF(H8="EMT",VLOOKUP(I8,[1]MATERIALES!$C$47:$D$53,2,FALSE),IF(H8="IMC",VLOOKUP(I8,[1]MATERIALES!$C$89:$D$96,2,FALSE),"-")))</f>
        <v>Coupling PVC 3/4"</v>
      </c>
      <c r="H8" s="366" t="str">
        <f>H7</f>
        <v>PVC</v>
      </c>
      <c r="I8" s="366" t="str">
        <f>I7</f>
        <v>19mm</v>
      </c>
      <c r="J8" s="316"/>
      <c r="K8" s="345" t="str">
        <f t="shared" ref="K8:K15" si="4">IF(OR(H8="Conductores Americanos",H8="Conductores Europeos"),"Pies","Unid.")</f>
        <v>Unid.</v>
      </c>
      <c r="L8" s="28">
        <f>IF(H8="LFNC",0,L7)</f>
        <v>2</v>
      </c>
      <c r="M8" s="140" t="str">
        <f>IF(H8="LFNC",0,VLOOKUP(G8,[1]MATERIALES!$D$5:$I$1368,2,FALSE))</f>
        <v xml:space="preserve">Suplidores electricos </v>
      </c>
      <c r="N8" s="367" t="e">
        <f t="shared" si="0"/>
        <v>#VALUE!</v>
      </c>
      <c r="O8" s="140" t="e">
        <f t="shared" ref="O8:O22" si="5">+L8*M8</f>
        <v>#VALUE!</v>
      </c>
      <c r="P8" s="367" t="e">
        <f t="shared" ref="P8:P22" si="6">L8*N8</f>
        <v>#VALUE!</v>
      </c>
      <c r="Q8" s="140" t="e">
        <f t="shared" si="1"/>
        <v>#VALUE!</v>
      </c>
      <c r="R8" s="368" t="e">
        <f t="shared" si="2"/>
        <v>#VALUE!</v>
      </c>
      <c r="S8" s="140">
        <f t="shared" ref="S8:S22" si="7">+IFERROR(Q8/L8,0)</f>
        <v>0</v>
      </c>
      <c r="T8" s="139">
        <f t="shared" ref="T8:T22" si="8">+IFERROR(R8/L8,0)</f>
        <v>0</v>
      </c>
      <c r="U8" s="145"/>
      <c r="V8" s="145"/>
      <c r="W8" s="141"/>
    </row>
    <row r="9" spans="1:23" ht="15" hidden="1" customHeight="1" outlineLevel="1">
      <c r="A9" s="353"/>
      <c r="B9" s="344">
        <f t="shared" ref="B9:B22" si="9">B8+0.01</f>
        <v>1.03</v>
      </c>
      <c r="C9" s="360" t="s">
        <v>781</v>
      </c>
      <c r="D9" s="360" t="s">
        <v>782</v>
      </c>
      <c r="E9" s="360">
        <v>2</v>
      </c>
      <c r="F9" s="347" t="str">
        <f t="shared" si="3"/>
        <v>120V 1Ø</v>
      </c>
      <c r="G9" s="361" t="str">
        <f>IF(H9="PVC",VLOOKUP(I9,[1]MATERIALES!$C$19:$D$25,2,FALSE),IF(H9="EMT",VLOOKUP(I9,[1]MATERIALES!$C$54:$D$60,2,FALSE),IF(H9="IMC",VLOOKUP(I9,[1]MATERIALES!$C$96:$D$102,2,FALSE),IF(H9="LFNC",VLOOKUP(I9,[1]MATERIALES!$C$117:$D$123,2,FALSE),0))))</f>
        <v>Adaptador Macho PVC 3/4"</v>
      </c>
      <c r="H9" s="366" t="str">
        <f>H7</f>
        <v>PVC</v>
      </c>
      <c r="I9" s="366" t="str">
        <f>I7</f>
        <v>19mm</v>
      </c>
      <c r="J9" s="316"/>
      <c r="K9" s="345" t="str">
        <f t="shared" si="4"/>
        <v>Unid.</v>
      </c>
      <c r="L9" s="28">
        <f>1+L12*2+L14</f>
        <v>15</v>
      </c>
      <c r="M9" s="248" t="str">
        <f>IFERROR(VLOOKUP(G9,[1]MATERIALES!$D$5:$I$1368,2,FALSE),0)</f>
        <v xml:space="preserve">Suplidores electricos </v>
      </c>
      <c r="N9" s="367" t="e">
        <f t="shared" si="0"/>
        <v>#VALUE!</v>
      </c>
      <c r="O9" s="140" t="e">
        <f t="shared" si="5"/>
        <v>#VALUE!</v>
      </c>
      <c r="P9" s="367" t="e">
        <f t="shared" si="6"/>
        <v>#VALUE!</v>
      </c>
      <c r="Q9" s="140" t="e">
        <f t="shared" si="1"/>
        <v>#VALUE!</v>
      </c>
      <c r="R9" s="368" t="e">
        <f t="shared" si="2"/>
        <v>#VALUE!</v>
      </c>
      <c r="S9" s="140">
        <f t="shared" si="7"/>
        <v>0</v>
      </c>
      <c r="T9" s="139">
        <f t="shared" si="8"/>
        <v>0</v>
      </c>
      <c r="U9" s="145"/>
      <c r="V9" s="145"/>
      <c r="W9" s="141"/>
    </row>
    <row r="10" spans="1:23" ht="15" hidden="1" customHeight="1" outlineLevel="1">
      <c r="A10" s="353"/>
      <c r="B10" s="344">
        <f t="shared" si="9"/>
        <v>1.04</v>
      </c>
      <c r="C10" s="360" t="s">
        <v>781</v>
      </c>
      <c r="D10" s="360" t="s">
        <v>782</v>
      </c>
      <c r="E10" s="360">
        <v>2</v>
      </c>
      <c r="F10" s="347" t="str">
        <f t="shared" si="3"/>
        <v>120V 1Ø</v>
      </c>
      <c r="G10" s="361" t="str">
        <f>IF(H10="PVC",VLOOKUP(I10,[1]MATERIALES!$C$33:$D$39,2,FALSE),IF(H10="EMT",VLOOKUP(I10,[1]MATERIALES!$C$61:$D$67,2,FALSE),IF(H10="IMC",VLOOKUP(I10,[1]MATERIALES!$C$103:$D$109,2,FALSE),"-")))</f>
        <v>Curva 90 PVC SDR 3/4"</v>
      </c>
      <c r="H10" s="366" t="str">
        <f>H7</f>
        <v>PVC</v>
      </c>
      <c r="I10" s="366" t="str">
        <f>I7</f>
        <v>19mm</v>
      </c>
      <c r="J10" s="316"/>
      <c r="K10" s="345" t="str">
        <f t="shared" si="4"/>
        <v>Unid.</v>
      </c>
      <c r="L10" s="28">
        <f>IF(H10="LFNC",0,(1+L21))</f>
        <v>5</v>
      </c>
      <c r="M10" s="140" t="str">
        <f>IF(H10="LFNC",0,VLOOKUP(G10,[1]MATERIALES!$D$5:$I$1368,2,FALSE))</f>
        <v xml:space="preserve">Suplidores electricos </v>
      </c>
      <c r="N10" s="367" t="e">
        <f t="shared" si="0"/>
        <v>#VALUE!</v>
      </c>
      <c r="O10" s="140" t="e">
        <f t="shared" si="5"/>
        <v>#VALUE!</v>
      </c>
      <c r="P10" s="367" t="e">
        <f t="shared" si="6"/>
        <v>#VALUE!</v>
      </c>
      <c r="Q10" s="140" t="e">
        <f t="shared" si="1"/>
        <v>#VALUE!</v>
      </c>
      <c r="R10" s="368" t="e">
        <f t="shared" si="2"/>
        <v>#VALUE!</v>
      </c>
      <c r="S10" s="140">
        <f t="shared" si="7"/>
        <v>0</v>
      </c>
      <c r="T10" s="139">
        <f t="shared" si="8"/>
        <v>0</v>
      </c>
      <c r="U10" s="145"/>
      <c r="V10" s="145"/>
      <c r="W10" s="141"/>
    </row>
    <row r="11" spans="1:23" ht="15" hidden="1" customHeight="1" outlineLevel="1">
      <c r="A11" s="353"/>
      <c r="B11" s="344">
        <f t="shared" si="9"/>
        <v>1.05</v>
      </c>
      <c r="C11" s="360" t="s">
        <v>781</v>
      </c>
      <c r="D11" s="360" t="s">
        <v>782</v>
      </c>
      <c r="E11" s="360">
        <v>2</v>
      </c>
      <c r="F11" s="347" t="str">
        <f t="shared" si="3"/>
        <v>120V 1Ø</v>
      </c>
      <c r="G11" s="361" t="str">
        <f>VLOOKUP(I11,[1]MATERIALES!$C$68:$D$74,2,FALSE)</f>
        <v>Abrazadera EMT 3/4'' </v>
      </c>
      <c r="H11" s="316"/>
      <c r="I11" s="366" t="str">
        <f>I7</f>
        <v>19mm</v>
      </c>
      <c r="J11" s="316"/>
      <c r="K11" s="345" t="str">
        <f t="shared" si="4"/>
        <v>Unid.</v>
      </c>
      <c r="L11" s="28">
        <f>ROUNDUP(J7,0)</f>
        <v>10</v>
      </c>
      <c r="M11" s="248" t="str">
        <f>IFERROR(VLOOKUP(G11,[1]MATERIALES!$D$5:$I$1368,2,FALSE),0)</f>
        <v xml:space="preserve">Suplidores electricos </v>
      </c>
      <c r="N11" s="367" t="e">
        <f t="shared" si="0"/>
        <v>#VALUE!</v>
      </c>
      <c r="O11" s="140" t="e">
        <f t="shared" si="5"/>
        <v>#VALUE!</v>
      </c>
      <c r="P11" s="367" t="e">
        <f t="shared" si="6"/>
        <v>#VALUE!</v>
      </c>
      <c r="Q11" s="140" t="e">
        <f t="shared" si="1"/>
        <v>#VALUE!</v>
      </c>
      <c r="R11" s="368" t="e">
        <f t="shared" si="2"/>
        <v>#VALUE!</v>
      </c>
      <c r="S11" s="140">
        <f t="shared" si="7"/>
        <v>0</v>
      </c>
      <c r="T11" s="139">
        <f t="shared" si="8"/>
        <v>0</v>
      </c>
      <c r="U11" s="145"/>
      <c r="V11" s="145"/>
      <c r="W11" s="141"/>
    </row>
    <row r="12" spans="1:23" ht="15" hidden="1" customHeight="1" outlineLevel="1">
      <c r="A12" s="353"/>
      <c r="B12" s="344">
        <f t="shared" si="9"/>
        <v>1.06</v>
      </c>
      <c r="C12" s="360" t="s">
        <v>781</v>
      </c>
      <c r="D12" s="360" t="s">
        <v>782</v>
      </c>
      <c r="E12" s="360">
        <v>2</v>
      </c>
      <c r="F12" s="347" t="str">
        <f t="shared" si="3"/>
        <v>120V 1Ø</v>
      </c>
      <c r="G12" s="361" t="str" cm="1">
        <f t="array" ref="G12">_xlfn.SWITCH(I12,"13mm",(IF(H12="Rectangular",VLOOKUP(I12,[1]MATERIALES!$C$124:$D$125,2,FALSE),IF(H12="Octagonal",VLOOKUP(I12,[1]MATERIALES!$C$126:$D$127,2,FALSE),IF(H12="WP",VLOOKUP(I12,[1]MATERIALES!$C$128:$D$129,2,FALSE),IF(H12="5x5",VLOOKUP(I12,[1]MATERIALES!$C$130:$D$132,2,FALSE)))))),"19mm",(IF(H12="Rectangular",VLOOKUP(I12,[1]MATERIALES!$C$124:$D$125,2,FALSE),IF(H12="Octagonal",VLOOKUP(I12,[1]MATERIALES!$C$126:$D$127,2,FALSE),IF(H12="WP",VLOOKUP(I12,[1]MATERIALES!$C$128:$D$129,2,FALSE),IF(H12="5x5",VLOOKUP(I12,[1]MATERIALES!$C$130:$D$132,2,FALSE)))))),"25mm",IF(H12="Rectangular","-",IF(H12="Octagonal","--",IF(H12="WP","---",IF(H12="5x5",VLOOKUP(I12,[1]MATERIALES!$C$130:$D$132,2,FALSE),0)))),"38mm","-","50mm","-","75mm","-","100mm","-")</f>
        <v>Caja octagonal EMT 3/4" USA UL</v>
      </c>
      <c r="H12" s="369" t="s">
        <v>194</v>
      </c>
      <c r="I12" s="366" t="str">
        <f>I7</f>
        <v>19mm</v>
      </c>
      <c r="J12" s="316"/>
      <c r="K12" s="345" t="str">
        <f t="shared" si="4"/>
        <v>Unid.</v>
      </c>
      <c r="L12" s="28">
        <f>1+L21</f>
        <v>5</v>
      </c>
      <c r="M12" s="248" t="str">
        <f>IFERROR(VLOOKUP(G12,[1]MATERIALES!$D$5:$I$1368,2,FALSE),0)</f>
        <v xml:space="preserve">Suplidores electricos </v>
      </c>
      <c r="N12" s="367" t="e">
        <f t="shared" si="0"/>
        <v>#VALUE!</v>
      </c>
      <c r="O12" s="140" t="e">
        <f t="shared" si="5"/>
        <v>#VALUE!</v>
      </c>
      <c r="P12" s="367" t="e">
        <f t="shared" si="6"/>
        <v>#VALUE!</v>
      </c>
      <c r="Q12" s="140" t="e">
        <f t="shared" si="1"/>
        <v>#VALUE!</v>
      </c>
      <c r="R12" s="368" t="e">
        <f t="shared" si="2"/>
        <v>#VALUE!</v>
      </c>
      <c r="S12" s="140">
        <f t="shared" si="7"/>
        <v>0</v>
      </c>
      <c r="T12" s="139">
        <f t="shared" si="8"/>
        <v>0</v>
      </c>
      <c r="U12" s="145"/>
      <c r="V12" s="145"/>
      <c r="W12" s="141"/>
    </row>
    <row r="13" spans="1:23" ht="15" hidden="1" customHeight="1" outlineLevel="1">
      <c r="A13" s="353"/>
      <c r="B13" s="344">
        <f t="shared" si="9"/>
        <v>1.07</v>
      </c>
      <c r="C13" s="360" t="s">
        <v>781</v>
      </c>
      <c r="D13" s="360" t="s">
        <v>782</v>
      </c>
      <c r="E13" s="360">
        <v>2</v>
      </c>
      <c r="F13" s="347" t="str">
        <f t="shared" si="3"/>
        <v>120V 1Ø</v>
      </c>
      <c r="G13" s="370" t="str">
        <f>IF(H13="Rectangular",[1]MATERIALES!$D$133,IF(H12="Octagonal",[1]MATERIALES!$D$134,IF(H12="WP",[1]MATERIALES!$D$135,IF(H12="5x5",[1]MATERIALES!$D$136,0))))</f>
        <v>Tapa caja EMT 2x4 Inoxidable.</v>
      </c>
      <c r="H13" s="369" t="str">
        <f>H12</f>
        <v>Octagonal</v>
      </c>
      <c r="I13" s="366" t="str">
        <f>I7</f>
        <v>19mm</v>
      </c>
      <c r="J13" s="316"/>
      <c r="K13" s="345" t="str">
        <f t="shared" si="4"/>
        <v>Unid.</v>
      </c>
      <c r="L13" s="28">
        <f>L12</f>
        <v>5</v>
      </c>
      <c r="M13" s="248" t="str">
        <f>IFERROR(VLOOKUP(G13,[1]MATERIALES!$D$5:$I$1368,2,FALSE),0)</f>
        <v xml:space="preserve">Suplidores electricos </v>
      </c>
      <c r="N13" s="367" t="e">
        <f t="shared" si="0"/>
        <v>#VALUE!</v>
      </c>
      <c r="O13" s="140" t="e">
        <f t="shared" si="5"/>
        <v>#VALUE!</v>
      </c>
      <c r="P13" s="367" t="e">
        <f t="shared" si="6"/>
        <v>#VALUE!</v>
      </c>
      <c r="Q13" s="140" t="e">
        <f t="shared" si="1"/>
        <v>#VALUE!</v>
      </c>
      <c r="R13" s="368" t="e">
        <f t="shared" si="2"/>
        <v>#VALUE!</v>
      </c>
      <c r="S13" s="140">
        <f t="shared" si="7"/>
        <v>0</v>
      </c>
      <c r="T13" s="139">
        <f t="shared" si="8"/>
        <v>0</v>
      </c>
      <c r="U13" s="145"/>
      <c r="V13" s="145"/>
      <c r="W13" s="141"/>
    </row>
    <row r="14" spans="1:23" ht="15" hidden="1" customHeight="1" outlineLevel="1">
      <c r="A14" s="353"/>
      <c r="B14" s="344">
        <f t="shared" si="9"/>
        <v>1.08</v>
      </c>
      <c r="C14" s="360" t="s">
        <v>781</v>
      </c>
      <c r="D14" s="360" t="s">
        <v>782</v>
      </c>
      <c r="E14" s="360">
        <v>2</v>
      </c>
      <c r="F14" s="347" t="str">
        <f t="shared" si="3"/>
        <v>120V 1Ø</v>
      </c>
      <c r="G14" s="361" t="str" cm="1">
        <f t="array" ref="G14">_xlfn.SWITCH(I14,"13mm",(IF(H14="Rectangular",VLOOKUP(I14,[1]MATERIALES!$C$124:$D$125,2,FALSE),IF(H14="Octagonal",VLOOKUP(I14,[1]MATERIALES!$C$126:$D$127,2,FALSE),IF(H14="WP",VLOOKUP(I14,[1]MATERIALES!$C$128:$D$129,2,FALSE),IF(H14="5x5",VLOOKUP(I14,[1]MATERIALES!$C$130:$D$132,2,FALSE)))))),"19mm",(IF(H14="Rectangular",VLOOKUP(I14,[1]MATERIALES!$C$124:$D$125,2,FALSE),IF(H14="Octagonal",VLOOKUP(I14,[1]MATERIALES!$C$126:$D$127,2,FALSE),IF(H14="WP",VLOOKUP(I14,[1]MATERIALES!$C$128:$D$129,2,FALSE),IF(H14="5x5",VLOOKUP(I14,[1]MATERIALES!$C$130:$D$132,2,FALSE)))))),"25mm",IF(H14="Rectangular","-",IF(H14="Octagonal","--",IF(H14="WP","---",IF(H14="5x5",VLOOKUP(I14,[1]MATERIALES!$C$130:$D$132,2,FALSE),0)))),"38mm","-","50mm","-","75mm","-","100mm","-")</f>
        <v>Caja EMT 2x4 3/4" USA UL</v>
      </c>
      <c r="H14" s="369" t="s">
        <v>188</v>
      </c>
      <c r="I14" s="366" t="str">
        <f>I9</f>
        <v>19mm</v>
      </c>
      <c r="J14" s="316"/>
      <c r="K14" s="345" t="str">
        <f t="shared" si="4"/>
        <v>Unid.</v>
      </c>
      <c r="L14" s="28">
        <f>L21</f>
        <v>4</v>
      </c>
      <c r="M14" s="248" t="str">
        <f>IFERROR(VLOOKUP(G14,[1]MATERIALES!$D$5:$I$1368,2,FALSE),0)</f>
        <v xml:space="preserve">Suplidores electricos </v>
      </c>
      <c r="N14" s="367" t="e">
        <f t="shared" si="0"/>
        <v>#VALUE!</v>
      </c>
      <c r="O14" s="140" t="e">
        <f t="shared" si="5"/>
        <v>#VALUE!</v>
      </c>
      <c r="P14" s="367" t="e">
        <f t="shared" si="6"/>
        <v>#VALUE!</v>
      </c>
      <c r="Q14" s="140" t="e">
        <f t="shared" si="1"/>
        <v>#VALUE!</v>
      </c>
      <c r="R14" s="368" t="e">
        <f t="shared" si="2"/>
        <v>#VALUE!</v>
      </c>
      <c r="S14" s="140">
        <f t="shared" si="7"/>
        <v>0</v>
      </c>
      <c r="T14" s="139">
        <f t="shared" si="8"/>
        <v>0</v>
      </c>
      <c r="U14" s="145"/>
      <c r="V14" s="145"/>
      <c r="W14" s="141"/>
    </row>
    <row r="15" spans="1:23" ht="15" hidden="1" customHeight="1" outlineLevel="1">
      <c r="A15" s="353"/>
      <c r="B15" s="344">
        <f t="shared" si="9"/>
        <v>1.0900000000000001</v>
      </c>
      <c r="C15" s="360" t="s">
        <v>781</v>
      </c>
      <c r="D15" s="360" t="s">
        <v>782</v>
      </c>
      <c r="E15" s="360">
        <v>2</v>
      </c>
      <c r="F15" s="347" t="str">
        <f t="shared" si="3"/>
        <v>120V 1Ø</v>
      </c>
      <c r="G15" s="370" t="str">
        <f>IF(H15="Rectangular",[1]MATERIALES!$D$133,IF(H14="Octagonal",[1]MATERIALES!$D$134,IF(H14="WP",[1]MATERIALES!$D$135,IF(H14="5x5",[1]MATERIALES!$D$136,0))))</f>
        <v>CAJA REG. 12X12X4 N3R</v>
      </c>
      <c r="H15" s="369" t="str">
        <f>H14</f>
        <v>Rectangular</v>
      </c>
      <c r="I15" s="366" t="str">
        <f>I9</f>
        <v>19mm</v>
      </c>
      <c r="J15" s="316"/>
      <c r="K15" s="345" t="str">
        <f t="shared" si="4"/>
        <v>Unid.</v>
      </c>
      <c r="L15" s="28">
        <f>L14</f>
        <v>4</v>
      </c>
      <c r="M15" s="248" t="str">
        <f>IFERROR(VLOOKUP(G15,[1]MATERIALES!$D$5:$I$1368,2,FALSE),0)</f>
        <v xml:space="preserve">Suplidores electricos </v>
      </c>
      <c r="N15" s="367" t="e">
        <f t="shared" si="0"/>
        <v>#VALUE!</v>
      </c>
      <c r="O15" s="140" t="e">
        <f t="shared" si="5"/>
        <v>#VALUE!</v>
      </c>
      <c r="P15" s="367" t="e">
        <f t="shared" si="6"/>
        <v>#VALUE!</v>
      </c>
      <c r="Q15" s="140" t="e">
        <f t="shared" si="1"/>
        <v>#VALUE!</v>
      </c>
      <c r="R15" s="368" t="e">
        <f t="shared" si="2"/>
        <v>#VALUE!</v>
      </c>
      <c r="S15" s="140">
        <f t="shared" si="7"/>
        <v>0</v>
      </c>
      <c r="T15" s="139">
        <f t="shared" si="8"/>
        <v>0</v>
      </c>
      <c r="U15" s="145"/>
      <c r="V15" s="145"/>
      <c r="W15" s="141"/>
    </row>
    <row r="16" spans="1:23" ht="15" hidden="1" customHeight="1" outlineLevel="1">
      <c r="A16" s="353"/>
      <c r="B16" s="344">
        <f t="shared" si="9"/>
        <v>1.1000000000000001</v>
      </c>
      <c r="C16" s="360" t="s">
        <v>781</v>
      </c>
      <c r="D16" s="360" t="s">
        <v>782</v>
      </c>
      <c r="E16" s="360">
        <v>2</v>
      </c>
      <c r="F16" s="347" t="str">
        <f t="shared" si="3"/>
        <v>120V 1Ø</v>
      </c>
      <c r="G16" s="371" t="str">
        <f>"Fase A"&amp;": "&amp;I16</f>
        <v>Fase A: Conductor 10 AWG THHN</v>
      </c>
      <c r="H16" s="366" t="s">
        <v>181</v>
      </c>
      <c r="I16" s="366" t="s">
        <v>153</v>
      </c>
      <c r="J16" s="366">
        <f>J7</f>
        <v>9.64</v>
      </c>
      <c r="K16" s="345" t="str">
        <f>IF(OR(H16="Conductores Americanos",H16="Conductores Europeos"),"Pies","Unid.")</f>
        <v>Pies</v>
      </c>
      <c r="L16" s="28">
        <f>ROUNDUP(J16*3.28,0)</f>
        <v>32</v>
      </c>
      <c r="M16" s="140" t="str">
        <f>VLOOKUP(I16,[1]MATERIALES!$D$5:$I$1368,2,FALSE)</f>
        <v xml:space="preserve">Suplidores electricos </v>
      </c>
      <c r="N16" s="367" t="e">
        <f t="shared" si="0"/>
        <v>#VALUE!</v>
      </c>
      <c r="O16" s="140" t="e">
        <f t="shared" si="5"/>
        <v>#VALUE!</v>
      </c>
      <c r="P16" s="367" t="e">
        <f t="shared" si="6"/>
        <v>#VALUE!</v>
      </c>
      <c r="Q16" s="140" t="e">
        <f t="shared" si="1"/>
        <v>#VALUE!</v>
      </c>
      <c r="R16" s="368" t="e">
        <f t="shared" si="2"/>
        <v>#VALUE!</v>
      </c>
      <c r="S16" s="140">
        <f t="shared" si="7"/>
        <v>0</v>
      </c>
      <c r="T16" s="139">
        <f t="shared" si="8"/>
        <v>0</v>
      </c>
      <c r="U16" s="145"/>
      <c r="V16" s="145"/>
      <c r="W16" s="141"/>
    </row>
    <row r="17" spans="1:23" ht="15" hidden="1" customHeight="1" outlineLevel="1">
      <c r="A17" s="353"/>
      <c r="B17" s="344">
        <f t="shared" si="9"/>
        <v>1.1100000000000001</v>
      </c>
      <c r="C17" s="360" t="s">
        <v>781</v>
      </c>
      <c r="D17" s="360" t="s">
        <v>782</v>
      </c>
      <c r="E17" s="360">
        <v>2</v>
      </c>
      <c r="F17" s="347" t="str">
        <f t="shared" si="3"/>
        <v>120V 1Ø</v>
      </c>
      <c r="G17" s="371" t="str">
        <f>IF(F17="120V 1Ø","-",("Fase B"&amp;": "&amp;I17))</f>
        <v>-</v>
      </c>
      <c r="H17" s="366" t="str">
        <f>H16</f>
        <v>Conductores Americanos</v>
      </c>
      <c r="I17" s="366" t="str">
        <f>I16</f>
        <v>Conductor 10 AWG THHN</v>
      </c>
      <c r="J17" s="366">
        <f>IF(G17="-",0,J7)</f>
        <v>0</v>
      </c>
      <c r="K17" s="345" t="str">
        <f t="shared" ref="K17:K22" si="10">IF(OR(H17="Conductores Americanos",H17="Conductores Europeos"),"Pies","Unid.")</f>
        <v>Pies</v>
      </c>
      <c r="L17" s="28">
        <f>ROUNDUP(J17*3.28,0)</f>
        <v>0</v>
      </c>
      <c r="M17" s="140" t="str">
        <f>VLOOKUP(I17,[1]MATERIALES!$D$5:$I$1368,2,FALSE)</f>
        <v xml:space="preserve">Suplidores electricos </v>
      </c>
      <c r="N17" s="367" t="e">
        <f t="shared" si="0"/>
        <v>#VALUE!</v>
      </c>
      <c r="O17" s="140" t="e">
        <f t="shared" si="5"/>
        <v>#VALUE!</v>
      </c>
      <c r="P17" s="367" t="e">
        <f t="shared" si="6"/>
        <v>#VALUE!</v>
      </c>
      <c r="Q17" s="140" t="e">
        <f t="shared" si="1"/>
        <v>#VALUE!</v>
      </c>
      <c r="R17" s="368" t="e">
        <f t="shared" si="2"/>
        <v>#VALUE!</v>
      </c>
      <c r="S17" s="140">
        <f t="shared" si="7"/>
        <v>0</v>
      </c>
      <c r="T17" s="139">
        <f t="shared" si="8"/>
        <v>0</v>
      </c>
      <c r="U17" s="145"/>
      <c r="V17" s="145"/>
      <c r="W17" s="141"/>
    </row>
    <row r="18" spans="1:23" ht="15" hidden="1" customHeight="1" outlineLevel="1">
      <c r="A18" s="353"/>
      <c r="B18" s="344">
        <f t="shared" si="9"/>
        <v>1.1200000000000001</v>
      </c>
      <c r="C18" s="360" t="s">
        <v>781</v>
      </c>
      <c r="D18" s="360" t="s">
        <v>782</v>
      </c>
      <c r="E18" s="360">
        <v>2</v>
      </c>
      <c r="F18" s="347" t="str">
        <f t="shared" si="3"/>
        <v>120V 1Ø</v>
      </c>
      <c r="G18" s="371" t="str">
        <f>IF(F18="120V 1Ø","-",IF(F18="240V 1Ø","-",("Fase C"&amp;": "&amp;I16)))</f>
        <v>-</v>
      </c>
      <c r="H18" s="366" t="str">
        <f>H17</f>
        <v>Conductores Americanos</v>
      </c>
      <c r="I18" s="366" t="str">
        <f>I17</f>
        <v>Conductor 10 AWG THHN</v>
      </c>
      <c r="J18" s="366">
        <f>IF(G18="-",0,J7)</f>
        <v>0</v>
      </c>
      <c r="K18" s="345" t="str">
        <f t="shared" si="10"/>
        <v>Pies</v>
      </c>
      <c r="L18" s="28">
        <f>ROUNDUP(J18*3.28,0)</f>
        <v>0</v>
      </c>
      <c r="M18" s="140" t="str">
        <f>VLOOKUP(I18,[1]MATERIALES!$D$5:$I$1368,2,FALSE)</f>
        <v xml:space="preserve">Suplidores electricos </v>
      </c>
      <c r="N18" s="367" t="e">
        <f t="shared" si="0"/>
        <v>#VALUE!</v>
      </c>
      <c r="O18" s="140" t="e">
        <f t="shared" si="5"/>
        <v>#VALUE!</v>
      </c>
      <c r="P18" s="367" t="e">
        <f t="shared" si="6"/>
        <v>#VALUE!</v>
      </c>
      <c r="Q18" s="140" t="e">
        <f t="shared" si="1"/>
        <v>#VALUE!</v>
      </c>
      <c r="R18" s="368" t="e">
        <f t="shared" si="2"/>
        <v>#VALUE!</v>
      </c>
      <c r="S18" s="140">
        <f t="shared" si="7"/>
        <v>0</v>
      </c>
      <c r="T18" s="139">
        <f t="shared" si="8"/>
        <v>0</v>
      </c>
      <c r="U18" s="145"/>
      <c r="V18" s="145"/>
      <c r="W18" s="141"/>
    </row>
    <row r="19" spans="1:23" ht="15" hidden="1" customHeight="1" outlineLevel="1">
      <c r="A19" s="353"/>
      <c r="B19" s="344">
        <f t="shared" si="9"/>
        <v>1.1300000000000001</v>
      </c>
      <c r="C19" s="360" t="s">
        <v>781</v>
      </c>
      <c r="D19" s="360" t="s">
        <v>782</v>
      </c>
      <c r="E19" s="360">
        <v>2</v>
      </c>
      <c r="F19" s="347" t="str">
        <f t="shared" si="3"/>
        <v>120V 1Ø</v>
      </c>
      <c r="G19" s="372" t="str">
        <f>IF(F19="240V 1Ø","-",IF(F19="480V 3Ø","-",("Neutro"&amp;": "&amp;I16)))</f>
        <v>Neutro: Conductor 10 AWG THHN</v>
      </c>
      <c r="H19" s="366" t="str">
        <f>H18</f>
        <v>Conductores Americanos</v>
      </c>
      <c r="I19" s="366" t="s">
        <v>153</v>
      </c>
      <c r="J19" s="366">
        <f>IF(G19="-",0,J7)</f>
        <v>9.64</v>
      </c>
      <c r="K19" s="345" t="str">
        <f t="shared" si="10"/>
        <v>Pies</v>
      </c>
      <c r="L19" s="28">
        <f>ROUNDUP(J19*3.28,0)</f>
        <v>32</v>
      </c>
      <c r="M19" s="140" t="str">
        <f>VLOOKUP(I19,[1]MATERIALES!$D$5:$I$1368,2,FALSE)</f>
        <v xml:space="preserve">Suplidores electricos </v>
      </c>
      <c r="N19" s="367" t="e">
        <f t="shared" si="0"/>
        <v>#VALUE!</v>
      </c>
      <c r="O19" s="140" t="e">
        <f t="shared" si="5"/>
        <v>#VALUE!</v>
      </c>
      <c r="P19" s="367" t="e">
        <f t="shared" si="6"/>
        <v>#VALUE!</v>
      </c>
      <c r="Q19" s="140" t="e">
        <f t="shared" si="1"/>
        <v>#VALUE!</v>
      </c>
      <c r="R19" s="368" t="e">
        <f t="shared" si="2"/>
        <v>#VALUE!</v>
      </c>
      <c r="S19" s="140">
        <f t="shared" si="7"/>
        <v>0</v>
      </c>
      <c r="T19" s="139">
        <f t="shared" si="8"/>
        <v>0</v>
      </c>
      <c r="U19" s="145"/>
      <c r="V19" s="145"/>
      <c r="W19" s="141"/>
    </row>
    <row r="20" spans="1:23" ht="15" hidden="1" customHeight="1" outlineLevel="1">
      <c r="A20" s="353"/>
      <c r="B20" s="344">
        <f t="shared" si="9"/>
        <v>1.1400000000000001</v>
      </c>
      <c r="C20" s="360" t="s">
        <v>781</v>
      </c>
      <c r="D20" s="360" t="s">
        <v>782</v>
      </c>
      <c r="E20" s="360">
        <v>2</v>
      </c>
      <c r="F20" s="347" t="str">
        <f t="shared" si="3"/>
        <v>120V 1Ø</v>
      </c>
      <c r="G20" s="372" t="str">
        <f>"Tierra"&amp;": "&amp;I20</f>
        <v>Tierra: Conductor 10 AWG THHN</v>
      </c>
      <c r="H20" s="366" t="str">
        <f>H19</f>
        <v>Conductores Americanos</v>
      </c>
      <c r="I20" s="366" t="s">
        <v>153</v>
      </c>
      <c r="J20" s="366">
        <f>J7</f>
        <v>9.64</v>
      </c>
      <c r="K20" s="345" t="str">
        <f t="shared" si="10"/>
        <v>Pies</v>
      </c>
      <c r="L20" s="28">
        <f>ROUNDUP(J20*3.28,0)</f>
        <v>32</v>
      </c>
      <c r="M20" s="140" t="str">
        <f>VLOOKUP(I20,[1]MATERIALES!$D$5:$I$1368,2,FALSE)</f>
        <v xml:space="preserve">Suplidores electricos </v>
      </c>
      <c r="N20" s="367" t="e">
        <f t="shared" si="0"/>
        <v>#VALUE!</v>
      </c>
      <c r="O20" s="140" t="e">
        <f t="shared" si="5"/>
        <v>#VALUE!</v>
      </c>
      <c r="P20" s="367" t="e">
        <f t="shared" si="6"/>
        <v>#VALUE!</v>
      </c>
      <c r="Q20" s="140" t="e">
        <f t="shared" si="1"/>
        <v>#VALUE!</v>
      </c>
      <c r="R20" s="368" t="e">
        <f t="shared" si="2"/>
        <v>#VALUE!</v>
      </c>
      <c r="S20" s="140">
        <f t="shared" si="7"/>
        <v>0</v>
      </c>
      <c r="T20" s="139">
        <f t="shared" si="8"/>
        <v>0</v>
      </c>
      <c r="U20" s="145"/>
      <c r="V20" s="145"/>
      <c r="W20" s="141"/>
    </row>
    <row r="21" spans="1:23" ht="15" hidden="1" customHeight="1" outlineLevel="1">
      <c r="A21" s="353"/>
      <c r="B21" s="344">
        <f t="shared" si="9"/>
        <v>1.1500000000000001</v>
      </c>
      <c r="C21" s="360" t="s">
        <v>781</v>
      </c>
      <c r="D21" s="360" t="s">
        <v>782</v>
      </c>
      <c r="E21" s="360">
        <v>2</v>
      </c>
      <c r="F21" s="347" t="str">
        <f t="shared" si="3"/>
        <v>120V 1Ø</v>
      </c>
      <c r="G21" s="361" t="str" cm="1">
        <f t="array" ref="G21">IFERROR(VLOOKUP(H21&amp;"|"&amp;I21,CHOOSE({1,2},[1]MATERIALES!$B$168:$B$175&amp;"|"&amp;[1]MATERIALES!$C$168:$C$175,[1]MATERIALES!$D$168:$D$175),2,0),"-")</f>
        <v>Tomacorriente 15A Matix (AM5115D + 503SB/SA)</v>
      </c>
      <c r="H21" s="373" t="s">
        <v>382</v>
      </c>
      <c r="I21" s="373" t="s">
        <v>380</v>
      </c>
      <c r="J21" s="316"/>
      <c r="K21" s="345" t="str">
        <f t="shared" si="10"/>
        <v>Unid.</v>
      </c>
      <c r="L21" s="218">
        <v>4</v>
      </c>
      <c r="M21" s="248">
        <f>IFERROR(VLOOKUP(G21,[1]MATERIALES!$D$5:$I$1368,2,FALSE),0)</f>
        <v>0</v>
      </c>
      <c r="N21" s="367">
        <f t="shared" si="0"/>
        <v>0</v>
      </c>
      <c r="O21" s="140">
        <f t="shared" si="5"/>
        <v>0</v>
      </c>
      <c r="P21" s="367">
        <f t="shared" si="6"/>
        <v>0</v>
      </c>
      <c r="Q21" s="140">
        <f t="shared" si="1"/>
        <v>0</v>
      </c>
      <c r="R21" s="368">
        <f t="shared" si="2"/>
        <v>0</v>
      </c>
      <c r="S21" s="140">
        <f t="shared" si="7"/>
        <v>0</v>
      </c>
      <c r="T21" s="139">
        <f t="shared" si="8"/>
        <v>0</v>
      </c>
      <c r="U21" s="145"/>
      <c r="V21" s="145"/>
      <c r="W21" s="141"/>
    </row>
    <row r="22" spans="1:23" ht="15" hidden="1" customHeight="1" outlineLevel="1">
      <c r="A22" s="353"/>
      <c r="B22" s="344">
        <f t="shared" si="9"/>
        <v>1.1600000000000001</v>
      </c>
      <c r="C22" s="360" t="s">
        <v>781</v>
      </c>
      <c r="D22" s="360" t="s">
        <v>782</v>
      </c>
      <c r="E22" s="360">
        <v>2</v>
      </c>
      <c r="F22" s="347" t="str">
        <f t="shared" si="3"/>
        <v>120V 1Ø</v>
      </c>
      <c r="G22" s="361" t="str" cm="1">
        <f t="array" ref="G22">IFERROR(VLOOKUP(H22&amp;"|"&amp;I22,CHOOSE({1,2},[1]MATERIALES!$B$176:$B$185&amp;"|"&amp;[1]MATERIALES!$C$176:$C$185,[1]MATERIALES!$D$176:$D$185),2,0),"-")</f>
        <v>Tapa para tomacorriente MATIX (AM503/3N)</v>
      </c>
      <c r="H22" s="366" t="str">
        <f>H21</f>
        <v>MATIX</v>
      </c>
      <c r="I22" s="373" t="s">
        <v>392</v>
      </c>
      <c r="J22" s="316"/>
      <c r="K22" s="345" t="str">
        <f t="shared" si="10"/>
        <v>Unid.</v>
      </c>
      <c r="L22" s="345">
        <f>L21</f>
        <v>4</v>
      </c>
      <c r="M22" s="248">
        <f>IFERROR(VLOOKUP(G22,[1]MATERIALES!$D$5:$I$1368,2,FALSE),0)</f>
        <v>0</v>
      </c>
      <c r="N22" s="367">
        <f t="shared" si="0"/>
        <v>0</v>
      </c>
      <c r="O22" s="140">
        <f t="shared" si="5"/>
        <v>0</v>
      </c>
      <c r="P22" s="367">
        <f t="shared" si="6"/>
        <v>0</v>
      </c>
      <c r="Q22" s="140">
        <f t="shared" si="1"/>
        <v>0</v>
      </c>
      <c r="R22" s="368">
        <f t="shared" si="2"/>
        <v>0</v>
      </c>
      <c r="S22" s="140">
        <f t="shared" si="7"/>
        <v>0</v>
      </c>
      <c r="T22" s="139">
        <f t="shared" si="8"/>
        <v>0</v>
      </c>
      <c r="U22" s="145"/>
      <c r="V22" s="145"/>
      <c r="W22" s="141"/>
    </row>
    <row r="23" spans="1:23" ht="15" hidden="1" customHeight="1" outlineLevel="1">
      <c r="A23" s="353"/>
      <c r="B23" s="344">
        <f>B22+0.01</f>
        <v>1.1700000000000002</v>
      </c>
      <c r="C23" s="360" t="s">
        <v>781</v>
      </c>
      <c r="D23" s="360" t="s">
        <v>782</v>
      </c>
      <c r="E23" s="360">
        <v>2</v>
      </c>
      <c r="F23" s="347" t="str">
        <f>F22</f>
        <v>120V 1Ø</v>
      </c>
      <c r="G23" s="361" t="str" cm="1">
        <f t="array" ref="G23">IFERROR(VLOOKUP(H23&amp;"|"&amp;I23,CHOOSE({1,2},[1]MATERIALES!$B$168:$B$175&amp;"|"&amp;[1]MATERIALES!$C$168:$C$175,[1]MATERIALES!$D$168:$D$175),2,0),"-")</f>
        <v>Tomacorriente GFCI 20A Matix (AM5028GFR)</v>
      </c>
      <c r="H23" s="373" t="s">
        <v>382</v>
      </c>
      <c r="I23" s="373" t="s">
        <v>384</v>
      </c>
      <c r="J23" s="316"/>
      <c r="K23" s="345" t="str">
        <f>IF(OR(H23="Conductores Americanos",H23="Conductores Europeos"),"Pies","Unid.")</f>
        <v>Unid.</v>
      </c>
      <c r="L23" s="218">
        <v>1</v>
      </c>
      <c r="M23" s="248">
        <f>IFERROR(VLOOKUP(G23,[1]MATERIALES!$D$5:$I$1368,2,FALSE),0)</f>
        <v>0</v>
      </c>
      <c r="N23" s="367">
        <f>M23/$N$2</f>
        <v>0</v>
      </c>
      <c r="O23" s="140">
        <f>+L23*M23</f>
        <v>0</v>
      </c>
      <c r="P23" s="367">
        <f>L23*N23</f>
        <v>0</v>
      </c>
      <c r="Q23" s="140">
        <f t="shared" si="1"/>
        <v>0</v>
      </c>
      <c r="R23" s="368">
        <f t="shared" si="2"/>
        <v>0</v>
      </c>
      <c r="S23" s="140">
        <f>+IFERROR(Q23/L23,0)</f>
        <v>0</v>
      </c>
      <c r="T23" s="139">
        <f>+IFERROR(R23/L23,0)</f>
        <v>0</v>
      </c>
      <c r="U23" s="145"/>
      <c r="V23" s="145"/>
      <c r="W23" s="141"/>
    </row>
    <row r="24" spans="1:23" ht="15" hidden="1" customHeight="1" outlineLevel="1">
      <c r="A24" s="353"/>
      <c r="B24" s="344">
        <f t="shared" ref="B24:B27" si="11">B23+0.01</f>
        <v>1.1800000000000002</v>
      </c>
      <c r="C24" s="360" t="s">
        <v>781</v>
      </c>
      <c r="D24" s="360" t="s">
        <v>782</v>
      </c>
      <c r="E24" s="360">
        <v>2</v>
      </c>
      <c r="F24" s="347" t="str">
        <f t="shared" ref="F24" si="12">F23</f>
        <v>120V 1Ø</v>
      </c>
      <c r="G24" s="361" t="str" cm="1">
        <f t="array" ref="G24">IFERROR(VLOOKUP(H24&amp;"|"&amp;I24,CHOOSE({1,2},[1]MATERIALES!$B$176:$B$185&amp;"|"&amp;[1]MATERIALES!$C$176:$C$185,[1]MATERIALES!$D$176:$D$185),2,0),"-")</f>
        <v>-</v>
      </c>
      <c r="H24" s="366" t="str">
        <f>H23</f>
        <v>MATIX</v>
      </c>
      <c r="I24" s="373" t="s">
        <v>396</v>
      </c>
      <c r="J24" s="316"/>
      <c r="K24" s="345" t="str">
        <f>IF(OR(H24="Conductores Americanos",H24="Conductores Europeos"),"Pies","Unid.")</f>
        <v>Unid.</v>
      </c>
      <c r="L24" s="345">
        <f>L23</f>
        <v>1</v>
      </c>
      <c r="M24" s="248">
        <f>IFERROR(VLOOKUP(G24,[1]MATERIALES!$D$5:$I$1368,2,FALSE),0)</f>
        <v>0</v>
      </c>
      <c r="N24" s="367">
        <f>M24/$N$2</f>
        <v>0</v>
      </c>
      <c r="O24" s="140">
        <f>+L24*M24</f>
        <v>0</v>
      </c>
      <c r="P24" s="367">
        <f>L24*N24</f>
        <v>0</v>
      </c>
      <c r="Q24" s="140">
        <f t="shared" si="1"/>
        <v>0</v>
      </c>
      <c r="R24" s="368">
        <f t="shared" si="2"/>
        <v>0</v>
      </c>
      <c r="S24" s="140">
        <f>+IFERROR(Q24/L24,0)</f>
        <v>0</v>
      </c>
      <c r="T24" s="139">
        <f>+IFERROR(R24/L24,0)</f>
        <v>0</v>
      </c>
      <c r="U24" s="145"/>
      <c r="V24" s="145"/>
      <c r="W24" s="141"/>
    </row>
    <row r="25" spans="1:23" ht="15" hidden="1" customHeight="1" outlineLevel="1">
      <c r="A25" s="353"/>
      <c r="B25" s="344">
        <f t="shared" si="11"/>
        <v>1.1900000000000002</v>
      </c>
      <c r="C25" s="360" t="s">
        <v>781</v>
      </c>
      <c r="D25" s="360" t="s">
        <v>782</v>
      </c>
      <c r="E25" s="360">
        <v>2</v>
      </c>
      <c r="F25" s="347" t="str">
        <f>F22</f>
        <v>120V 1Ø</v>
      </c>
      <c r="G25" s="371" t="s">
        <v>422</v>
      </c>
      <c r="H25" s="316"/>
      <c r="I25" s="316"/>
      <c r="J25" s="316"/>
      <c r="K25" s="345" t="str">
        <f t="shared" ref="K25" si="13">IF(OR(H25="Conductores Americanos",H25="Conductores Europeos"),"Pies","Unid.")</f>
        <v>Unid.</v>
      </c>
      <c r="L25" s="345">
        <f>3*(L12)</f>
        <v>15</v>
      </c>
      <c r="M25" s="248">
        <f>IFERROR(VLOOKUP(G25,[1]MATERIALES!$D$5:$I$1368,2,FALSE),0)</f>
        <v>0</v>
      </c>
      <c r="N25" s="367">
        <f t="shared" ref="N25:N27" si="14">M25/$N$2</f>
        <v>0</v>
      </c>
      <c r="O25" s="140">
        <f t="shared" ref="O25:O27" si="15">+L25*M25</f>
        <v>0</v>
      </c>
      <c r="P25" s="367">
        <f t="shared" ref="P25:P27" si="16">L25*N25</f>
        <v>0</v>
      </c>
      <c r="Q25" s="140">
        <f t="shared" si="1"/>
        <v>0</v>
      </c>
      <c r="R25" s="368">
        <f t="shared" si="2"/>
        <v>0</v>
      </c>
      <c r="S25" s="140">
        <f t="shared" ref="S25:S27" si="17">+IFERROR(Q25/L25,0)</f>
        <v>0</v>
      </c>
      <c r="T25" s="139">
        <f t="shared" ref="T25:T27" si="18">+IFERROR(R25/L25,0)</f>
        <v>0</v>
      </c>
      <c r="U25" s="145" t="e">
        <f>SUM(R25:R27)</f>
        <v>#VALUE!</v>
      </c>
      <c r="V25" s="145" t="e">
        <f>'[1]1. OFERTA'!#REF!</f>
        <v>#REF!</v>
      </c>
      <c r="W25" s="141" t="e">
        <f>U25-V25</f>
        <v>#VALUE!</v>
      </c>
    </row>
    <row r="26" spans="1:23" ht="15" hidden="1" customHeight="1" outlineLevel="1">
      <c r="A26" s="353"/>
      <c r="B26" s="344">
        <f t="shared" si="11"/>
        <v>1.2000000000000002</v>
      </c>
      <c r="C26" s="360" t="s">
        <v>781</v>
      </c>
      <c r="D26" s="360" t="s">
        <v>782</v>
      </c>
      <c r="E26" s="360">
        <v>2</v>
      </c>
      <c r="F26" s="347" t="str">
        <f>F25</f>
        <v>120V 1Ø</v>
      </c>
      <c r="G26" s="374" t="s">
        <v>424</v>
      </c>
      <c r="H26" s="316"/>
      <c r="I26" s="316"/>
      <c r="J26" s="316"/>
      <c r="K26" s="345" t="s">
        <v>784</v>
      </c>
      <c r="L26" s="28">
        <f>ROUNDUP(L11+L12+L14,0)</f>
        <v>19</v>
      </c>
      <c r="M26" s="248">
        <f>IFERROR(VLOOKUP(G26,[1]MATERIALES!$D$5:$I$1368,2,FALSE),0)</f>
        <v>0</v>
      </c>
      <c r="N26" s="367">
        <f t="shared" si="14"/>
        <v>0</v>
      </c>
      <c r="O26" s="140">
        <f t="shared" si="15"/>
        <v>0</v>
      </c>
      <c r="P26" s="367">
        <f t="shared" si="16"/>
        <v>0</v>
      </c>
      <c r="Q26" s="140">
        <f t="shared" si="1"/>
        <v>0</v>
      </c>
      <c r="R26" s="368">
        <f t="shared" si="2"/>
        <v>0</v>
      </c>
      <c r="S26" s="140">
        <f t="shared" si="17"/>
        <v>0</v>
      </c>
      <c r="T26" s="139">
        <f t="shared" si="18"/>
        <v>0</v>
      </c>
      <c r="U26" s="145"/>
    </row>
    <row r="27" spans="1:23" ht="15" hidden="1" customHeight="1" outlineLevel="1" thickBot="1">
      <c r="A27" s="353"/>
      <c r="B27" s="344">
        <f t="shared" si="11"/>
        <v>1.2100000000000002</v>
      </c>
      <c r="C27" s="360" t="s">
        <v>781</v>
      </c>
      <c r="D27" s="360" t="s">
        <v>782</v>
      </c>
      <c r="E27" s="360">
        <v>2</v>
      </c>
      <c r="F27" s="347" t="str">
        <f>F26</f>
        <v>120V 1Ø</v>
      </c>
      <c r="G27" s="374" t="s">
        <v>168</v>
      </c>
      <c r="H27" s="316"/>
      <c r="I27" s="316"/>
      <c r="J27" s="316"/>
      <c r="K27" s="345" t="s">
        <v>784</v>
      </c>
      <c r="L27" s="28">
        <f>L26</f>
        <v>19</v>
      </c>
      <c r="M27" s="248" t="str">
        <f>IFERROR(VLOOKUP(G27,[1]MATERIALES!$D$5:$I$1368,2,FALSE),0)</f>
        <v xml:space="preserve">Marba Dominicana </v>
      </c>
      <c r="N27" s="367" t="e">
        <f t="shared" si="14"/>
        <v>#VALUE!</v>
      </c>
      <c r="O27" s="140" t="e">
        <f t="shared" si="15"/>
        <v>#VALUE!</v>
      </c>
      <c r="P27" s="367" t="e">
        <f t="shared" si="16"/>
        <v>#VALUE!</v>
      </c>
      <c r="Q27" s="140" t="e">
        <f t="shared" si="1"/>
        <v>#VALUE!</v>
      </c>
      <c r="R27" s="368" t="e">
        <f t="shared" si="2"/>
        <v>#VALUE!</v>
      </c>
      <c r="S27" s="140">
        <f t="shared" si="17"/>
        <v>0</v>
      </c>
      <c r="T27" s="139">
        <f t="shared" si="18"/>
        <v>0</v>
      </c>
      <c r="U27" s="145"/>
    </row>
    <row r="28" spans="1:23" ht="15" customHeight="1" collapsed="1" thickBot="1">
      <c r="A28" s="353"/>
      <c r="B28" s="354">
        <v>2</v>
      </c>
      <c r="C28" s="355" t="s">
        <v>785</v>
      </c>
      <c r="D28" s="269" t="s">
        <v>782</v>
      </c>
      <c r="E28" s="269">
        <v>4</v>
      </c>
      <c r="F28" s="270" t="s">
        <v>783</v>
      </c>
      <c r="G28" s="271"/>
      <c r="H28" s="272"/>
      <c r="I28" s="272"/>
      <c r="J28" s="272"/>
      <c r="K28" s="268"/>
      <c r="L28" s="268"/>
      <c r="M28" s="273"/>
      <c r="N28" s="274"/>
      <c r="O28" s="273"/>
      <c r="P28" s="274"/>
      <c r="Q28" s="273"/>
      <c r="R28" s="275"/>
      <c r="S28" s="273"/>
      <c r="T28" s="276"/>
      <c r="U28" s="357" t="e">
        <f>SUM(R29:R47)</f>
        <v>#VALUE!</v>
      </c>
      <c r="V28" s="358" t="e">
        <f>'[1]1. OFERTA'!#REF!</f>
        <v>#REF!</v>
      </c>
      <c r="W28" s="144" t="e">
        <f>U28-V28</f>
        <v>#VALUE!</v>
      </c>
    </row>
    <row r="29" spans="1:23" ht="15" hidden="1" customHeight="1" outlineLevel="1" thickBot="1">
      <c r="A29" s="353"/>
      <c r="B29" s="359">
        <f>B28+0.01</f>
        <v>2.0099999999999998</v>
      </c>
      <c r="C29" s="360" t="s">
        <v>785</v>
      </c>
      <c r="D29" s="360" t="s">
        <v>782</v>
      </c>
      <c r="E29" s="360">
        <v>4</v>
      </c>
      <c r="F29" s="347" t="s">
        <v>783</v>
      </c>
      <c r="G29" s="361" t="str">
        <f>IF(H29="PVC",VLOOKUP(I29,[1]MATERIALES!$C$5:$D$11,2,FALSE),IF(H29="EMT",VLOOKUP(I29,[1]MATERIALES!$C$40:$D$46,2,FALSE),IF(H29="IMC",VLOOKUP(I29,[1]MATERIALES!$C$82:$D$88,2,FALSE),IF(H29="LFNC",VLOOKUP(I29,[1]MATERIALES!$C$110:$D$116,2,FALSE),0))))</f>
        <v>Tubería PVC SDR-26 1/2"</v>
      </c>
      <c r="H29" s="362" t="s">
        <v>184</v>
      </c>
      <c r="I29" s="362" t="s">
        <v>216</v>
      </c>
      <c r="J29" s="362">
        <v>5.73</v>
      </c>
      <c r="K29" s="134" t="str">
        <f t="shared" ref="K29:K45" si="19">IF(OR(H29="Conductores Americanos",H29="Conductores Europeos"),"Pies","Unid.")</f>
        <v>Unid.</v>
      </c>
      <c r="L29" s="363">
        <f>IF(H29="PVC",ROUNDUP(J29/6,0),IF(H29="EMT",ROUNDUP(J29/3,0),IF(H29="IMC",ROUNDUP(J29/3,0),IF(H29="LFNC",ROUNDUP(3.28*J29,0),0))))</f>
        <v>1</v>
      </c>
      <c r="M29" s="248" t="str">
        <f>IFERROR(VLOOKUP(G29,[1]MATERIALES!$D$5:$I$1368,2,FALSE),0)</f>
        <v xml:space="preserve">Suplidores electricos </v>
      </c>
      <c r="N29" s="364" t="e">
        <f t="shared" ref="N29:N47" si="20">M29/$N$2</f>
        <v>#VALUE!</v>
      </c>
      <c r="O29" s="248" t="e">
        <f t="shared" ref="O29:O47" si="21">+L29*M29</f>
        <v>#VALUE!</v>
      </c>
      <c r="P29" s="364" t="e">
        <f t="shared" ref="P29:P47" si="22">L29*N29</f>
        <v>#VALUE!</v>
      </c>
      <c r="Q29" s="248" t="e">
        <f t="shared" ref="Q29:Q47" si="23">+$O29+($O29*$R$2)</f>
        <v>#VALUE!</v>
      </c>
      <c r="R29" s="365" t="e">
        <f t="shared" ref="R29:R47" si="24">+$P29+($P29*$R$2)</f>
        <v>#VALUE!</v>
      </c>
      <c r="S29" s="248">
        <f t="shared" ref="S29:S47" si="25">+IFERROR(Q29/L29,0)</f>
        <v>0</v>
      </c>
      <c r="T29" s="146">
        <f t="shared" ref="T29:T47" si="26">+IFERROR(R29/L29,0)</f>
        <v>0</v>
      </c>
      <c r="U29" s="357"/>
      <c r="V29" s="358"/>
      <c r="W29" s="144"/>
    </row>
    <row r="30" spans="1:23" ht="15" hidden="1" customHeight="1" outlineLevel="1" thickBot="1">
      <c r="A30" s="353"/>
      <c r="B30" s="344">
        <f>B29+0.01</f>
        <v>2.0199999999999996</v>
      </c>
      <c r="C30" s="360" t="s">
        <v>785</v>
      </c>
      <c r="D30" s="360" t="s">
        <v>782</v>
      </c>
      <c r="E30" s="360">
        <v>4</v>
      </c>
      <c r="F30" s="347" t="str">
        <f t="shared" ref="F30:F47" si="27">F29</f>
        <v>120V 1Ø</v>
      </c>
      <c r="G30" s="361" t="str">
        <f>IF(H30="PVC",VLOOKUP(I30,[1]MATERIALES!$C$12:$D$18,2,FALSE),IF(H30="EMT",VLOOKUP(I30,[1]MATERIALES!$C$47:$D$53,2,FALSE),IF(H30="IMC",VLOOKUP(I30,[1]MATERIALES!$C$89:$D$96,2,FALSE),"-")))</f>
        <v>Coupling PVC 1/2"</v>
      </c>
      <c r="H30" s="366" t="str">
        <f>H29</f>
        <v>PVC</v>
      </c>
      <c r="I30" s="366" t="str">
        <f>I29</f>
        <v>13mm</v>
      </c>
      <c r="J30" s="316"/>
      <c r="K30" s="345" t="str">
        <f t="shared" si="19"/>
        <v>Unid.</v>
      </c>
      <c r="L30" s="28">
        <f>IF(H30="LFNC",0,L29)</f>
        <v>1</v>
      </c>
      <c r="M30" s="140" t="str">
        <f>IF(H30="LFNC",0,VLOOKUP(G30,[1]MATERIALES!$D$5:$I$1368,2,FALSE))</f>
        <v xml:space="preserve">Suplidores electricos </v>
      </c>
      <c r="N30" s="367" t="e">
        <f t="shared" si="20"/>
        <v>#VALUE!</v>
      </c>
      <c r="O30" s="140" t="e">
        <f t="shared" si="21"/>
        <v>#VALUE!</v>
      </c>
      <c r="P30" s="367" t="e">
        <f t="shared" si="22"/>
        <v>#VALUE!</v>
      </c>
      <c r="Q30" s="140" t="e">
        <f t="shared" si="23"/>
        <v>#VALUE!</v>
      </c>
      <c r="R30" s="368" t="e">
        <f t="shared" si="24"/>
        <v>#VALUE!</v>
      </c>
      <c r="S30" s="140">
        <f t="shared" si="25"/>
        <v>0</v>
      </c>
      <c r="T30" s="139">
        <f t="shared" si="26"/>
        <v>0</v>
      </c>
      <c r="U30" s="357"/>
      <c r="V30" s="358"/>
      <c r="W30" s="144"/>
    </row>
    <row r="31" spans="1:23" ht="15" hidden="1" customHeight="1" outlineLevel="1" thickBot="1">
      <c r="A31" s="353"/>
      <c r="B31" s="344">
        <f t="shared" ref="B31:B47" si="28">B30+0.01</f>
        <v>2.0299999999999994</v>
      </c>
      <c r="C31" s="360" t="s">
        <v>785</v>
      </c>
      <c r="D31" s="360" t="s">
        <v>782</v>
      </c>
      <c r="E31" s="360">
        <v>4</v>
      </c>
      <c r="F31" s="347" t="str">
        <f t="shared" si="27"/>
        <v>120V 1Ø</v>
      </c>
      <c r="G31" s="361" t="str">
        <f>IF(H31="PVC",VLOOKUP(I31,[1]MATERIALES!$C$19:$D$25,2,FALSE),IF(H31="EMT",VLOOKUP(I31,[1]MATERIALES!$C$54:$D$60,2,FALSE),IF(H31="IMC",VLOOKUP(I31,[1]MATERIALES!$C$96:$D$102,2,FALSE),IF(H31="LFNC",VLOOKUP(I31,[1]MATERIALES!$C$117:$D$123,2,FALSE),0))))</f>
        <v>Adaptador Macho PVC 1/2"</v>
      </c>
      <c r="H31" s="366" t="str">
        <f>H29</f>
        <v>PVC</v>
      </c>
      <c r="I31" s="366" t="str">
        <f>I29</f>
        <v>13mm</v>
      </c>
      <c r="J31" s="316"/>
      <c r="K31" s="345" t="str">
        <f t="shared" si="19"/>
        <v>Unid.</v>
      </c>
      <c r="L31" s="28">
        <f>1+L34*2+L36</f>
        <v>6</v>
      </c>
      <c r="M31" s="248" t="str">
        <f>IFERROR(VLOOKUP(G31,[1]MATERIALES!$D$5:$I$1368,2,FALSE),0)</f>
        <v xml:space="preserve">Suplidores electricos </v>
      </c>
      <c r="N31" s="367" t="e">
        <f t="shared" si="20"/>
        <v>#VALUE!</v>
      </c>
      <c r="O31" s="140" t="e">
        <f t="shared" si="21"/>
        <v>#VALUE!</v>
      </c>
      <c r="P31" s="367" t="e">
        <f t="shared" si="22"/>
        <v>#VALUE!</v>
      </c>
      <c r="Q31" s="140" t="e">
        <f t="shared" si="23"/>
        <v>#VALUE!</v>
      </c>
      <c r="R31" s="368" t="e">
        <f t="shared" si="24"/>
        <v>#VALUE!</v>
      </c>
      <c r="S31" s="140">
        <f t="shared" si="25"/>
        <v>0</v>
      </c>
      <c r="T31" s="139">
        <f t="shared" si="26"/>
        <v>0</v>
      </c>
      <c r="U31" s="357"/>
      <c r="V31" s="358"/>
      <c r="W31" s="144"/>
    </row>
    <row r="32" spans="1:23" ht="15" hidden="1" customHeight="1" outlineLevel="1" thickBot="1">
      <c r="A32" s="353"/>
      <c r="B32" s="344">
        <f t="shared" si="28"/>
        <v>2.0399999999999991</v>
      </c>
      <c r="C32" s="360" t="s">
        <v>785</v>
      </c>
      <c r="D32" s="360" t="s">
        <v>782</v>
      </c>
      <c r="E32" s="360">
        <v>4</v>
      </c>
      <c r="F32" s="347" t="str">
        <f t="shared" si="27"/>
        <v>120V 1Ø</v>
      </c>
      <c r="G32" s="361" t="str">
        <f>IF(H32="PVC",VLOOKUP(I32,[1]MATERIALES!$C$33:$D$39,2,FALSE),IF(H32="EMT",VLOOKUP(I32,[1]MATERIALES!$C$61:$D$67,2,FALSE),IF(H32="IMC",VLOOKUP(I32,[1]MATERIALES!$C$103:$D$109,2,FALSE),"-")))</f>
        <v>Curva 90 PVC SDR 1/2"</v>
      </c>
      <c r="H32" s="366" t="str">
        <f>H29</f>
        <v>PVC</v>
      </c>
      <c r="I32" s="366" t="str">
        <f>I29</f>
        <v>13mm</v>
      </c>
      <c r="J32" s="316"/>
      <c r="K32" s="345" t="str">
        <f t="shared" si="19"/>
        <v>Unid.</v>
      </c>
      <c r="L32" s="28">
        <f>IF(H32="LFNC",0,(1+L43))</f>
        <v>2</v>
      </c>
      <c r="M32" s="140" t="str">
        <f>IF(H32="LFNC",0,VLOOKUP(G32,[1]MATERIALES!$D$5:$I$1368,2,FALSE))</f>
        <v xml:space="preserve">Suplidores electricos </v>
      </c>
      <c r="N32" s="367" t="e">
        <f t="shared" si="20"/>
        <v>#VALUE!</v>
      </c>
      <c r="O32" s="140" t="e">
        <f t="shared" si="21"/>
        <v>#VALUE!</v>
      </c>
      <c r="P32" s="367" t="e">
        <f t="shared" si="22"/>
        <v>#VALUE!</v>
      </c>
      <c r="Q32" s="140" t="e">
        <f t="shared" si="23"/>
        <v>#VALUE!</v>
      </c>
      <c r="R32" s="368" t="e">
        <f t="shared" si="24"/>
        <v>#VALUE!</v>
      </c>
      <c r="S32" s="140">
        <f t="shared" si="25"/>
        <v>0</v>
      </c>
      <c r="T32" s="139">
        <f t="shared" si="26"/>
        <v>0</v>
      </c>
      <c r="U32" s="357"/>
      <c r="V32" s="358"/>
      <c r="W32" s="144"/>
    </row>
    <row r="33" spans="1:23" ht="15" hidden="1" customHeight="1" outlineLevel="1" thickBot="1">
      <c r="A33" s="353"/>
      <c r="B33" s="344">
        <f t="shared" si="28"/>
        <v>2.0499999999999989</v>
      </c>
      <c r="C33" s="360" t="s">
        <v>785</v>
      </c>
      <c r="D33" s="360" t="s">
        <v>782</v>
      </c>
      <c r="E33" s="360">
        <v>4</v>
      </c>
      <c r="F33" s="347" t="str">
        <f t="shared" si="27"/>
        <v>120V 1Ø</v>
      </c>
      <c r="G33" s="361" t="str">
        <f>VLOOKUP(I33,[1]MATERIALES!$C$68:$D$74,2,FALSE)</f>
        <v>Abrazadera EMT 1/2'' </v>
      </c>
      <c r="H33" s="316"/>
      <c r="I33" s="366" t="str">
        <f>I29</f>
        <v>13mm</v>
      </c>
      <c r="J33" s="316"/>
      <c r="K33" s="345" t="str">
        <f t="shared" si="19"/>
        <v>Unid.</v>
      </c>
      <c r="L33" s="28">
        <f>ROUNDUP(J29,0)</f>
        <v>6</v>
      </c>
      <c r="M33" s="248" t="str">
        <f>IFERROR(VLOOKUP(G33,[1]MATERIALES!$D$5:$I$1368,2,FALSE),0)</f>
        <v xml:space="preserve">Suplidores electricos </v>
      </c>
      <c r="N33" s="367" t="e">
        <f t="shared" si="20"/>
        <v>#VALUE!</v>
      </c>
      <c r="O33" s="140" t="e">
        <f t="shared" si="21"/>
        <v>#VALUE!</v>
      </c>
      <c r="P33" s="367" t="e">
        <f t="shared" si="22"/>
        <v>#VALUE!</v>
      </c>
      <c r="Q33" s="140" t="e">
        <f t="shared" si="23"/>
        <v>#VALUE!</v>
      </c>
      <c r="R33" s="368" t="e">
        <f t="shared" si="24"/>
        <v>#VALUE!</v>
      </c>
      <c r="S33" s="140">
        <f t="shared" si="25"/>
        <v>0</v>
      </c>
      <c r="T33" s="139">
        <f t="shared" si="26"/>
        <v>0</v>
      </c>
      <c r="U33" s="357"/>
      <c r="V33" s="358"/>
      <c r="W33" s="144"/>
    </row>
    <row r="34" spans="1:23" ht="15" hidden="1" customHeight="1" outlineLevel="1" thickBot="1">
      <c r="A34" s="353"/>
      <c r="B34" s="344">
        <f t="shared" si="28"/>
        <v>2.0599999999999987</v>
      </c>
      <c r="C34" s="360" t="s">
        <v>785</v>
      </c>
      <c r="D34" s="360" t="s">
        <v>782</v>
      </c>
      <c r="E34" s="360">
        <v>4</v>
      </c>
      <c r="F34" s="347" t="str">
        <f t="shared" si="27"/>
        <v>120V 1Ø</v>
      </c>
      <c r="G34" s="361" t="str" cm="1">
        <f t="array" ref="G34">_xlfn.SWITCH(I34,"13mm",(IF(H34="Rectangular",VLOOKUP(I34,[1]MATERIALES!$C$124:$D$125,2,FALSE),IF(H34="Octagonal",VLOOKUP(I34,[1]MATERIALES!$C$126:$D$127,2,FALSE),IF(H34="WP",VLOOKUP(I34,[1]MATERIALES!$C$128:$D$129,2,FALSE),IF(H34="5x5",VLOOKUP(I34,[1]MATERIALES!$C$130:$D$132,2,FALSE)))))),"19mm",(IF(H34="Rectangular",VLOOKUP(I34,[1]MATERIALES!$C$124:$D$125,2,FALSE),IF(H34="Octagonal",VLOOKUP(I34,[1]MATERIALES!$C$126:$D$127,2,FALSE),IF(H34="WP",VLOOKUP(I34,[1]MATERIALES!$C$128:$D$129,2,FALSE),IF(H34="5x5",VLOOKUP(I34,[1]MATERIALES!$C$130:$D$132,2,FALSE)))))),"25mm",IF(H34="Rectangular","-",IF(H34="Octagonal","--",IF(H34="WP","---",IF(H34="5x5",VLOOKUP(I34,[1]MATERIALES!$C$130:$D$132,2,FALSE),0)))),"38mm","-","50mm","-","75mm","-","100mm","-")</f>
        <v>Caja octagonal EMT 1/2" USA UL</v>
      </c>
      <c r="H34" s="369" t="s">
        <v>194</v>
      </c>
      <c r="I34" s="366" t="str">
        <f>I29</f>
        <v>13mm</v>
      </c>
      <c r="J34" s="316"/>
      <c r="K34" s="345" t="str">
        <f t="shared" si="19"/>
        <v>Unid.</v>
      </c>
      <c r="L34" s="28">
        <f>1+L43</f>
        <v>2</v>
      </c>
      <c r="M34" s="248" t="str">
        <f>IFERROR(VLOOKUP(G34,[1]MATERIALES!$D$5:$I$1368,2,FALSE),0)</f>
        <v xml:space="preserve">Suplidores electricos </v>
      </c>
      <c r="N34" s="367" t="e">
        <f t="shared" si="20"/>
        <v>#VALUE!</v>
      </c>
      <c r="O34" s="140" t="e">
        <f t="shared" si="21"/>
        <v>#VALUE!</v>
      </c>
      <c r="P34" s="367" t="e">
        <f t="shared" si="22"/>
        <v>#VALUE!</v>
      </c>
      <c r="Q34" s="140" t="e">
        <f t="shared" si="23"/>
        <v>#VALUE!</v>
      </c>
      <c r="R34" s="368" t="e">
        <f t="shared" si="24"/>
        <v>#VALUE!</v>
      </c>
      <c r="S34" s="140">
        <f t="shared" si="25"/>
        <v>0</v>
      </c>
      <c r="T34" s="139">
        <f t="shared" si="26"/>
        <v>0</v>
      </c>
      <c r="U34" s="357"/>
      <c r="V34" s="358"/>
      <c r="W34" s="144"/>
    </row>
    <row r="35" spans="1:23" ht="15" hidden="1" customHeight="1" outlineLevel="1" thickBot="1">
      <c r="A35" s="353"/>
      <c r="B35" s="344">
        <f t="shared" si="28"/>
        <v>2.0699999999999985</v>
      </c>
      <c r="C35" s="360" t="s">
        <v>785</v>
      </c>
      <c r="D35" s="360" t="s">
        <v>782</v>
      </c>
      <c r="E35" s="360">
        <v>4</v>
      </c>
      <c r="F35" s="347" t="str">
        <f t="shared" si="27"/>
        <v>120V 1Ø</v>
      </c>
      <c r="G35" s="370" t="str">
        <f>IF(H35="Rectangular",[1]MATERIALES!$D$133,IF(H34="Octagonal",[1]MATERIALES!$D$134,IF(H34="WP",[1]MATERIALES!$D$135,IF(H34="5x5",[1]MATERIALES!$D$136,0))))</f>
        <v>Tapa caja EMT 2x4 Inoxidable.</v>
      </c>
      <c r="H35" s="369" t="str">
        <f>H34</f>
        <v>Octagonal</v>
      </c>
      <c r="I35" s="366" t="str">
        <f>I29</f>
        <v>13mm</v>
      </c>
      <c r="J35" s="316"/>
      <c r="K35" s="345" t="str">
        <f t="shared" si="19"/>
        <v>Unid.</v>
      </c>
      <c r="L35" s="28">
        <f>L34</f>
        <v>2</v>
      </c>
      <c r="M35" s="248" t="str">
        <f>IFERROR(VLOOKUP(G35,[1]MATERIALES!$D$5:$I$1368,2,FALSE),0)</f>
        <v xml:space="preserve">Suplidores electricos </v>
      </c>
      <c r="N35" s="367" t="e">
        <f t="shared" si="20"/>
        <v>#VALUE!</v>
      </c>
      <c r="O35" s="140" t="e">
        <f t="shared" si="21"/>
        <v>#VALUE!</v>
      </c>
      <c r="P35" s="367" t="e">
        <f t="shared" si="22"/>
        <v>#VALUE!</v>
      </c>
      <c r="Q35" s="140" t="e">
        <f t="shared" si="23"/>
        <v>#VALUE!</v>
      </c>
      <c r="R35" s="368" t="e">
        <f t="shared" si="24"/>
        <v>#VALUE!</v>
      </c>
      <c r="S35" s="140">
        <f t="shared" si="25"/>
        <v>0</v>
      </c>
      <c r="T35" s="139">
        <f t="shared" si="26"/>
        <v>0</v>
      </c>
      <c r="U35" s="357"/>
      <c r="V35" s="358"/>
      <c r="W35" s="144"/>
    </row>
    <row r="36" spans="1:23" ht="15" hidden="1" customHeight="1" outlineLevel="1" thickBot="1">
      <c r="A36" s="353"/>
      <c r="B36" s="344">
        <f t="shared" si="28"/>
        <v>2.0799999999999983</v>
      </c>
      <c r="C36" s="360" t="s">
        <v>785</v>
      </c>
      <c r="D36" s="360" t="s">
        <v>782</v>
      </c>
      <c r="E36" s="360">
        <v>4</v>
      </c>
      <c r="F36" s="347" t="str">
        <f t="shared" si="27"/>
        <v>120V 1Ø</v>
      </c>
      <c r="G36" s="361" t="str" cm="1">
        <f t="array" ref="G36">_xlfn.SWITCH(I36,"13mm",(IF(H36="Rectangular",VLOOKUP(I36,[1]MATERIALES!$C$124:$D$125,2,FALSE),IF(H36="Octagonal",VLOOKUP(I36,[1]MATERIALES!$C$126:$D$127,2,FALSE),IF(H36="WP",VLOOKUP(I36,[1]MATERIALES!$C$128:$D$129,2,FALSE),IF(H36="5x5",VLOOKUP(I36,[1]MATERIALES!$C$130:$D$132,2,FALSE)))))),"19mm",(IF(H36="Rectangular",VLOOKUP(I36,[1]MATERIALES!$C$124:$D$125,2,FALSE),IF(H36="Octagonal",VLOOKUP(I36,[1]MATERIALES!$C$126:$D$127,2,FALSE),IF(H36="WP",VLOOKUP(I36,[1]MATERIALES!$C$128:$D$129,2,FALSE),IF(H36="5x5",VLOOKUP(I36,[1]MATERIALES!$C$130:$D$132,2,FALSE)))))),"25mm",IF(H36="Rectangular","-",IF(H36="Octagonal","--",IF(H36="WP","---",IF(H36="5x5",VLOOKUP(I36,[1]MATERIALES!$C$130:$D$132,2,FALSE),0)))),"38mm","-","50mm","-","75mm","-","100mm","-")</f>
        <v>Caja EMT 2x4 1/2" USA UL</v>
      </c>
      <c r="H36" s="369" t="s">
        <v>188</v>
      </c>
      <c r="I36" s="366" t="str">
        <f>I31</f>
        <v>13mm</v>
      </c>
      <c r="J36" s="316"/>
      <c r="K36" s="345" t="str">
        <f t="shared" si="19"/>
        <v>Unid.</v>
      </c>
      <c r="L36" s="28">
        <f>L43</f>
        <v>1</v>
      </c>
      <c r="M36" s="248" t="str">
        <f>IFERROR(VLOOKUP(G36,[1]MATERIALES!$D$5:$I$1368,2,FALSE),0)</f>
        <v xml:space="preserve">Suplidores electricos </v>
      </c>
      <c r="N36" s="367" t="e">
        <f t="shared" si="20"/>
        <v>#VALUE!</v>
      </c>
      <c r="O36" s="140" t="e">
        <f t="shared" si="21"/>
        <v>#VALUE!</v>
      </c>
      <c r="P36" s="367" t="e">
        <f t="shared" si="22"/>
        <v>#VALUE!</v>
      </c>
      <c r="Q36" s="140" t="e">
        <f t="shared" si="23"/>
        <v>#VALUE!</v>
      </c>
      <c r="R36" s="368" t="e">
        <f t="shared" si="24"/>
        <v>#VALUE!</v>
      </c>
      <c r="S36" s="140">
        <f t="shared" si="25"/>
        <v>0</v>
      </c>
      <c r="T36" s="139">
        <f t="shared" si="26"/>
        <v>0</v>
      </c>
      <c r="U36" s="357"/>
      <c r="V36" s="358"/>
      <c r="W36" s="144"/>
    </row>
    <row r="37" spans="1:23" ht="15" hidden="1" customHeight="1" outlineLevel="1" thickBot="1">
      <c r="A37" s="353"/>
      <c r="B37" s="344">
        <f t="shared" si="28"/>
        <v>2.0899999999999981</v>
      </c>
      <c r="C37" s="360" t="s">
        <v>785</v>
      </c>
      <c r="D37" s="360" t="s">
        <v>782</v>
      </c>
      <c r="E37" s="360">
        <v>4</v>
      </c>
      <c r="F37" s="347" t="str">
        <f t="shared" si="27"/>
        <v>120V 1Ø</v>
      </c>
      <c r="G37" s="370" t="str">
        <f>IF(H37="Rectangular",[1]MATERIALES!$D$133,IF(H36="Octagonal",[1]MATERIALES!$D$134,IF(H36="WP",[1]MATERIALES!$D$135,IF(H36="5x5",[1]MATERIALES!$D$136,0))))</f>
        <v>CAJA REG. 12X12X4 N3R</v>
      </c>
      <c r="H37" s="369" t="str">
        <f>H36</f>
        <v>Rectangular</v>
      </c>
      <c r="I37" s="366" t="str">
        <f>I31</f>
        <v>13mm</v>
      </c>
      <c r="J37" s="316"/>
      <c r="K37" s="345" t="str">
        <f t="shared" si="19"/>
        <v>Unid.</v>
      </c>
      <c r="L37" s="28">
        <f>L36</f>
        <v>1</v>
      </c>
      <c r="M37" s="248" t="str">
        <f>IFERROR(VLOOKUP(G37,[1]MATERIALES!$D$5:$I$1368,2,FALSE),0)</f>
        <v xml:space="preserve">Suplidores electricos </v>
      </c>
      <c r="N37" s="367" t="e">
        <f t="shared" si="20"/>
        <v>#VALUE!</v>
      </c>
      <c r="O37" s="140" t="e">
        <f t="shared" si="21"/>
        <v>#VALUE!</v>
      </c>
      <c r="P37" s="367" t="e">
        <f t="shared" si="22"/>
        <v>#VALUE!</v>
      </c>
      <c r="Q37" s="140" t="e">
        <f t="shared" si="23"/>
        <v>#VALUE!</v>
      </c>
      <c r="R37" s="368" t="e">
        <f t="shared" si="24"/>
        <v>#VALUE!</v>
      </c>
      <c r="S37" s="140">
        <f t="shared" si="25"/>
        <v>0</v>
      </c>
      <c r="T37" s="139">
        <f t="shared" si="26"/>
        <v>0</v>
      </c>
      <c r="U37" s="357"/>
      <c r="V37" s="358"/>
      <c r="W37" s="144"/>
    </row>
    <row r="38" spans="1:23" ht="15" hidden="1" customHeight="1" outlineLevel="1" thickBot="1">
      <c r="A38" s="353"/>
      <c r="B38" s="344">
        <f t="shared" si="28"/>
        <v>2.0999999999999979</v>
      </c>
      <c r="C38" s="360" t="s">
        <v>785</v>
      </c>
      <c r="D38" s="360" t="s">
        <v>782</v>
      </c>
      <c r="E38" s="360">
        <v>4</v>
      </c>
      <c r="F38" s="347" t="str">
        <f t="shared" si="27"/>
        <v>120V 1Ø</v>
      </c>
      <c r="G38" s="371" t="str">
        <f>"Fase A"&amp;": "&amp;I38</f>
        <v>Fase A: Conductor 12 AWG THHN</v>
      </c>
      <c r="H38" s="366" t="s">
        <v>181</v>
      </c>
      <c r="I38" s="366" t="s">
        <v>189</v>
      </c>
      <c r="J38" s="366">
        <f>J29</f>
        <v>5.73</v>
      </c>
      <c r="K38" s="345" t="str">
        <f t="shared" si="19"/>
        <v>Pies</v>
      </c>
      <c r="L38" s="28">
        <f>ROUNDUP(J38*3.28,0)</f>
        <v>19</v>
      </c>
      <c r="M38" s="140" t="str">
        <f>VLOOKUP(I38,[1]MATERIALES!$D$5:$I$1368,2,FALSE)</f>
        <v xml:space="preserve">Suplidores electricos </v>
      </c>
      <c r="N38" s="367" t="e">
        <f t="shared" si="20"/>
        <v>#VALUE!</v>
      </c>
      <c r="O38" s="140" t="e">
        <f t="shared" si="21"/>
        <v>#VALUE!</v>
      </c>
      <c r="P38" s="367" t="e">
        <f t="shared" si="22"/>
        <v>#VALUE!</v>
      </c>
      <c r="Q38" s="140" t="e">
        <f t="shared" si="23"/>
        <v>#VALUE!</v>
      </c>
      <c r="R38" s="368" t="e">
        <f t="shared" si="24"/>
        <v>#VALUE!</v>
      </c>
      <c r="S38" s="140">
        <f t="shared" si="25"/>
        <v>0</v>
      </c>
      <c r="T38" s="139">
        <f t="shared" si="26"/>
        <v>0</v>
      </c>
      <c r="U38" s="357"/>
      <c r="V38" s="358"/>
      <c r="W38" s="144"/>
    </row>
    <row r="39" spans="1:23" ht="15" hidden="1" customHeight="1" outlineLevel="1" thickBot="1">
      <c r="A39" s="353"/>
      <c r="B39" s="344">
        <f t="shared" si="28"/>
        <v>2.1099999999999977</v>
      </c>
      <c r="C39" s="360" t="s">
        <v>785</v>
      </c>
      <c r="D39" s="360" t="s">
        <v>782</v>
      </c>
      <c r="E39" s="360">
        <v>4</v>
      </c>
      <c r="F39" s="347" t="str">
        <f t="shared" si="27"/>
        <v>120V 1Ø</v>
      </c>
      <c r="G39" s="371" t="str">
        <f>IF(F39="120V 1Ø","-",("Fase B"&amp;": "&amp;I39))</f>
        <v>-</v>
      </c>
      <c r="H39" s="366" t="str">
        <f>H38</f>
        <v>Conductores Americanos</v>
      </c>
      <c r="I39" s="366" t="str">
        <f>I38</f>
        <v>Conductor 12 AWG THHN</v>
      </c>
      <c r="J39" s="366">
        <f>IF(G39="-",0,J29)</f>
        <v>0</v>
      </c>
      <c r="K39" s="345" t="str">
        <f t="shared" si="19"/>
        <v>Pies</v>
      </c>
      <c r="L39" s="28">
        <f>ROUNDUP(J39*3.28,0)</f>
        <v>0</v>
      </c>
      <c r="M39" s="140" t="str">
        <f>VLOOKUP(I39,[1]MATERIALES!$D$5:$I$1368,2,FALSE)</f>
        <v xml:space="preserve">Suplidores electricos </v>
      </c>
      <c r="N39" s="367" t="e">
        <f t="shared" si="20"/>
        <v>#VALUE!</v>
      </c>
      <c r="O39" s="140" t="e">
        <f t="shared" si="21"/>
        <v>#VALUE!</v>
      </c>
      <c r="P39" s="367" t="e">
        <f t="shared" si="22"/>
        <v>#VALUE!</v>
      </c>
      <c r="Q39" s="140" t="e">
        <f t="shared" si="23"/>
        <v>#VALUE!</v>
      </c>
      <c r="R39" s="368" t="e">
        <f t="shared" si="24"/>
        <v>#VALUE!</v>
      </c>
      <c r="S39" s="140">
        <f t="shared" si="25"/>
        <v>0</v>
      </c>
      <c r="T39" s="139">
        <f t="shared" si="26"/>
        <v>0</v>
      </c>
      <c r="U39" s="357"/>
      <c r="V39" s="358"/>
      <c r="W39" s="144"/>
    </row>
    <row r="40" spans="1:23" ht="15" hidden="1" customHeight="1" outlineLevel="1" thickBot="1">
      <c r="A40" s="353"/>
      <c r="B40" s="344">
        <f t="shared" si="28"/>
        <v>2.1199999999999974</v>
      </c>
      <c r="C40" s="360" t="s">
        <v>785</v>
      </c>
      <c r="D40" s="360" t="s">
        <v>782</v>
      </c>
      <c r="E40" s="360">
        <v>4</v>
      </c>
      <c r="F40" s="347" t="str">
        <f t="shared" si="27"/>
        <v>120V 1Ø</v>
      </c>
      <c r="G40" s="371" t="str">
        <f>IF(F40="120V 1Ø","-",IF(F40="240V 1Ø","-",("Fase C"&amp;": "&amp;I38)))</f>
        <v>-</v>
      </c>
      <c r="H40" s="366" t="str">
        <f>H39</f>
        <v>Conductores Americanos</v>
      </c>
      <c r="I40" s="366" t="str">
        <f>I39</f>
        <v>Conductor 12 AWG THHN</v>
      </c>
      <c r="J40" s="366">
        <f>IF(G40="-",0,J29)</f>
        <v>0</v>
      </c>
      <c r="K40" s="345" t="str">
        <f t="shared" si="19"/>
        <v>Pies</v>
      </c>
      <c r="L40" s="28">
        <f>ROUNDUP(J40*3.28,0)</f>
        <v>0</v>
      </c>
      <c r="M40" s="140" t="str">
        <f>VLOOKUP(I40,[1]MATERIALES!$D$5:$I$1368,2,FALSE)</f>
        <v xml:space="preserve">Suplidores electricos </v>
      </c>
      <c r="N40" s="367" t="e">
        <f t="shared" si="20"/>
        <v>#VALUE!</v>
      </c>
      <c r="O40" s="140" t="e">
        <f t="shared" si="21"/>
        <v>#VALUE!</v>
      </c>
      <c r="P40" s="367" t="e">
        <f t="shared" si="22"/>
        <v>#VALUE!</v>
      </c>
      <c r="Q40" s="140" t="e">
        <f t="shared" si="23"/>
        <v>#VALUE!</v>
      </c>
      <c r="R40" s="368" t="e">
        <f t="shared" si="24"/>
        <v>#VALUE!</v>
      </c>
      <c r="S40" s="140">
        <f t="shared" si="25"/>
        <v>0</v>
      </c>
      <c r="T40" s="139">
        <f t="shared" si="26"/>
        <v>0</v>
      </c>
      <c r="U40" s="357"/>
      <c r="V40" s="358"/>
      <c r="W40" s="144"/>
    </row>
    <row r="41" spans="1:23" ht="15" hidden="1" customHeight="1" outlineLevel="1" thickBot="1">
      <c r="A41" s="353"/>
      <c r="B41" s="344">
        <f t="shared" si="28"/>
        <v>2.1299999999999972</v>
      </c>
      <c r="C41" s="360" t="s">
        <v>785</v>
      </c>
      <c r="D41" s="360" t="s">
        <v>782</v>
      </c>
      <c r="E41" s="360">
        <v>4</v>
      </c>
      <c r="F41" s="347" t="str">
        <f t="shared" si="27"/>
        <v>120V 1Ø</v>
      </c>
      <c r="G41" s="372" t="str">
        <f>IF(F41="240V 1Ø","-",IF(F41="480V 3Ø","-",("Neutro"&amp;": "&amp;I38)))</f>
        <v>Neutro: Conductor 12 AWG THHN</v>
      </c>
      <c r="H41" s="366" t="str">
        <f>H40</f>
        <v>Conductores Americanos</v>
      </c>
      <c r="I41" s="366" t="s">
        <v>189</v>
      </c>
      <c r="J41" s="366">
        <f>IF(G41="-",0,J29)</f>
        <v>5.73</v>
      </c>
      <c r="K41" s="345" t="str">
        <f t="shared" si="19"/>
        <v>Pies</v>
      </c>
      <c r="L41" s="28">
        <f>ROUNDUP(J41*3.28,0)</f>
        <v>19</v>
      </c>
      <c r="M41" s="140" t="str">
        <f>VLOOKUP(I41,[1]MATERIALES!$D$5:$I$1368,2,FALSE)</f>
        <v xml:space="preserve">Suplidores electricos </v>
      </c>
      <c r="N41" s="367" t="e">
        <f t="shared" si="20"/>
        <v>#VALUE!</v>
      </c>
      <c r="O41" s="140" t="e">
        <f t="shared" si="21"/>
        <v>#VALUE!</v>
      </c>
      <c r="P41" s="367" t="e">
        <f t="shared" si="22"/>
        <v>#VALUE!</v>
      </c>
      <c r="Q41" s="140" t="e">
        <f t="shared" si="23"/>
        <v>#VALUE!</v>
      </c>
      <c r="R41" s="368" t="e">
        <f t="shared" si="24"/>
        <v>#VALUE!</v>
      </c>
      <c r="S41" s="140">
        <f t="shared" si="25"/>
        <v>0</v>
      </c>
      <c r="T41" s="139">
        <f t="shared" si="26"/>
        <v>0</v>
      </c>
      <c r="U41" s="357"/>
      <c r="V41" s="358"/>
      <c r="W41" s="144"/>
    </row>
    <row r="42" spans="1:23" ht="15" hidden="1" customHeight="1" outlineLevel="1" thickBot="1">
      <c r="A42" s="353"/>
      <c r="B42" s="344">
        <f t="shared" si="28"/>
        <v>2.139999999999997</v>
      </c>
      <c r="C42" s="360" t="s">
        <v>785</v>
      </c>
      <c r="D42" s="360" t="s">
        <v>782</v>
      </c>
      <c r="E42" s="360">
        <v>4</v>
      </c>
      <c r="F42" s="347" t="str">
        <f t="shared" si="27"/>
        <v>120V 1Ø</v>
      </c>
      <c r="G42" s="372" t="str">
        <f>"Tierra"&amp;": "&amp;I42</f>
        <v>Tierra: Conductor 12 AWG THHN</v>
      </c>
      <c r="H42" s="366" t="str">
        <f>H41</f>
        <v>Conductores Americanos</v>
      </c>
      <c r="I42" s="366" t="s">
        <v>189</v>
      </c>
      <c r="J42" s="366">
        <f>J29</f>
        <v>5.73</v>
      </c>
      <c r="K42" s="345" t="str">
        <f t="shared" si="19"/>
        <v>Pies</v>
      </c>
      <c r="L42" s="28">
        <f>ROUNDUP(J42*3.28,0)</f>
        <v>19</v>
      </c>
      <c r="M42" s="140" t="str">
        <f>VLOOKUP(I42,[1]MATERIALES!$D$5:$I$1368,2,FALSE)</f>
        <v xml:space="preserve">Suplidores electricos </v>
      </c>
      <c r="N42" s="367" t="e">
        <f t="shared" si="20"/>
        <v>#VALUE!</v>
      </c>
      <c r="O42" s="140" t="e">
        <f t="shared" si="21"/>
        <v>#VALUE!</v>
      </c>
      <c r="P42" s="367" t="e">
        <f t="shared" si="22"/>
        <v>#VALUE!</v>
      </c>
      <c r="Q42" s="140" t="e">
        <f t="shared" si="23"/>
        <v>#VALUE!</v>
      </c>
      <c r="R42" s="368" t="e">
        <f t="shared" si="24"/>
        <v>#VALUE!</v>
      </c>
      <c r="S42" s="140">
        <f t="shared" si="25"/>
        <v>0</v>
      </c>
      <c r="T42" s="139">
        <f t="shared" si="26"/>
        <v>0</v>
      </c>
      <c r="U42" s="357"/>
      <c r="V42" s="358"/>
      <c r="W42" s="144"/>
    </row>
    <row r="43" spans="1:23" ht="15" hidden="1" customHeight="1" outlineLevel="1" thickBot="1">
      <c r="A43" s="353"/>
      <c r="B43" s="344">
        <f t="shared" si="28"/>
        <v>2.1499999999999968</v>
      </c>
      <c r="C43" s="360" t="s">
        <v>785</v>
      </c>
      <c r="D43" s="360" t="s">
        <v>782</v>
      </c>
      <c r="E43" s="360">
        <v>4</v>
      </c>
      <c r="F43" s="347" t="str">
        <f t="shared" si="27"/>
        <v>120V 1Ø</v>
      </c>
      <c r="G43" s="361" t="str" cm="1">
        <f t="array" ref="G43">IFERROR(VLOOKUP(H43&amp;"|"&amp;I43,CHOOSE({1,2},[1]MATERIALES!$B$168:$B$175&amp;"|"&amp;[1]MATERIALES!$C$168:$C$175,[1]MATERIALES!$D$168:$D$175),2,0),"-")</f>
        <v>Tomacorriente 15A Matix (AM5115D + 503SB/SA)</v>
      </c>
      <c r="H43" s="373" t="s">
        <v>382</v>
      </c>
      <c r="I43" s="373" t="s">
        <v>380</v>
      </c>
      <c r="J43" s="316"/>
      <c r="K43" s="345" t="str">
        <f t="shared" si="19"/>
        <v>Unid.</v>
      </c>
      <c r="L43" s="218">
        <v>1</v>
      </c>
      <c r="M43" s="248">
        <f>IFERROR(VLOOKUP(G43,[1]MATERIALES!$D$5:$I$1368,2,FALSE),0)</f>
        <v>0</v>
      </c>
      <c r="N43" s="367">
        <f t="shared" si="20"/>
        <v>0</v>
      </c>
      <c r="O43" s="140">
        <f t="shared" si="21"/>
        <v>0</v>
      </c>
      <c r="P43" s="367">
        <f t="shared" si="22"/>
        <v>0</v>
      </c>
      <c r="Q43" s="140">
        <f t="shared" si="23"/>
        <v>0</v>
      </c>
      <c r="R43" s="368">
        <f t="shared" si="24"/>
        <v>0</v>
      </c>
      <c r="S43" s="140">
        <f t="shared" si="25"/>
        <v>0</v>
      </c>
      <c r="T43" s="139">
        <f t="shared" si="26"/>
        <v>0</v>
      </c>
      <c r="U43" s="357"/>
      <c r="V43" s="358"/>
      <c r="W43" s="144"/>
    </row>
    <row r="44" spans="1:23" ht="15" hidden="1" customHeight="1" outlineLevel="1" thickBot="1">
      <c r="A44" s="353"/>
      <c r="B44" s="344">
        <f t="shared" si="28"/>
        <v>2.1599999999999966</v>
      </c>
      <c r="C44" s="360" t="s">
        <v>785</v>
      </c>
      <c r="D44" s="360" t="s">
        <v>782</v>
      </c>
      <c r="E44" s="360">
        <v>4</v>
      </c>
      <c r="F44" s="347" t="str">
        <f t="shared" si="27"/>
        <v>120V 1Ø</v>
      </c>
      <c r="G44" s="361" t="str" cm="1">
        <f t="array" ref="G44">IFERROR(VLOOKUP(H44&amp;"|"&amp;I44,CHOOSE({1,2},[1]MATERIALES!$B$176:$B$185&amp;"|"&amp;[1]MATERIALES!$C$176:$C$185,[1]MATERIALES!$D$176:$D$185),2,0),"-")</f>
        <v>Tapa para tomacorriente MATIX (AM503/3N)</v>
      </c>
      <c r="H44" s="366" t="str">
        <f>H43</f>
        <v>MATIX</v>
      </c>
      <c r="I44" s="373" t="s">
        <v>392</v>
      </c>
      <c r="J44" s="316"/>
      <c r="K44" s="345" t="str">
        <f t="shared" si="19"/>
        <v>Unid.</v>
      </c>
      <c r="L44" s="345">
        <f>L43</f>
        <v>1</v>
      </c>
      <c r="M44" s="248">
        <f>IFERROR(VLOOKUP(G44,[1]MATERIALES!$D$5:$I$1368,2,FALSE),0)</f>
        <v>0</v>
      </c>
      <c r="N44" s="367">
        <f t="shared" si="20"/>
        <v>0</v>
      </c>
      <c r="O44" s="140">
        <f t="shared" si="21"/>
        <v>0</v>
      </c>
      <c r="P44" s="367">
        <f t="shared" si="22"/>
        <v>0</v>
      </c>
      <c r="Q44" s="140">
        <f t="shared" si="23"/>
        <v>0</v>
      </c>
      <c r="R44" s="368">
        <f t="shared" si="24"/>
        <v>0</v>
      </c>
      <c r="S44" s="140">
        <f t="shared" si="25"/>
        <v>0</v>
      </c>
      <c r="T44" s="139">
        <f t="shared" si="26"/>
        <v>0</v>
      </c>
      <c r="U44" s="357"/>
      <c r="V44" s="358"/>
      <c r="W44" s="144"/>
    </row>
    <row r="45" spans="1:23" ht="15" hidden="1" customHeight="1" outlineLevel="1" thickBot="1">
      <c r="A45" s="353"/>
      <c r="B45" s="344">
        <f t="shared" si="28"/>
        <v>2.1699999999999964</v>
      </c>
      <c r="C45" s="360" t="s">
        <v>785</v>
      </c>
      <c r="D45" s="360" t="s">
        <v>782</v>
      </c>
      <c r="E45" s="360">
        <v>4</v>
      </c>
      <c r="F45" s="347" t="str">
        <f t="shared" si="27"/>
        <v>120V 1Ø</v>
      </c>
      <c r="G45" s="371" t="s">
        <v>422</v>
      </c>
      <c r="H45" s="316"/>
      <c r="I45" s="316"/>
      <c r="J45" s="316"/>
      <c r="K45" s="345" t="str">
        <f t="shared" si="19"/>
        <v>Unid.</v>
      </c>
      <c r="L45" s="345">
        <f>3*(L34)</f>
        <v>6</v>
      </c>
      <c r="M45" s="248">
        <f>IFERROR(VLOOKUP(G45,[1]MATERIALES!$D$5:$I$1368,2,FALSE),0)</f>
        <v>0</v>
      </c>
      <c r="N45" s="367">
        <f t="shared" si="20"/>
        <v>0</v>
      </c>
      <c r="O45" s="140">
        <f t="shared" si="21"/>
        <v>0</v>
      </c>
      <c r="P45" s="367">
        <f t="shared" si="22"/>
        <v>0</v>
      </c>
      <c r="Q45" s="140">
        <f t="shared" si="23"/>
        <v>0</v>
      </c>
      <c r="R45" s="368">
        <f t="shared" si="24"/>
        <v>0</v>
      </c>
      <c r="S45" s="140">
        <f t="shared" si="25"/>
        <v>0</v>
      </c>
      <c r="T45" s="139">
        <f t="shared" si="26"/>
        <v>0</v>
      </c>
      <c r="U45" s="357" t="e">
        <f>SUM(R45:R47)</f>
        <v>#VALUE!</v>
      </c>
      <c r="V45" s="358" t="e">
        <f>'[1]1. OFERTA'!#REF!</f>
        <v>#REF!</v>
      </c>
      <c r="W45" s="144" t="e">
        <f>U45-V45</f>
        <v>#VALUE!</v>
      </c>
    </row>
    <row r="46" spans="1:23" ht="15" hidden="1" customHeight="1" outlineLevel="1" thickBot="1">
      <c r="A46" s="353"/>
      <c r="B46" s="344">
        <f t="shared" si="28"/>
        <v>2.1799999999999962</v>
      </c>
      <c r="C46" s="360" t="s">
        <v>785</v>
      </c>
      <c r="D46" s="360" t="s">
        <v>782</v>
      </c>
      <c r="E46" s="360">
        <v>4</v>
      </c>
      <c r="F46" s="347" t="str">
        <f t="shared" si="27"/>
        <v>120V 1Ø</v>
      </c>
      <c r="G46" s="374" t="s">
        <v>424</v>
      </c>
      <c r="H46" s="316"/>
      <c r="I46" s="316"/>
      <c r="J46" s="316"/>
      <c r="K46" s="345" t="s">
        <v>784</v>
      </c>
      <c r="L46" s="28">
        <f>ROUNDUP(L33+L34+L36,0)</f>
        <v>9</v>
      </c>
      <c r="M46" s="248">
        <f>IFERROR(VLOOKUP(G46,[1]MATERIALES!$D$5:$I$1368,2,FALSE),0)</f>
        <v>0</v>
      </c>
      <c r="N46" s="367">
        <f t="shared" si="20"/>
        <v>0</v>
      </c>
      <c r="O46" s="140">
        <f t="shared" si="21"/>
        <v>0</v>
      </c>
      <c r="P46" s="367">
        <f t="shared" si="22"/>
        <v>0</v>
      </c>
      <c r="Q46" s="140">
        <f t="shared" si="23"/>
        <v>0</v>
      </c>
      <c r="R46" s="368">
        <f t="shared" si="24"/>
        <v>0</v>
      </c>
      <c r="S46" s="140">
        <f t="shared" si="25"/>
        <v>0</v>
      </c>
      <c r="T46" s="139">
        <f t="shared" si="26"/>
        <v>0</v>
      </c>
      <c r="U46" s="357"/>
      <c r="V46" s="358"/>
      <c r="W46" s="144"/>
    </row>
    <row r="47" spans="1:23" ht="15" hidden="1" customHeight="1" outlineLevel="1" thickBot="1">
      <c r="A47" s="353"/>
      <c r="B47" s="344">
        <f t="shared" si="28"/>
        <v>2.1899999999999959</v>
      </c>
      <c r="C47" s="360" t="s">
        <v>785</v>
      </c>
      <c r="D47" s="360" t="s">
        <v>782</v>
      </c>
      <c r="E47" s="360">
        <v>4</v>
      </c>
      <c r="F47" s="347" t="str">
        <f t="shared" si="27"/>
        <v>120V 1Ø</v>
      </c>
      <c r="G47" s="374" t="s">
        <v>168</v>
      </c>
      <c r="H47" s="316"/>
      <c r="I47" s="316"/>
      <c r="J47" s="316"/>
      <c r="K47" s="345" t="s">
        <v>784</v>
      </c>
      <c r="L47" s="28">
        <f>L46</f>
        <v>9</v>
      </c>
      <c r="M47" s="248" t="str">
        <f>IFERROR(VLOOKUP(G47,[1]MATERIALES!$D$5:$I$1368,2,FALSE),0)</f>
        <v xml:space="preserve">Marba Dominicana </v>
      </c>
      <c r="N47" s="367" t="e">
        <f t="shared" si="20"/>
        <v>#VALUE!</v>
      </c>
      <c r="O47" s="140" t="e">
        <f t="shared" si="21"/>
        <v>#VALUE!</v>
      </c>
      <c r="P47" s="367" t="e">
        <f t="shared" si="22"/>
        <v>#VALUE!</v>
      </c>
      <c r="Q47" s="140" t="e">
        <f t="shared" si="23"/>
        <v>#VALUE!</v>
      </c>
      <c r="R47" s="368" t="e">
        <f t="shared" si="24"/>
        <v>#VALUE!</v>
      </c>
      <c r="S47" s="140">
        <f t="shared" si="25"/>
        <v>0</v>
      </c>
      <c r="T47" s="139">
        <f t="shared" si="26"/>
        <v>0</v>
      </c>
      <c r="U47" s="357"/>
      <c r="V47" s="358"/>
      <c r="W47" s="144"/>
    </row>
    <row r="48" spans="1:23" ht="21.75" customHeight="1" collapsed="1" thickBot="1">
      <c r="A48" s="347"/>
      <c r="B48" s="354">
        <v>3</v>
      </c>
      <c r="C48" s="355" t="s">
        <v>786</v>
      </c>
      <c r="D48" s="269" t="s">
        <v>782</v>
      </c>
      <c r="E48" s="269">
        <v>7</v>
      </c>
      <c r="F48" s="270" t="s">
        <v>783</v>
      </c>
      <c r="G48" s="271"/>
      <c r="H48" s="272"/>
      <c r="I48" s="272"/>
      <c r="J48" s="272"/>
      <c r="K48" s="268"/>
      <c r="L48" s="268"/>
      <c r="M48" s="273"/>
      <c r="N48" s="274"/>
      <c r="O48" s="273"/>
      <c r="P48" s="274"/>
      <c r="Q48" s="273"/>
      <c r="R48" s="275"/>
      <c r="S48" s="273"/>
      <c r="T48" s="276"/>
      <c r="U48" s="357" t="e">
        <f>SUM(R49:R67)</f>
        <v>#VALUE!</v>
      </c>
      <c r="V48" s="358">
        <f>'[1]1. OFERTA'!H42</f>
        <v>5.4464347826086961</v>
      </c>
      <c r="W48" s="144" t="e">
        <f>U48-V48</f>
        <v>#VALUE!</v>
      </c>
    </row>
    <row r="49" spans="1:23" ht="15" hidden="1" customHeight="1" outlineLevel="1" thickBot="1">
      <c r="A49" s="353"/>
      <c r="B49" s="359">
        <f t="shared" ref="B49:B112" si="29">B48+0.01</f>
        <v>3.01</v>
      </c>
      <c r="C49" s="360" t="s">
        <v>786</v>
      </c>
      <c r="D49" s="360" t="s">
        <v>782</v>
      </c>
      <c r="E49" s="360">
        <v>7</v>
      </c>
      <c r="F49" s="347" t="s">
        <v>783</v>
      </c>
      <c r="G49" s="361" t="str">
        <f>IF(H49="PVC",VLOOKUP(I49,[1]MATERIALES!$C$5:$D$11,2,FALSE),IF(H49="EMT",VLOOKUP(I49,[1]MATERIALES!$C$40:$D$46,2,FALSE),IF(H49="IMC",VLOOKUP(I49,[1]MATERIALES!$C$82:$D$88,2,FALSE),IF(H49="LFNC",VLOOKUP(I49,[1]MATERIALES!$C$110:$D$116,2,FALSE),0))))</f>
        <v>Tubería PVC SDR-26 3/4"</v>
      </c>
      <c r="H49" s="362" t="s">
        <v>184</v>
      </c>
      <c r="I49" s="362" t="s">
        <v>212</v>
      </c>
      <c r="J49" s="362">
        <v>5.71</v>
      </c>
      <c r="K49" s="134" t="str">
        <f>IF(OR(H49="Conductores Americanos",H49="Conductores Europeos"),"Pies","Unid.")</f>
        <v>Unid.</v>
      </c>
      <c r="L49" s="363">
        <f>IF(H49="PVC",ROUNDUP(J49/6,0),IF(H49="EMT",ROUNDUP(J49/3,0),IF(H49="IMC",ROUNDUP(J49/3,0),IF(H49="LFNC",ROUNDUP(3.28*J49,0),0))))</f>
        <v>1</v>
      </c>
      <c r="M49" s="248" t="str">
        <f>IFERROR(VLOOKUP(G49,[1]MATERIALES!$D$5:$I$1368,2,FALSE),0)</f>
        <v xml:space="preserve">Suplidores electricos </v>
      </c>
      <c r="N49" s="364" t="e">
        <f t="shared" ref="N49:N67" si="30">M49/$N$2</f>
        <v>#VALUE!</v>
      </c>
      <c r="O49" s="248" t="e">
        <f>+L49*M49</f>
        <v>#VALUE!</v>
      </c>
      <c r="P49" s="364" t="e">
        <f>L49*N49</f>
        <v>#VALUE!</v>
      </c>
      <c r="Q49" s="248" t="e">
        <f t="shared" ref="Q49:Q67" si="31">+$O49+($O49*$R$2)</f>
        <v>#VALUE!</v>
      </c>
      <c r="R49" s="365" t="e">
        <f t="shared" ref="R49:R67" si="32">+$P49+($P49*$R$2)</f>
        <v>#VALUE!</v>
      </c>
      <c r="S49" s="248">
        <f>+IFERROR(Q49/L49,0)</f>
        <v>0</v>
      </c>
      <c r="T49" s="146">
        <f>+IFERROR(R49/L49,0)</f>
        <v>0</v>
      </c>
      <c r="U49" s="357"/>
      <c r="V49" s="358"/>
      <c r="W49" s="144"/>
    </row>
    <row r="50" spans="1:23" ht="15" hidden="1" customHeight="1" outlineLevel="1" thickBot="1">
      <c r="A50" s="353"/>
      <c r="B50" s="359">
        <f t="shared" si="29"/>
        <v>3.0199999999999996</v>
      </c>
      <c r="C50" s="360" t="s">
        <v>786</v>
      </c>
      <c r="D50" s="360" t="s">
        <v>782</v>
      </c>
      <c r="E50" s="360">
        <v>7</v>
      </c>
      <c r="F50" s="347" t="str">
        <f t="shared" ref="F50:F67" si="33">F49</f>
        <v>120V 1Ø</v>
      </c>
      <c r="G50" s="361" t="str">
        <f>IF(H50="PVC",VLOOKUP(I50,[1]MATERIALES!$C$12:$D$18,2,FALSE),IF(H50="EMT",VLOOKUP(I50,[1]MATERIALES!$C$47:$D$53,2,FALSE),IF(H50="IMC",VLOOKUP(I50,[1]MATERIALES!$C$89:$D$96,2,FALSE),"-")))</f>
        <v>Coupling PVC 3/4"</v>
      </c>
      <c r="H50" s="366" t="str">
        <f>H49</f>
        <v>PVC</v>
      </c>
      <c r="I50" s="366" t="str">
        <f>I49</f>
        <v>19mm</v>
      </c>
      <c r="J50" s="316"/>
      <c r="K50" s="345" t="str">
        <f t="shared" ref="K50:K57" si="34">IF(OR(H50="Conductores Americanos",H50="Conductores Europeos"),"Pies","Unid.")</f>
        <v>Unid.</v>
      </c>
      <c r="L50" s="28">
        <f>IF(H50="LFNC",0,L49)</f>
        <v>1</v>
      </c>
      <c r="M50" s="140" t="str">
        <f>IF(H50="LFNC",0,VLOOKUP(G50,[1]MATERIALES!$D$5:$I$1368,2,FALSE))</f>
        <v xml:space="preserve">Suplidores electricos </v>
      </c>
      <c r="N50" s="367" t="e">
        <f t="shared" si="30"/>
        <v>#VALUE!</v>
      </c>
      <c r="O50" s="140" t="e">
        <f t="shared" ref="O50:O67" si="35">+L50*M50</f>
        <v>#VALUE!</v>
      </c>
      <c r="P50" s="367" t="e">
        <f t="shared" ref="P50:P67" si="36">L50*N50</f>
        <v>#VALUE!</v>
      </c>
      <c r="Q50" s="140" t="e">
        <f t="shared" si="31"/>
        <v>#VALUE!</v>
      </c>
      <c r="R50" s="368" t="e">
        <f t="shared" si="32"/>
        <v>#VALUE!</v>
      </c>
      <c r="S50" s="140">
        <f t="shared" ref="S50:S67" si="37">+IFERROR(Q50/L50,0)</f>
        <v>0</v>
      </c>
      <c r="T50" s="139">
        <f t="shared" ref="T50:T67" si="38">+IFERROR(R50/L50,0)</f>
        <v>0</v>
      </c>
      <c r="U50" s="357"/>
      <c r="V50" s="358"/>
      <c r="W50" s="144"/>
    </row>
    <row r="51" spans="1:23" ht="15" hidden="1" customHeight="1" outlineLevel="1" thickBot="1">
      <c r="A51" s="353"/>
      <c r="B51" s="359">
        <f t="shared" si="29"/>
        <v>3.0299999999999994</v>
      </c>
      <c r="C51" s="360" t="s">
        <v>786</v>
      </c>
      <c r="D51" s="360" t="s">
        <v>782</v>
      </c>
      <c r="E51" s="360">
        <v>7</v>
      </c>
      <c r="F51" s="347" t="str">
        <f t="shared" si="33"/>
        <v>120V 1Ø</v>
      </c>
      <c r="G51" s="361" t="str">
        <f>IF(H51="PVC",VLOOKUP(I51,[1]MATERIALES!$C$19:$D$25,2,FALSE),IF(H51="EMT",VLOOKUP(I51,[1]MATERIALES!$C$54:$D$60,2,FALSE),IF(H51="IMC",VLOOKUP(I51,[1]MATERIALES!$C$96:$D$102,2,FALSE),IF(H51="LFNC",VLOOKUP(I51,[1]MATERIALES!$C$117:$D$123,2,FALSE),0))))</f>
        <v>Adaptador Macho PVC 3/4"</v>
      </c>
      <c r="H51" s="366" t="str">
        <f>H49</f>
        <v>PVC</v>
      </c>
      <c r="I51" s="366" t="str">
        <f>I49</f>
        <v>19mm</v>
      </c>
      <c r="J51" s="316"/>
      <c r="K51" s="345" t="str">
        <f t="shared" si="34"/>
        <v>Unid.</v>
      </c>
      <c r="L51" s="28">
        <f>1+L54*2+L56</f>
        <v>6</v>
      </c>
      <c r="M51" s="248" t="str">
        <f>IFERROR(VLOOKUP(G51,[1]MATERIALES!$D$5:$I$1368,2,FALSE),0)</f>
        <v xml:space="preserve">Suplidores electricos </v>
      </c>
      <c r="N51" s="367" t="e">
        <f t="shared" si="30"/>
        <v>#VALUE!</v>
      </c>
      <c r="O51" s="140" t="e">
        <f t="shared" si="35"/>
        <v>#VALUE!</v>
      </c>
      <c r="P51" s="367" t="e">
        <f t="shared" si="36"/>
        <v>#VALUE!</v>
      </c>
      <c r="Q51" s="140" t="e">
        <f t="shared" si="31"/>
        <v>#VALUE!</v>
      </c>
      <c r="R51" s="368" t="e">
        <f t="shared" si="32"/>
        <v>#VALUE!</v>
      </c>
      <c r="S51" s="140">
        <f t="shared" si="37"/>
        <v>0</v>
      </c>
      <c r="T51" s="139">
        <f t="shared" si="38"/>
        <v>0</v>
      </c>
      <c r="U51" s="357"/>
      <c r="V51" s="358"/>
      <c r="W51" s="144"/>
    </row>
    <row r="52" spans="1:23" ht="15" hidden="1" customHeight="1" outlineLevel="1" thickBot="1">
      <c r="A52" s="353"/>
      <c r="B52" s="359">
        <f t="shared" si="29"/>
        <v>3.0399999999999991</v>
      </c>
      <c r="C52" s="360" t="s">
        <v>786</v>
      </c>
      <c r="D52" s="360" t="s">
        <v>782</v>
      </c>
      <c r="E52" s="360">
        <v>7</v>
      </c>
      <c r="F52" s="347" t="str">
        <f t="shared" si="33"/>
        <v>120V 1Ø</v>
      </c>
      <c r="G52" s="361" t="str">
        <f>IF(H52="PVC",VLOOKUP(I52,[1]MATERIALES!$C$33:$D$39,2,FALSE),IF(H52="EMT",VLOOKUP(I52,[1]MATERIALES!$C$61:$D$67,2,FALSE),IF(H52="IMC",VLOOKUP(I52,[1]MATERIALES!$C$103:$D$109,2,FALSE),"-")))</f>
        <v>Curva 90 PVC SDR 3/4"</v>
      </c>
      <c r="H52" s="366" t="str">
        <f>H49</f>
        <v>PVC</v>
      </c>
      <c r="I52" s="366" t="str">
        <f>I49</f>
        <v>19mm</v>
      </c>
      <c r="J52" s="316"/>
      <c r="K52" s="345" t="str">
        <f t="shared" si="34"/>
        <v>Unid.</v>
      </c>
      <c r="L52" s="28">
        <f>IF(H52="LFNC",0,(1+L63))</f>
        <v>2</v>
      </c>
      <c r="M52" s="140" t="str">
        <f>IF(H52="LFNC",0,VLOOKUP(G52,[1]MATERIALES!$D$5:$I$1368,2,FALSE))</f>
        <v xml:space="preserve">Suplidores electricos </v>
      </c>
      <c r="N52" s="367" t="e">
        <f t="shared" si="30"/>
        <v>#VALUE!</v>
      </c>
      <c r="O52" s="140" t="e">
        <f t="shared" si="35"/>
        <v>#VALUE!</v>
      </c>
      <c r="P52" s="367" t="e">
        <f t="shared" si="36"/>
        <v>#VALUE!</v>
      </c>
      <c r="Q52" s="140" t="e">
        <f t="shared" si="31"/>
        <v>#VALUE!</v>
      </c>
      <c r="R52" s="368" t="e">
        <f t="shared" si="32"/>
        <v>#VALUE!</v>
      </c>
      <c r="S52" s="140">
        <f t="shared" si="37"/>
        <v>0</v>
      </c>
      <c r="T52" s="139">
        <f t="shared" si="38"/>
        <v>0</v>
      </c>
      <c r="U52" s="357"/>
      <c r="V52" s="358"/>
      <c r="W52" s="144"/>
    </row>
    <row r="53" spans="1:23" ht="15" hidden="1" customHeight="1" outlineLevel="1" thickBot="1">
      <c r="A53" s="353"/>
      <c r="B53" s="359">
        <f t="shared" si="29"/>
        <v>3.0499999999999989</v>
      </c>
      <c r="C53" s="360" t="s">
        <v>786</v>
      </c>
      <c r="D53" s="360" t="s">
        <v>782</v>
      </c>
      <c r="E53" s="360">
        <v>7</v>
      </c>
      <c r="F53" s="347" t="str">
        <f t="shared" si="33"/>
        <v>120V 1Ø</v>
      </c>
      <c r="G53" s="361" t="str">
        <f>VLOOKUP(I53,[1]MATERIALES!$C$68:$D$74,2,FALSE)</f>
        <v>Abrazadera EMT 3/4'' </v>
      </c>
      <c r="H53" s="316"/>
      <c r="I53" s="366" t="str">
        <f>I49</f>
        <v>19mm</v>
      </c>
      <c r="J53" s="316"/>
      <c r="K53" s="345" t="str">
        <f t="shared" si="34"/>
        <v>Unid.</v>
      </c>
      <c r="L53" s="28">
        <f>ROUNDUP(J49,0)</f>
        <v>6</v>
      </c>
      <c r="M53" s="248" t="str">
        <f>IFERROR(VLOOKUP(G53,[1]MATERIALES!$D$5:$I$1368,2,FALSE),0)</f>
        <v xml:space="preserve">Suplidores electricos </v>
      </c>
      <c r="N53" s="367" t="e">
        <f t="shared" si="30"/>
        <v>#VALUE!</v>
      </c>
      <c r="O53" s="140" t="e">
        <f t="shared" si="35"/>
        <v>#VALUE!</v>
      </c>
      <c r="P53" s="367" t="e">
        <f t="shared" si="36"/>
        <v>#VALUE!</v>
      </c>
      <c r="Q53" s="140" t="e">
        <f t="shared" si="31"/>
        <v>#VALUE!</v>
      </c>
      <c r="R53" s="368" t="e">
        <f t="shared" si="32"/>
        <v>#VALUE!</v>
      </c>
      <c r="S53" s="140">
        <f t="shared" si="37"/>
        <v>0</v>
      </c>
      <c r="T53" s="139">
        <f t="shared" si="38"/>
        <v>0</v>
      </c>
      <c r="U53" s="357"/>
      <c r="V53" s="358"/>
      <c r="W53" s="144"/>
    </row>
    <row r="54" spans="1:23" ht="15" hidden="1" customHeight="1" outlineLevel="1" thickBot="1">
      <c r="A54" s="353"/>
      <c r="B54" s="359">
        <f t="shared" si="29"/>
        <v>3.0599999999999987</v>
      </c>
      <c r="C54" s="360" t="s">
        <v>786</v>
      </c>
      <c r="D54" s="360" t="s">
        <v>782</v>
      </c>
      <c r="E54" s="360">
        <v>7</v>
      </c>
      <c r="F54" s="347" t="str">
        <f t="shared" si="33"/>
        <v>120V 1Ø</v>
      </c>
      <c r="G54" s="361" t="str" cm="1">
        <f t="array" ref="G54">_xlfn.SWITCH(I54,"13mm",(IF(H54="Rectangular",VLOOKUP(I54,[1]MATERIALES!$C$124:$D$125,2,FALSE),IF(H54="Octagonal",VLOOKUP(I54,[1]MATERIALES!$C$126:$D$127,2,FALSE),IF(H54="WP",VLOOKUP(I54,[1]MATERIALES!$C$128:$D$129,2,FALSE),IF(H54="5x5",VLOOKUP(I54,[1]MATERIALES!$C$130:$D$132,2,FALSE)))))),"19mm",(IF(H54="Rectangular",VLOOKUP(I54,[1]MATERIALES!$C$124:$D$125,2,FALSE),IF(H54="Octagonal",VLOOKUP(I54,[1]MATERIALES!$C$126:$D$127,2,FALSE),IF(H54="WP",VLOOKUP(I54,[1]MATERIALES!$C$128:$D$129,2,FALSE),IF(H54="5x5",VLOOKUP(I54,[1]MATERIALES!$C$130:$D$132,2,FALSE)))))),"25mm",IF(H54="Rectangular","-",IF(H54="Octagonal","--",IF(H54="WP","---",IF(H54="5x5",VLOOKUP(I54,[1]MATERIALES!$C$130:$D$132,2,FALSE),0)))),"38mm","-","50mm","-","75mm","-","100mm","-")</f>
        <v>Caja octagonal EMT 3/4" USA UL</v>
      </c>
      <c r="H54" s="369" t="s">
        <v>194</v>
      </c>
      <c r="I54" s="366" t="str">
        <f>I49</f>
        <v>19mm</v>
      </c>
      <c r="J54" s="316"/>
      <c r="K54" s="345" t="str">
        <f t="shared" si="34"/>
        <v>Unid.</v>
      </c>
      <c r="L54" s="28">
        <f>1+L63</f>
        <v>2</v>
      </c>
      <c r="M54" s="248" t="str">
        <f>IFERROR(VLOOKUP(G54,[1]MATERIALES!$D$5:$I$1368,2,FALSE),0)</f>
        <v xml:space="preserve">Suplidores electricos </v>
      </c>
      <c r="N54" s="367" t="e">
        <f t="shared" si="30"/>
        <v>#VALUE!</v>
      </c>
      <c r="O54" s="140" t="e">
        <f t="shared" si="35"/>
        <v>#VALUE!</v>
      </c>
      <c r="P54" s="367" t="e">
        <f t="shared" si="36"/>
        <v>#VALUE!</v>
      </c>
      <c r="Q54" s="140" t="e">
        <f t="shared" si="31"/>
        <v>#VALUE!</v>
      </c>
      <c r="R54" s="368" t="e">
        <f t="shared" si="32"/>
        <v>#VALUE!</v>
      </c>
      <c r="S54" s="140">
        <f t="shared" si="37"/>
        <v>0</v>
      </c>
      <c r="T54" s="139">
        <f t="shared" si="38"/>
        <v>0</v>
      </c>
      <c r="U54" s="357"/>
      <c r="V54" s="358"/>
      <c r="W54" s="144"/>
    </row>
    <row r="55" spans="1:23" ht="15" hidden="1" customHeight="1" outlineLevel="1" thickBot="1">
      <c r="A55" s="353"/>
      <c r="B55" s="359">
        <f t="shared" si="29"/>
        <v>3.0699999999999985</v>
      </c>
      <c r="C55" s="360" t="s">
        <v>786</v>
      </c>
      <c r="D55" s="360" t="s">
        <v>782</v>
      </c>
      <c r="E55" s="360">
        <v>7</v>
      </c>
      <c r="F55" s="347" t="str">
        <f t="shared" si="33"/>
        <v>120V 1Ø</v>
      </c>
      <c r="G55" s="370" t="str">
        <f>IF(H55="Rectangular",[1]MATERIALES!$D$133,IF(H54="Octagonal",[1]MATERIALES!$D$134,IF(H54="WP",[1]MATERIALES!$D$135,IF(H54="5x5",[1]MATERIALES!$D$136,0))))</f>
        <v>Tapa caja EMT 2x4 Inoxidable.</v>
      </c>
      <c r="H55" s="369" t="str">
        <f>H54</f>
        <v>Octagonal</v>
      </c>
      <c r="I55" s="366" t="str">
        <f>I49</f>
        <v>19mm</v>
      </c>
      <c r="J55" s="316"/>
      <c r="K55" s="345" t="str">
        <f t="shared" si="34"/>
        <v>Unid.</v>
      </c>
      <c r="L55" s="28">
        <f>L54</f>
        <v>2</v>
      </c>
      <c r="M55" s="248" t="str">
        <f>IFERROR(VLOOKUP(G55,[1]MATERIALES!$D$5:$I$1368,2,FALSE),0)</f>
        <v xml:space="preserve">Suplidores electricos </v>
      </c>
      <c r="N55" s="367" t="e">
        <f t="shared" si="30"/>
        <v>#VALUE!</v>
      </c>
      <c r="O55" s="140" t="e">
        <f t="shared" si="35"/>
        <v>#VALUE!</v>
      </c>
      <c r="P55" s="367" t="e">
        <f t="shared" si="36"/>
        <v>#VALUE!</v>
      </c>
      <c r="Q55" s="140" t="e">
        <f t="shared" si="31"/>
        <v>#VALUE!</v>
      </c>
      <c r="R55" s="368" t="e">
        <f t="shared" si="32"/>
        <v>#VALUE!</v>
      </c>
      <c r="S55" s="140">
        <f t="shared" si="37"/>
        <v>0</v>
      </c>
      <c r="T55" s="139">
        <f t="shared" si="38"/>
        <v>0</v>
      </c>
      <c r="U55" s="357"/>
      <c r="V55" s="358"/>
      <c r="W55" s="144"/>
    </row>
    <row r="56" spans="1:23" ht="15" hidden="1" customHeight="1" outlineLevel="1" thickBot="1">
      <c r="A56" s="353"/>
      <c r="B56" s="359">
        <f t="shared" si="29"/>
        <v>3.0799999999999983</v>
      </c>
      <c r="C56" s="360" t="s">
        <v>786</v>
      </c>
      <c r="D56" s="360" t="s">
        <v>782</v>
      </c>
      <c r="E56" s="360">
        <v>7</v>
      </c>
      <c r="F56" s="347" t="str">
        <f t="shared" si="33"/>
        <v>120V 1Ø</v>
      </c>
      <c r="G56" s="361" t="str" cm="1">
        <f t="array" ref="G56">_xlfn.SWITCH(I56,"13mm",(IF(H56="Rectangular",VLOOKUP(I56,[1]MATERIALES!$C$124:$D$125,2,FALSE),IF(H56="Octagonal",VLOOKUP(I56,[1]MATERIALES!$C$126:$D$127,2,FALSE),IF(H56="WP",VLOOKUP(I56,[1]MATERIALES!$C$128:$D$129,2,FALSE),IF(H56="5x5",VLOOKUP(I56,[1]MATERIALES!$C$130:$D$132,2,FALSE)))))),"19mm",(IF(H56="Rectangular",VLOOKUP(I56,[1]MATERIALES!$C$124:$D$125,2,FALSE),IF(H56="Octagonal",VLOOKUP(I56,[1]MATERIALES!$C$126:$D$127,2,FALSE),IF(H56="WP",VLOOKUP(I56,[1]MATERIALES!$C$128:$D$129,2,FALSE),IF(H56="5x5",VLOOKUP(I56,[1]MATERIALES!$C$130:$D$132,2,FALSE)))))),"25mm",IF(H56="Rectangular","-",IF(H56="Octagonal","--",IF(H56="WP","---",IF(H56="5x5",VLOOKUP(I56,[1]MATERIALES!$C$130:$D$132,2,FALSE),0)))),"38mm","-","50mm","-","75mm","-","100mm","-")</f>
        <v>Caja EMT 2x4 3/4" USA UL</v>
      </c>
      <c r="H56" s="369" t="s">
        <v>188</v>
      </c>
      <c r="I56" s="366" t="str">
        <f>I51</f>
        <v>19mm</v>
      </c>
      <c r="J56" s="316"/>
      <c r="K56" s="345" t="str">
        <f t="shared" si="34"/>
        <v>Unid.</v>
      </c>
      <c r="L56" s="28">
        <f>L63</f>
        <v>1</v>
      </c>
      <c r="M56" s="248" t="str">
        <f>IFERROR(VLOOKUP(G56,[1]MATERIALES!$D$5:$I$1368,2,FALSE),0)</f>
        <v xml:space="preserve">Suplidores electricos </v>
      </c>
      <c r="N56" s="367" t="e">
        <f t="shared" si="30"/>
        <v>#VALUE!</v>
      </c>
      <c r="O56" s="140" t="e">
        <f t="shared" si="35"/>
        <v>#VALUE!</v>
      </c>
      <c r="P56" s="367" t="e">
        <f t="shared" si="36"/>
        <v>#VALUE!</v>
      </c>
      <c r="Q56" s="140" t="e">
        <f t="shared" si="31"/>
        <v>#VALUE!</v>
      </c>
      <c r="R56" s="368" t="e">
        <f t="shared" si="32"/>
        <v>#VALUE!</v>
      </c>
      <c r="S56" s="140">
        <f t="shared" si="37"/>
        <v>0</v>
      </c>
      <c r="T56" s="139">
        <f t="shared" si="38"/>
        <v>0</v>
      </c>
      <c r="U56" s="357"/>
      <c r="V56" s="358"/>
      <c r="W56" s="144"/>
    </row>
    <row r="57" spans="1:23" ht="15" hidden="1" customHeight="1" outlineLevel="1" thickBot="1">
      <c r="A57" s="353"/>
      <c r="B57" s="359">
        <f t="shared" si="29"/>
        <v>3.0899999999999981</v>
      </c>
      <c r="C57" s="360" t="s">
        <v>786</v>
      </c>
      <c r="D57" s="360" t="s">
        <v>782</v>
      </c>
      <c r="E57" s="360">
        <v>7</v>
      </c>
      <c r="F57" s="347" t="str">
        <f t="shared" si="33"/>
        <v>120V 1Ø</v>
      </c>
      <c r="G57" s="370" t="str">
        <f>IF(H57="Rectangular",[1]MATERIALES!$D$133,IF(H56="Octagonal",[1]MATERIALES!$D$134,IF(H56="WP",[1]MATERIALES!#REF!,IF(H56="5x5",[1]MATERIALES!$D$136,0))))</f>
        <v>CAJA REG. 12X12X4 N3R</v>
      </c>
      <c r="H57" s="369" t="str">
        <f>H56</f>
        <v>Rectangular</v>
      </c>
      <c r="I57" s="366" t="str">
        <f>I51</f>
        <v>19mm</v>
      </c>
      <c r="J57" s="316"/>
      <c r="K57" s="345" t="str">
        <f t="shared" si="34"/>
        <v>Unid.</v>
      </c>
      <c r="L57" s="28">
        <f>L56</f>
        <v>1</v>
      </c>
      <c r="M57" s="248" t="str">
        <f>IFERROR(VLOOKUP(G57,[1]MATERIALES!$D$5:$I$1368,2,FALSE),0)</f>
        <v xml:space="preserve">Suplidores electricos </v>
      </c>
      <c r="N57" s="367" t="e">
        <f t="shared" si="30"/>
        <v>#VALUE!</v>
      </c>
      <c r="O57" s="140" t="e">
        <f t="shared" si="35"/>
        <v>#VALUE!</v>
      </c>
      <c r="P57" s="367" t="e">
        <f t="shared" si="36"/>
        <v>#VALUE!</v>
      </c>
      <c r="Q57" s="140" t="e">
        <f t="shared" si="31"/>
        <v>#VALUE!</v>
      </c>
      <c r="R57" s="368" t="e">
        <f t="shared" si="32"/>
        <v>#VALUE!</v>
      </c>
      <c r="S57" s="140">
        <f t="shared" si="37"/>
        <v>0</v>
      </c>
      <c r="T57" s="139">
        <f t="shared" si="38"/>
        <v>0</v>
      </c>
      <c r="U57" s="357"/>
      <c r="V57" s="358"/>
      <c r="W57" s="144"/>
    </row>
    <row r="58" spans="1:23" ht="15" hidden="1" customHeight="1" outlineLevel="1" thickBot="1">
      <c r="A58" s="353"/>
      <c r="B58" s="359">
        <f t="shared" si="29"/>
        <v>3.0999999999999979</v>
      </c>
      <c r="C58" s="360" t="s">
        <v>786</v>
      </c>
      <c r="D58" s="360" t="s">
        <v>782</v>
      </c>
      <c r="E58" s="360">
        <v>7</v>
      </c>
      <c r="F58" s="347" t="str">
        <f t="shared" si="33"/>
        <v>120V 1Ø</v>
      </c>
      <c r="G58" s="371" t="str">
        <f>"Fase A"&amp;": "&amp;I58</f>
        <v>Fase A: Conductor 10 AWG THHN</v>
      </c>
      <c r="H58" s="366" t="s">
        <v>181</v>
      </c>
      <c r="I58" s="366" t="s">
        <v>153</v>
      </c>
      <c r="J58" s="366">
        <f>J49</f>
        <v>5.71</v>
      </c>
      <c r="K58" s="345" t="str">
        <f>IF(OR(H58="Conductores Americanos",H58="Conductores Europeos"),"Pies","Unid.")</f>
        <v>Pies</v>
      </c>
      <c r="L58" s="28">
        <f>ROUNDUP(J58*3.28,0)</f>
        <v>19</v>
      </c>
      <c r="M58" s="140" t="str">
        <f>VLOOKUP(I58,[1]MATERIALES!$D$5:$I$1368,2,FALSE)</f>
        <v xml:space="preserve">Suplidores electricos </v>
      </c>
      <c r="N58" s="367" t="e">
        <f t="shared" si="30"/>
        <v>#VALUE!</v>
      </c>
      <c r="O58" s="140" t="e">
        <f t="shared" si="35"/>
        <v>#VALUE!</v>
      </c>
      <c r="P58" s="367" t="e">
        <f t="shared" si="36"/>
        <v>#VALUE!</v>
      </c>
      <c r="Q58" s="140" t="e">
        <f t="shared" si="31"/>
        <v>#VALUE!</v>
      </c>
      <c r="R58" s="368" t="e">
        <f t="shared" si="32"/>
        <v>#VALUE!</v>
      </c>
      <c r="S58" s="140">
        <f t="shared" si="37"/>
        <v>0</v>
      </c>
      <c r="T58" s="139">
        <f t="shared" si="38"/>
        <v>0</v>
      </c>
      <c r="U58" s="357"/>
      <c r="V58" s="358"/>
      <c r="W58" s="144"/>
    </row>
    <row r="59" spans="1:23" ht="15" hidden="1" customHeight="1" outlineLevel="1" thickBot="1">
      <c r="A59" s="353"/>
      <c r="B59" s="359">
        <f t="shared" si="29"/>
        <v>3.1099999999999977</v>
      </c>
      <c r="C59" s="360" t="s">
        <v>786</v>
      </c>
      <c r="D59" s="360" t="s">
        <v>782</v>
      </c>
      <c r="E59" s="360">
        <v>7</v>
      </c>
      <c r="F59" s="347" t="str">
        <f t="shared" si="33"/>
        <v>120V 1Ø</v>
      </c>
      <c r="G59" s="371" t="str">
        <f>IF(F59="120V 1Ø","-",("Fase B"&amp;": "&amp;I59))</f>
        <v>-</v>
      </c>
      <c r="H59" s="366" t="str">
        <f>H58</f>
        <v>Conductores Americanos</v>
      </c>
      <c r="I59" s="366" t="str">
        <f>I58</f>
        <v>Conductor 10 AWG THHN</v>
      </c>
      <c r="J59" s="366">
        <f>IF(G59="-",0,J49)</f>
        <v>0</v>
      </c>
      <c r="K59" s="345" t="str">
        <f t="shared" ref="K59:K65" si="39">IF(OR(H59="Conductores Americanos",H59="Conductores Europeos"),"Pies","Unid.")</f>
        <v>Pies</v>
      </c>
      <c r="L59" s="28">
        <f>ROUNDUP(J59*3.28,0)</f>
        <v>0</v>
      </c>
      <c r="M59" s="140" t="str">
        <f>VLOOKUP(I59,[1]MATERIALES!$D$5:$I$1368,2,FALSE)</f>
        <v xml:space="preserve">Suplidores electricos </v>
      </c>
      <c r="N59" s="367" t="e">
        <f t="shared" si="30"/>
        <v>#VALUE!</v>
      </c>
      <c r="O59" s="140" t="e">
        <f t="shared" si="35"/>
        <v>#VALUE!</v>
      </c>
      <c r="P59" s="367" t="e">
        <f t="shared" si="36"/>
        <v>#VALUE!</v>
      </c>
      <c r="Q59" s="140" t="e">
        <f t="shared" si="31"/>
        <v>#VALUE!</v>
      </c>
      <c r="R59" s="368" t="e">
        <f t="shared" si="32"/>
        <v>#VALUE!</v>
      </c>
      <c r="S59" s="140">
        <f t="shared" si="37"/>
        <v>0</v>
      </c>
      <c r="T59" s="139">
        <f t="shared" si="38"/>
        <v>0</v>
      </c>
      <c r="U59" s="357"/>
      <c r="V59" s="358"/>
      <c r="W59" s="144"/>
    </row>
    <row r="60" spans="1:23" ht="15" hidden="1" customHeight="1" outlineLevel="1" thickBot="1">
      <c r="A60" s="353"/>
      <c r="B60" s="359">
        <f t="shared" si="29"/>
        <v>3.1199999999999974</v>
      </c>
      <c r="C60" s="360" t="s">
        <v>786</v>
      </c>
      <c r="D60" s="360" t="s">
        <v>782</v>
      </c>
      <c r="E60" s="360">
        <v>7</v>
      </c>
      <c r="F60" s="347" t="str">
        <f t="shared" si="33"/>
        <v>120V 1Ø</v>
      </c>
      <c r="G60" s="371" t="str">
        <f>IF(F60="120V 1Ø","-",IF(F60="240V 1Ø","-",("Fase C"&amp;": "&amp;I58)))</f>
        <v>-</v>
      </c>
      <c r="H60" s="366" t="str">
        <f>H59</f>
        <v>Conductores Americanos</v>
      </c>
      <c r="I60" s="366" t="str">
        <f>I59</f>
        <v>Conductor 10 AWG THHN</v>
      </c>
      <c r="J60" s="366">
        <f>IF(G60="-",0,J49)</f>
        <v>0</v>
      </c>
      <c r="K60" s="345" t="str">
        <f t="shared" si="39"/>
        <v>Pies</v>
      </c>
      <c r="L60" s="28">
        <f>ROUNDUP(J60*3.28,0)</f>
        <v>0</v>
      </c>
      <c r="M60" s="140" t="str">
        <f>VLOOKUP(I60,[1]MATERIALES!$D$5:$I$1368,2,FALSE)</f>
        <v xml:space="preserve">Suplidores electricos </v>
      </c>
      <c r="N60" s="367" t="e">
        <f t="shared" si="30"/>
        <v>#VALUE!</v>
      </c>
      <c r="O60" s="140" t="e">
        <f t="shared" si="35"/>
        <v>#VALUE!</v>
      </c>
      <c r="P60" s="367" t="e">
        <f t="shared" si="36"/>
        <v>#VALUE!</v>
      </c>
      <c r="Q60" s="140" t="e">
        <f t="shared" si="31"/>
        <v>#VALUE!</v>
      </c>
      <c r="R60" s="368" t="e">
        <f t="shared" si="32"/>
        <v>#VALUE!</v>
      </c>
      <c r="S60" s="140">
        <f t="shared" si="37"/>
        <v>0</v>
      </c>
      <c r="T60" s="139">
        <f t="shared" si="38"/>
        <v>0</v>
      </c>
      <c r="U60" s="357"/>
      <c r="V60" s="358"/>
      <c r="W60" s="144"/>
    </row>
    <row r="61" spans="1:23" ht="15" hidden="1" customHeight="1" outlineLevel="1" thickBot="1">
      <c r="A61" s="353"/>
      <c r="B61" s="359">
        <f t="shared" si="29"/>
        <v>3.1299999999999972</v>
      </c>
      <c r="C61" s="360" t="s">
        <v>786</v>
      </c>
      <c r="D61" s="360" t="s">
        <v>782</v>
      </c>
      <c r="E61" s="360">
        <v>7</v>
      </c>
      <c r="F61" s="347" t="str">
        <f t="shared" si="33"/>
        <v>120V 1Ø</v>
      </c>
      <c r="G61" s="372" t="str">
        <f>IF(F61="240V 1Ø","-",IF(F61="480V 3Ø","-",("Neutro"&amp;": "&amp;I58)))</f>
        <v>Neutro: Conductor 10 AWG THHN</v>
      </c>
      <c r="H61" s="366" t="str">
        <f>H60</f>
        <v>Conductores Americanos</v>
      </c>
      <c r="I61" s="366" t="s">
        <v>153</v>
      </c>
      <c r="J61" s="366">
        <f>IF(G61="-",0,J49)</f>
        <v>5.71</v>
      </c>
      <c r="K61" s="345" t="str">
        <f t="shared" si="39"/>
        <v>Pies</v>
      </c>
      <c r="L61" s="28">
        <f>ROUNDUP(J61*3.28,0)</f>
        <v>19</v>
      </c>
      <c r="M61" s="140" t="str">
        <f>VLOOKUP(I61,[1]MATERIALES!$D$5:$I$1368,2,FALSE)</f>
        <v xml:space="preserve">Suplidores electricos </v>
      </c>
      <c r="N61" s="367" t="e">
        <f t="shared" si="30"/>
        <v>#VALUE!</v>
      </c>
      <c r="O61" s="140" t="e">
        <f t="shared" si="35"/>
        <v>#VALUE!</v>
      </c>
      <c r="P61" s="367" t="e">
        <f t="shared" si="36"/>
        <v>#VALUE!</v>
      </c>
      <c r="Q61" s="140" t="e">
        <f t="shared" si="31"/>
        <v>#VALUE!</v>
      </c>
      <c r="R61" s="368" t="e">
        <f t="shared" si="32"/>
        <v>#VALUE!</v>
      </c>
      <c r="S61" s="140">
        <f t="shared" si="37"/>
        <v>0</v>
      </c>
      <c r="T61" s="139">
        <f t="shared" si="38"/>
        <v>0</v>
      </c>
      <c r="U61" s="357"/>
      <c r="V61" s="358"/>
      <c r="W61" s="144"/>
    </row>
    <row r="62" spans="1:23" ht="15" hidden="1" customHeight="1" outlineLevel="1" thickBot="1">
      <c r="A62" s="353"/>
      <c r="B62" s="359">
        <f t="shared" si="29"/>
        <v>3.139999999999997</v>
      </c>
      <c r="C62" s="360" t="s">
        <v>786</v>
      </c>
      <c r="D62" s="360" t="s">
        <v>782</v>
      </c>
      <c r="E62" s="360">
        <v>7</v>
      </c>
      <c r="F62" s="347" t="str">
        <f t="shared" si="33"/>
        <v>120V 1Ø</v>
      </c>
      <c r="G62" s="372" t="str">
        <f>"Tierra"&amp;": "&amp;I62</f>
        <v>Tierra: Conductor 10 AWG THHN</v>
      </c>
      <c r="H62" s="366" t="str">
        <f>H61</f>
        <v>Conductores Americanos</v>
      </c>
      <c r="I62" s="366" t="s">
        <v>153</v>
      </c>
      <c r="J62" s="366">
        <f>J49</f>
        <v>5.71</v>
      </c>
      <c r="K62" s="345" t="str">
        <f t="shared" si="39"/>
        <v>Pies</v>
      </c>
      <c r="L62" s="28">
        <f>ROUNDUP(J62*3.28,0)</f>
        <v>19</v>
      </c>
      <c r="M62" s="140" t="str">
        <f>VLOOKUP(I62,[1]MATERIALES!$D$5:$I$1368,2,FALSE)</f>
        <v xml:space="preserve">Suplidores electricos </v>
      </c>
      <c r="N62" s="367" t="e">
        <f t="shared" si="30"/>
        <v>#VALUE!</v>
      </c>
      <c r="O62" s="140" t="e">
        <f t="shared" si="35"/>
        <v>#VALUE!</v>
      </c>
      <c r="P62" s="367" t="e">
        <f t="shared" si="36"/>
        <v>#VALUE!</v>
      </c>
      <c r="Q62" s="140" t="e">
        <f t="shared" si="31"/>
        <v>#VALUE!</v>
      </c>
      <c r="R62" s="368" t="e">
        <f t="shared" si="32"/>
        <v>#VALUE!</v>
      </c>
      <c r="S62" s="140">
        <f t="shared" si="37"/>
        <v>0</v>
      </c>
      <c r="T62" s="139">
        <f t="shared" si="38"/>
        <v>0</v>
      </c>
      <c r="U62" s="357"/>
      <c r="V62" s="358"/>
      <c r="W62" s="144"/>
    </row>
    <row r="63" spans="1:23" ht="15" hidden="1" customHeight="1" outlineLevel="1" thickBot="1">
      <c r="A63" s="353"/>
      <c r="B63" s="359">
        <f t="shared" si="29"/>
        <v>3.1499999999999968</v>
      </c>
      <c r="C63" s="360" t="s">
        <v>786</v>
      </c>
      <c r="D63" s="360" t="s">
        <v>782</v>
      </c>
      <c r="E63" s="360">
        <v>7</v>
      </c>
      <c r="F63" s="347" t="str">
        <f t="shared" si="33"/>
        <v>120V 1Ø</v>
      </c>
      <c r="G63" s="361" t="str" cm="1">
        <f t="array" ref="G63">IFERROR(VLOOKUP(H63&amp;"|"&amp;I63,CHOOSE({1,2},[1]MATERIALES!$B$168:$B$175&amp;"|"&amp;[1]MATERIALES!$C$168:$C$175,[1]MATERIALES!$D$168:$D$175),2,0),"-")</f>
        <v>Tomacorriente 15A Matix (AM5115D + 503SB/SA)</v>
      </c>
      <c r="H63" s="373" t="s">
        <v>382</v>
      </c>
      <c r="I63" s="373" t="s">
        <v>380</v>
      </c>
      <c r="J63" s="316"/>
      <c r="K63" s="345" t="str">
        <f t="shared" si="39"/>
        <v>Unid.</v>
      </c>
      <c r="L63" s="218">
        <v>1</v>
      </c>
      <c r="M63" s="248">
        <f>IFERROR(VLOOKUP(G63,[1]MATERIALES!$D$5:$I$1368,2,FALSE),0)</f>
        <v>0</v>
      </c>
      <c r="N63" s="367">
        <f t="shared" si="30"/>
        <v>0</v>
      </c>
      <c r="O63" s="140">
        <f t="shared" si="35"/>
        <v>0</v>
      </c>
      <c r="P63" s="367">
        <f t="shared" si="36"/>
        <v>0</v>
      </c>
      <c r="Q63" s="140">
        <f t="shared" si="31"/>
        <v>0</v>
      </c>
      <c r="R63" s="368">
        <f t="shared" si="32"/>
        <v>0</v>
      </c>
      <c r="S63" s="140">
        <f t="shared" si="37"/>
        <v>0</v>
      </c>
      <c r="T63" s="139">
        <f t="shared" si="38"/>
        <v>0</v>
      </c>
      <c r="U63" s="357"/>
      <c r="V63" s="358"/>
      <c r="W63" s="144"/>
    </row>
    <row r="64" spans="1:23" ht="15" hidden="1" customHeight="1" outlineLevel="1" thickBot="1">
      <c r="A64" s="353"/>
      <c r="B64" s="359">
        <f t="shared" si="29"/>
        <v>3.1599999999999966</v>
      </c>
      <c r="C64" s="360" t="s">
        <v>786</v>
      </c>
      <c r="D64" s="360" t="s">
        <v>782</v>
      </c>
      <c r="E64" s="360">
        <v>7</v>
      </c>
      <c r="F64" s="347" t="str">
        <f t="shared" si="33"/>
        <v>120V 1Ø</v>
      </c>
      <c r="G64" s="361" t="str" cm="1">
        <f t="array" ref="G64">IFERROR(VLOOKUP(H64&amp;"|"&amp;I64,CHOOSE({1,2},[1]MATERIALES!$B$176:$B$185&amp;"|"&amp;[1]MATERIALES!$C$176:$C$185,[1]MATERIALES!$D$176:$D$185),2,0),"-")</f>
        <v>Tapa para tomacorriente MATIX (AM503/3N)</v>
      </c>
      <c r="H64" s="366" t="str">
        <f>H63</f>
        <v>MATIX</v>
      </c>
      <c r="I64" s="373" t="s">
        <v>392</v>
      </c>
      <c r="J64" s="316"/>
      <c r="K64" s="345" t="str">
        <f t="shared" si="39"/>
        <v>Unid.</v>
      </c>
      <c r="L64" s="345">
        <f>L63</f>
        <v>1</v>
      </c>
      <c r="M64" s="248">
        <f>IFERROR(VLOOKUP(G64,[1]MATERIALES!$D$5:$I$1368,2,FALSE),0)</f>
        <v>0</v>
      </c>
      <c r="N64" s="367">
        <f t="shared" si="30"/>
        <v>0</v>
      </c>
      <c r="O64" s="140">
        <f t="shared" si="35"/>
        <v>0</v>
      </c>
      <c r="P64" s="367">
        <f t="shared" si="36"/>
        <v>0</v>
      </c>
      <c r="Q64" s="140">
        <f t="shared" si="31"/>
        <v>0</v>
      </c>
      <c r="R64" s="368">
        <f t="shared" si="32"/>
        <v>0</v>
      </c>
      <c r="S64" s="140">
        <f t="shared" si="37"/>
        <v>0</v>
      </c>
      <c r="T64" s="139">
        <f t="shared" si="38"/>
        <v>0</v>
      </c>
      <c r="U64" s="357"/>
      <c r="V64" s="358"/>
      <c r="W64" s="144"/>
    </row>
    <row r="65" spans="1:23" ht="15" hidden="1" customHeight="1" outlineLevel="1" thickBot="1">
      <c r="A65" s="353"/>
      <c r="B65" s="359">
        <f t="shared" si="29"/>
        <v>3.1699999999999964</v>
      </c>
      <c r="C65" s="360" t="s">
        <v>786</v>
      </c>
      <c r="D65" s="360" t="s">
        <v>782</v>
      </c>
      <c r="E65" s="360">
        <v>7</v>
      </c>
      <c r="F65" s="347" t="str">
        <f t="shared" si="33"/>
        <v>120V 1Ø</v>
      </c>
      <c r="G65" s="371" t="s">
        <v>422</v>
      </c>
      <c r="H65" s="316"/>
      <c r="I65" s="316"/>
      <c r="J65" s="316"/>
      <c r="K65" s="345" t="str">
        <f t="shared" si="39"/>
        <v>Unid.</v>
      </c>
      <c r="L65" s="345">
        <f>3*(L54)</f>
        <v>6</v>
      </c>
      <c r="M65" s="248">
        <f>IFERROR(VLOOKUP(G65,[1]MATERIALES!$D$5:$I$1368,2,FALSE),0)</f>
        <v>0</v>
      </c>
      <c r="N65" s="367">
        <f t="shared" si="30"/>
        <v>0</v>
      </c>
      <c r="O65" s="140">
        <f t="shared" si="35"/>
        <v>0</v>
      </c>
      <c r="P65" s="367">
        <f t="shared" si="36"/>
        <v>0</v>
      </c>
      <c r="Q65" s="140">
        <f t="shared" si="31"/>
        <v>0</v>
      </c>
      <c r="R65" s="368">
        <f t="shared" si="32"/>
        <v>0</v>
      </c>
      <c r="S65" s="140">
        <f t="shared" si="37"/>
        <v>0</v>
      </c>
      <c r="T65" s="139">
        <f t="shared" si="38"/>
        <v>0</v>
      </c>
      <c r="U65" s="357" t="e">
        <f>SUM(R65:R67)</f>
        <v>#VALUE!</v>
      </c>
      <c r="V65" s="358" t="e">
        <f>'[1]1. OFERTA'!#REF!</f>
        <v>#REF!</v>
      </c>
      <c r="W65" s="144" t="e">
        <f>U65-V65</f>
        <v>#VALUE!</v>
      </c>
    </row>
    <row r="66" spans="1:23" ht="15" hidden="1" customHeight="1" outlineLevel="1" thickBot="1">
      <c r="A66" s="353"/>
      <c r="B66" s="359">
        <f t="shared" si="29"/>
        <v>3.1799999999999962</v>
      </c>
      <c r="C66" s="360" t="s">
        <v>786</v>
      </c>
      <c r="D66" s="360" t="s">
        <v>782</v>
      </c>
      <c r="E66" s="360">
        <v>7</v>
      </c>
      <c r="F66" s="347" t="str">
        <f t="shared" si="33"/>
        <v>120V 1Ø</v>
      </c>
      <c r="G66" s="374" t="s">
        <v>424</v>
      </c>
      <c r="H66" s="316"/>
      <c r="I66" s="316"/>
      <c r="J66" s="316"/>
      <c r="K66" s="345" t="s">
        <v>784</v>
      </c>
      <c r="L66" s="28">
        <f>ROUNDUP(L53+L54+L56,0)</f>
        <v>9</v>
      </c>
      <c r="M66" s="248">
        <f>IFERROR(VLOOKUP(G66,[1]MATERIALES!$D$5:$I$1368,2,FALSE),0)</f>
        <v>0</v>
      </c>
      <c r="N66" s="367">
        <f t="shared" si="30"/>
        <v>0</v>
      </c>
      <c r="O66" s="140">
        <f t="shared" si="35"/>
        <v>0</v>
      </c>
      <c r="P66" s="367">
        <f t="shared" si="36"/>
        <v>0</v>
      </c>
      <c r="Q66" s="140">
        <f t="shared" si="31"/>
        <v>0</v>
      </c>
      <c r="R66" s="368">
        <f t="shared" si="32"/>
        <v>0</v>
      </c>
      <c r="S66" s="140">
        <f t="shared" si="37"/>
        <v>0</v>
      </c>
      <c r="T66" s="139">
        <f t="shared" si="38"/>
        <v>0</v>
      </c>
      <c r="U66" s="357"/>
      <c r="V66" s="358"/>
      <c r="W66" s="144"/>
    </row>
    <row r="67" spans="1:23" ht="15" hidden="1" customHeight="1" outlineLevel="1" thickBot="1">
      <c r="A67" s="353"/>
      <c r="B67" s="359">
        <f t="shared" si="29"/>
        <v>3.1899999999999959</v>
      </c>
      <c r="C67" s="360" t="s">
        <v>786</v>
      </c>
      <c r="D67" s="360" t="s">
        <v>782</v>
      </c>
      <c r="E67" s="360">
        <v>7</v>
      </c>
      <c r="F67" s="347" t="str">
        <f t="shared" si="33"/>
        <v>120V 1Ø</v>
      </c>
      <c r="G67" s="374" t="s">
        <v>168</v>
      </c>
      <c r="H67" s="316"/>
      <c r="I67" s="316"/>
      <c r="J67" s="316"/>
      <c r="K67" s="345" t="s">
        <v>784</v>
      </c>
      <c r="L67" s="28">
        <f>L66</f>
        <v>9</v>
      </c>
      <c r="M67" s="248" t="str">
        <f>IFERROR(VLOOKUP(G67,[1]MATERIALES!$D$5:$I$1368,2,FALSE),0)</f>
        <v xml:space="preserve">Marba Dominicana </v>
      </c>
      <c r="N67" s="367" t="e">
        <f t="shared" si="30"/>
        <v>#VALUE!</v>
      </c>
      <c r="O67" s="140" t="e">
        <f t="shared" si="35"/>
        <v>#VALUE!</v>
      </c>
      <c r="P67" s="367" t="e">
        <f t="shared" si="36"/>
        <v>#VALUE!</v>
      </c>
      <c r="Q67" s="140" t="e">
        <f t="shared" si="31"/>
        <v>#VALUE!</v>
      </c>
      <c r="R67" s="368" t="e">
        <f t="shared" si="32"/>
        <v>#VALUE!</v>
      </c>
      <c r="S67" s="140">
        <f t="shared" si="37"/>
        <v>0</v>
      </c>
      <c r="T67" s="139">
        <f t="shared" si="38"/>
        <v>0</v>
      </c>
      <c r="U67" s="357"/>
      <c r="V67" s="358"/>
      <c r="W67" s="144"/>
    </row>
    <row r="68" spans="1:23" ht="15" customHeight="1" collapsed="1" thickBot="1">
      <c r="A68" s="353"/>
      <c r="B68" s="354">
        <v>4</v>
      </c>
      <c r="C68" s="355" t="s">
        <v>787</v>
      </c>
      <c r="D68" s="269" t="s">
        <v>788</v>
      </c>
      <c r="E68" s="269">
        <v>9</v>
      </c>
      <c r="F68" s="270" t="s">
        <v>783</v>
      </c>
      <c r="G68" s="271"/>
      <c r="H68" s="272"/>
      <c r="I68" s="272"/>
      <c r="J68" s="272"/>
      <c r="K68" s="268"/>
      <c r="L68" s="268"/>
      <c r="M68" s="273"/>
      <c r="N68" s="274"/>
      <c r="O68" s="273"/>
      <c r="P68" s="274"/>
      <c r="Q68" s="273"/>
      <c r="R68" s="275"/>
      <c r="S68" s="273"/>
      <c r="T68" s="276"/>
      <c r="U68" s="357" t="e">
        <f>SUM(R69:R87)</f>
        <v>#VALUE!</v>
      </c>
      <c r="V68" s="358" t="e">
        <f>'[1]1. OFERTA'!#REF!</f>
        <v>#REF!</v>
      </c>
      <c r="W68" s="144" t="e">
        <f>U68-V68</f>
        <v>#VALUE!</v>
      </c>
    </row>
    <row r="69" spans="1:23" ht="15" hidden="1" customHeight="1" outlineLevel="1" thickBot="1">
      <c r="A69" s="353"/>
      <c r="B69" s="359">
        <f t="shared" si="29"/>
        <v>4.01</v>
      </c>
      <c r="C69" s="360" t="s">
        <v>787</v>
      </c>
      <c r="D69" s="360" t="s">
        <v>788</v>
      </c>
      <c r="E69" s="360">
        <v>9</v>
      </c>
      <c r="F69" s="347" t="s">
        <v>783</v>
      </c>
      <c r="G69" s="361" t="str">
        <f>IF(H69="PVC",VLOOKUP(I69,[1]MATERIALES!$C$5:$D$11,2,FALSE),IF(H69="EMT",VLOOKUP(I69,[1]MATERIALES!$C$40:$D$46,2,FALSE),IF(H69="IMC",VLOOKUP(I69,[1]MATERIALES!$C$82:$D$88,2,FALSE),IF(H69="LFNC",VLOOKUP(I69,[1]MATERIALES!$C$110:$D$116,2,FALSE),0))))</f>
        <v>Tubería PVC SDR-26 1/2"</v>
      </c>
      <c r="H69" s="362" t="s">
        <v>184</v>
      </c>
      <c r="I69" s="362" t="s">
        <v>216</v>
      </c>
      <c r="J69" s="362">
        <v>26.8</v>
      </c>
      <c r="K69" s="134" t="str">
        <f>IF(OR(H69="Conductores Americanos",H69="Conductores Europeos"),"Pies","Unid.")</f>
        <v>Unid.</v>
      </c>
      <c r="L69" s="363">
        <f>IF(H69="PVC",ROUNDUP(J69/6,0),IF(H69="EMT",ROUNDUP(J69/3,0),IF(H69="IMC",ROUNDUP(J69/3,0),IF(H69="LFNC",ROUNDUP(3.28*J69,0),0))))</f>
        <v>5</v>
      </c>
      <c r="M69" s="248" t="str">
        <f>IFERROR(VLOOKUP(G69,[1]MATERIALES!$D$5:$I$1368,2,FALSE),0)</f>
        <v xml:space="preserve">Suplidores electricos </v>
      </c>
      <c r="N69" s="364" t="e">
        <f t="shared" ref="N69:N87" si="40">M69/$N$2</f>
        <v>#VALUE!</v>
      </c>
      <c r="O69" s="248" t="e">
        <f>+L69*M69</f>
        <v>#VALUE!</v>
      </c>
      <c r="P69" s="364" t="e">
        <f>L69*N69</f>
        <v>#VALUE!</v>
      </c>
      <c r="Q69" s="248" t="e">
        <f t="shared" ref="Q69:Q87" si="41">+$O69+($O69*$R$2)</f>
        <v>#VALUE!</v>
      </c>
      <c r="R69" s="365" t="e">
        <f t="shared" ref="R69:R87" si="42">+$P69+($P69*$R$2)</f>
        <v>#VALUE!</v>
      </c>
      <c r="S69" s="248">
        <f>+IFERROR(Q69/L69,0)</f>
        <v>0</v>
      </c>
      <c r="T69" s="146">
        <f>+IFERROR(R69/L69,0)</f>
        <v>0</v>
      </c>
      <c r="U69" s="357"/>
      <c r="V69" s="358"/>
      <c r="W69" s="144"/>
    </row>
    <row r="70" spans="1:23" ht="15" hidden="1" customHeight="1" outlineLevel="1" thickBot="1">
      <c r="A70" s="353"/>
      <c r="B70" s="359">
        <f t="shared" si="29"/>
        <v>4.0199999999999996</v>
      </c>
      <c r="C70" s="360" t="s">
        <v>787</v>
      </c>
      <c r="D70" s="360" t="s">
        <v>788</v>
      </c>
      <c r="E70" s="360">
        <v>9</v>
      </c>
      <c r="F70" s="347" t="str">
        <f t="shared" ref="F70:F87" si="43">F69</f>
        <v>120V 1Ø</v>
      </c>
      <c r="G70" s="361" t="str">
        <f>IF(H70="PVC",VLOOKUP(I70,[1]MATERIALES!$C$12:$D$18,2,FALSE),IF(H70="EMT",VLOOKUP(I70,[1]MATERIALES!$C$47:$D$53,2,FALSE),IF(H70="IMC",VLOOKUP(I70,[1]MATERIALES!$C$89:$D$96,2,FALSE),"-")))</f>
        <v>Coupling PVC 1/2"</v>
      </c>
      <c r="H70" s="366" t="str">
        <f>H69</f>
        <v>PVC</v>
      </c>
      <c r="I70" s="366" t="str">
        <f>I69</f>
        <v>13mm</v>
      </c>
      <c r="J70" s="316"/>
      <c r="K70" s="345" t="str">
        <f t="shared" ref="K70:K77" si="44">IF(OR(H70="Conductores Americanos",H70="Conductores Europeos"),"Pies","Unid.")</f>
        <v>Unid.</v>
      </c>
      <c r="L70" s="28">
        <f>IF(H70="LFNC",0,L69)</f>
        <v>5</v>
      </c>
      <c r="M70" s="140" t="str">
        <f>IF(H70="LFNC",0,VLOOKUP(G70,[1]MATERIALES!$D$5:$I$1368,2,FALSE))</f>
        <v xml:space="preserve">Suplidores electricos </v>
      </c>
      <c r="N70" s="367" t="e">
        <f t="shared" si="40"/>
        <v>#VALUE!</v>
      </c>
      <c r="O70" s="140" t="e">
        <f t="shared" ref="O70:O87" si="45">+L70*M70</f>
        <v>#VALUE!</v>
      </c>
      <c r="P70" s="367" t="e">
        <f t="shared" ref="P70:P87" si="46">L70*N70</f>
        <v>#VALUE!</v>
      </c>
      <c r="Q70" s="140" t="e">
        <f t="shared" si="41"/>
        <v>#VALUE!</v>
      </c>
      <c r="R70" s="368" t="e">
        <f t="shared" si="42"/>
        <v>#VALUE!</v>
      </c>
      <c r="S70" s="140">
        <f t="shared" ref="S70:S87" si="47">+IFERROR(Q70/L70,0)</f>
        <v>0</v>
      </c>
      <c r="T70" s="139">
        <f t="shared" ref="T70:T87" si="48">+IFERROR(R70/L70,0)</f>
        <v>0</v>
      </c>
      <c r="U70" s="357"/>
      <c r="V70" s="358"/>
      <c r="W70" s="144"/>
    </row>
    <row r="71" spans="1:23" ht="15" hidden="1" customHeight="1" outlineLevel="1" thickBot="1">
      <c r="A71" s="353"/>
      <c r="B71" s="359">
        <f t="shared" si="29"/>
        <v>4.0299999999999994</v>
      </c>
      <c r="C71" s="360" t="s">
        <v>787</v>
      </c>
      <c r="D71" s="360" t="s">
        <v>788</v>
      </c>
      <c r="E71" s="360">
        <v>9</v>
      </c>
      <c r="F71" s="347" t="str">
        <f t="shared" si="43"/>
        <v>120V 1Ø</v>
      </c>
      <c r="G71" s="361" t="str">
        <f>IF(H71="PVC",VLOOKUP(I71,[1]MATERIALES!$C$19:$D$25,2,FALSE),IF(H71="EMT",VLOOKUP(I71,[1]MATERIALES!$C$54:$D$60,2,FALSE),IF(H71="IMC",VLOOKUP(I71,[1]MATERIALES!$C$96:$D$102,2,FALSE),IF(H71="LFNC",VLOOKUP(I71,[1]MATERIALES!$C$117:$D$123,2,FALSE),0))))</f>
        <v>Adaptador Macho PVC 1/2"</v>
      </c>
      <c r="H71" s="366" t="str">
        <f>H69</f>
        <v>PVC</v>
      </c>
      <c r="I71" s="366" t="str">
        <f>I69</f>
        <v>13mm</v>
      </c>
      <c r="J71" s="316"/>
      <c r="K71" s="345" t="str">
        <f t="shared" si="44"/>
        <v>Unid.</v>
      </c>
      <c r="L71" s="28">
        <f>1+L74*2+L76</f>
        <v>18</v>
      </c>
      <c r="M71" s="248" t="str">
        <f>IFERROR(VLOOKUP(G71,[1]MATERIALES!$D$5:$I$1368,2,FALSE),0)</f>
        <v xml:space="preserve">Suplidores electricos </v>
      </c>
      <c r="N71" s="367" t="e">
        <f t="shared" si="40"/>
        <v>#VALUE!</v>
      </c>
      <c r="O71" s="140" t="e">
        <f t="shared" si="45"/>
        <v>#VALUE!</v>
      </c>
      <c r="P71" s="367" t="e">
        <f t="shared" si="46"/>
        <v>#VALUE!</v>
      </c>
      <c r="Q71" s="140" t="e">
        <f t="shared" si="41"/>
        <v>#VALUE!</v>
      </c>
      <c r="R71" s="368" t="e">
        <f t="shared" si="42"/>
        <v>#VALUE!</v>
      </c>
      <c r="S71" s="140">
        <f t="shared" si="47"/>
        <v>0</v>
      </c>
      <c r="T71" s="139">
        <f t="shared" si="48"/>
        <v>0</v>
      </c>
      <c r="U71" s="357"/>
      <c r="V71" s="358"/>
      <c r="W71" s="144"/>
    </row>
    <row r="72" spans="1:23" ht="15" hidden="1" customHeight="1" outlineLevel="1" thickBot="1">
      <c r="A72" s="353"/>
      <c r="B72" s="359">
        <f t="shared" si="29"/>
        <v>4.0399999999999991</v>
      </c>
      <c r="C72" s="360" t="s">
        <v>787</v>
      </c>
      <c r="D72" s="360" t="s">
        <v>788</v>
      </c>
      <c r="E72" s="360">
        <v>9</v>
      </c>
      <c r="F72" s="347" t="str">
        <f t="shared" si="43"/>
        <v>120V 1Ø</v>
      </c>
      <c r="G72" s="361" t="str">
        <f>IF(H72="PVC",VLOOKUP(I72,[1]MATERIALES!$C$33:$D$39,2,FALSE),IF(H72="EMT",VLOOKUP(I72,[1]MATERIALES!$C$61:$D$67,2,FALSE),IF(H72="IMC",VLOOKUP(I72,[1]MATERIALES!$C$103:$D$109,2,FALSE),"-")))</f>
        <v>Curva 90 PVC SDR 1/2"</v>
      </c>
      <c r="H72" s="366" t="str">
        <f>H69</f>
        <v>PVC</v>
      </c>
      <c r="I72" s="366" t="str">
        <f>I69</f>
        <v>13mm</v>
      </c>
      <c r="J72" s="316"/>
      <c r="K72" s="345" t="str">
        <f t="shared" si="44"/>
        <v>Unid.</v>
      </c>
      <c r="L72" s="28">
        <f>IF(H72="LFNC",0,(1+L83))</f>
        <v>6</v>
      </c>
      <c r="M72" s="140" t="str">
        <f>IF(H72="LFNC",0,VLOOKUP(G72,[1]MATERIALES!$D$5:$I$1368,2,FALSE))</f>
        <v xml:space="preserve">Suplidores electricos </v>
      </c>
      <c r="N72" s="367" t="e">
        <f t="shared" si="40"/>
        <v>#VALUE!</v>
      </c>
      <c r="O72" s="140" t="e">
        <f t="shared" si="45"/>
        <v>#VALUE!</v>
      </c>
      <c r="P72" s="367" t="e">
        <f t="shared" si="46"/>
        <v>#VALUE!</v>
      </c>
      <c r="Q72" s="140" t="e">
        <f t="shared" si="41"/>
        <v>#VALUE!</v>
      </c>
      <c r="R72" s="368" t="e">
        <f t="shared" si="42"/>
        <v>#VALUE!</v>
      </c>
      <c r="S72" s="140">
        <f t="shared" si="47"/>
        <v>0</v>
      </c>
      <c r="T72" s="139">
        <f t="shared" si="48"/>
        <v>0</v>
      </c>
      <c r="U72" s="357"/>
      <c r="V72" s="358"/>
      <c r="W72" s="144"/>
    </row>
    <row r="73" spans="1:23" ht="15" hidden="1" customHeight="1" outlineLevel="1" thickBot="1">
      <c r="A73" s="353"/>
      <c r="B73" s="359">
        <f t="shared" si="29"/>
        <v>4.0499999999999989</v>
      </c>
      <c r="C73" s="360" t="s">
        <v>787</v>
      </c>
      <c r="D73" s="360" t="s">
        <v>788</v>
      </c>
      <c r="E73" s="360">
        <v>9</v>
      </c>
      <c r="F73" s="347" t="str">
        <f t="shared" si="43"/>
        <v>120V 1Ø</v>
      </c>
      <c r="G73" s="361" t="str">
        <f>VLOOKUP(I73,[1]MATERIALES!$C$68:$D$74,2,FALSE)</f>
        <v>Abrazadera EMT 1/2'' </v>
      </c>
      <c r="H73" s="316"/>
      <c r="I73" s="366" t="str">
        <f>I69</f>
        <v>13mm</v>
      </c>
      <c r="J73" s="316"/>
      <c r="K73" s="345" t="str">
        <f t="shared" si="44"/>
        <v>Unid.</v>
      </c>
      <c r="L73" s="28">
        <f>ROUNDUP(J69,0)</f>
        <v>27</v>
      </c>
      <c r="M73" s="248" t="str">
        <f>IFERROR(VLOOKUP(G73,[1]MATERIALES!$D$5:$I$1368,2,FALSE),0)</f>
        <v xml:space="preserve">Suplidores electricos </v>
      </c>
      <c r="N73" s="367" t="e">
        <f t="shared" si="40"/>
        <v>#VALUE!</v>
      </c>
      <c r="O73" s="140" t="e">
        <f t="shared" si="45"/>
        <v>#VALUE!</v>
      </c>
      <c r="P73" s="367" t="e">
        <f t="shared" si="46"/>
        <v>#VALUE!</v>
      </c>
      <c r="Q73" s="140" t="e">
        <f t="shared" si="41"/>
        <v>#VALUE!</v>
      </c>
      <c r="R73" s="368" t="e">
        <f t="shared" si="42"/>
        <v>#VALUE!</v>
      </c>
      <c r="S73" s="140">
        <f t="shared" si="47"/>
        <v>0</v>
      </c>
      <c r="T73" s="139">
        <f t="shared" si="48"/>
        <v>0</v>
      </c>
      <c r="U73" s="357"/>
      <c r="V73" s="358"/>
      <c r="W73" s="144"/>
    </row>
    <row r="74" spans="1:23" ht="15" hidden="1" customHeight="1" outlineLevel="1" thickBot="1">
      <c r="A74" s="353"/>
      <c r="B74" s="359">
        <f t="shared" si="29"/>
        <v>4.0599999999999987</v>
      </c>
      <c r="C74" s="360" t="s">
        <v>787</v>
      </c>
      <c r="D74" s="360" t="s">
        <v>788</v>
      </c>
      <c r="E74" s="360">
        <v>9</v>
      </c>
      <c r="F74" s="347" t="str">
        <f t="shared" si="43"/>
        <v>120V 1Ø</v>
      </c>
      <c r="G74" s="361" t="str" cm="1">
        <f t="array" ref="G74">_xlfn.SWITCH(I74,"13mm",(IF(H74="Rectangular",VLOOKUP(I74,[1]MATERIALES!$C$124:$D$125,2,FALSE),IF(H74="Octagonal",VLOOKUP(I74,[1]MATERIALES!$C$126:$D$127,2,FALSE),IF(H74="WP",VLOOKUP(I74,[1]MATERIALES!$C$128:$D$129,2,FALSE),IF(H74="5x5",VLOOKUP(I74,[1]MATERIALES!$C$130:$D$132,2,FALSE)))))),"19mm",(IF(H74="Rectangular",VLOOKUP(I74,[1]MATERIALES!$C$124:$D$125,2,FALSE),IF(H74="Octagonal",VLOOKUP(I74,[1]MATERIALES!$C$126:$D$127,2,FALSE),IF(H74="WP",VLOOKUP(I74,[1]MATERIALES!$C$128:$D$129,2,FALSE),IF(H74="5x5",VLOOKUP(I74,[1]MATERIALES!$C$130:$D$132,2,FALSE)))))),"25mm",IF(H74="Rectangular","-",IF(H74="Octagonal","--",IF(H74="WP","---",IF(H74="5x5",VLOOKUP(I74,[1]MATERIALES!$C$130:$D$132,2,FALSE),0)))),"38mm","-","50mm","-","75mm","-","100mm","-")</f>
        <v>Caja EMT 2x4 1/2" USA UL</v>
      </c>
      <c r="H74" s="369" t="s">
        <v>188</v>
      </c>
      <c r="I74" s="366" t="str">
        <f>I69</f>
        <v>13mm</v>
      </c>
      <c r="J74" s="316"/>
      <c r="K74" s="345" t="str">
        <f t="shared" si="44"/>
        <v>Unid.</v>
      </c>
      <c r="L74" s="28">
        <f>1+L83</f>
        <v>6</v>
      </c>
      <c r="M74" s="248" t="str">
        <f>IFERROR(VLOOKUP(G74,[1]MATERIALES!$D$5:$I$1368,2,FALSE),0)</f>
        <v xml:space="preserve">Suplidores electricos </v>
      </c>
      <c r="N74" s="367" t="e">
        <f t="shared" si="40"/>
        <v>#VALUE!</v>
      </c>
      <c r="O74" s="140" t="e">
        <f t="shared" si="45"/>
        <v>#VALUE!</v>
      </c>
      <c r="P74" s="367" t="e">
        <f t="shared" si="46"/>
        <v>#VALUE!</v>
      </c>
      <c r="Q74" s="140" t="e">
        <f t="shared" si="41"/>
        <v>#VALUE!</v>
      </c>
      <c r="R74" s="368" t="e">
        <f t="shared" si="42"/>
        <v>#VALUE!</v>
      </c>
      <c r="S74" s="140">
        <f t="shared" si="47"/>
        <v>0</v>
      </c>
      <c r="T74" s="139">
        <f t="shared" si="48"/>
        <v>0</v>
      </c>
      <c r="U74" s="357"/>
      <c r="V74" s="358"/>
      <c r="W74" s="144"/>
    </row>
    <row r="75" spans="1:23" ht="15" hidden="1" customHeight="1" outlineLevel="1" thickBot="1">
      <c r="A75" s="353"/>
      <c r="B75" s="359">
        <f t="shared" si="29"/>
        <v>4.0699999999999985</v>
      </c>
      <c r="C75" s="360" t="s">
        <v>787</v>
      </c>
      <c r="D75" s="360" t="s">
        <v>788</v>
      </c>
      <c r="E75" s="360">
        <v>9</v>
      </c>
      <c r="F75" s="347" t="str">
        <f t="shared" si="43"/>
        <v>120V 1Ø</v>
      </c>
      <c r="G75" s="370" t="str">
        <f>IF(H75="Rectangular",[1]MATERIALES!$D$133,IF(H74="Octagonal",[1]MATERIALES!$D$134,IF(H74="WP",[1]MATERIALES!$D$135,IF(H74="5x5",[1]MATERIALES!$D$136,0))))</f>
        <v>CAJA REG. 12X12X4 N3R</v>
      </c>
      <c r="H75" s="369" t="str">
        <f>H74</f>
        <v>Rectangular</v>
      </c>
      <c r="I75" s="366" t="str">
        <f>I69</f>
        <v>13mm</v>
      </c>
      <c r="J75" s="316"/>
      <c r="K75" s="345" t="str">
        <f t="shared" si="44"/>
        <v>Unid.</v>
      </c>
      <c r="L75" s="28">
        <f>L74</f>
        <v>6</v>
      </c>
      <c r="M75" s="248" t="str">
        <f>IFERROR(VLOOKUP(G75,[1]MATERIALES!$D$5:$I$1368,2,FALSE),0)</f>
        <v xml:space="preserve">Suplidores electricos </v>
      </c>
      <c r="N75" s="367" t="e">
        <f t="shared" si="40"/>
        <v>#VALUE!</v>
      </c>
      <c r="O75" s="140" t="e">
        <f t="shared" si="45"/>
        <v>#VALUE!</v>
      </c>
      <c r="P75" s="367" t="e">
        <f t="shared" si="46"/>
        <v>#VALUE!</v>
      </c>
      <c r="Q75" s="140" t="e">
        <f t="shared" si="41"/>
        <v>#VALUE!</v>
      </c>
      <c r="R75" s="368" t="e">
        <f t="shared" si="42"/>
        <v>#VALUE!</v>
      </c>
      <c r="S75" s="140">
        <f t="shared" si="47"/>
        <v>0</v>
      </c>
      <c r="T75" s="139">
        <f t="shared" si="48"/>
        <v>0</v>
      </c>
      <c r="U75" s="357"/>
      <c r="V75" s="358"/>
      <c r="W75" s="144"/>
    </row>
    <row r="76" spans="1:23" ht="15" hidden="1" customHeight="1" outlineLevel="1" thickBot="1">
      <c r="A76" s="353"/>
      <c r="B76" s="359">
        <f t="shared" si="29"/>
        <v>4.0799999999999983</v>
      </c>
      <c r="C76" s="360" t="s">
        <v>787</v>
      </c>
      <c r="D76" s="360" t="s">
        <v>788</v>
      </c>
      <c r="E76" s="360">
        <v>9</v>
      </c>
      <c r="F76" s="347" t="str">
        <f t="shared" si="43"/>
        <v>120V 1Ø</v>
      </c>
      <c r="G76" s="361" t="str" cm="1">
        <f t="array" ref="G76">_xlfn.SWITCH(I76,"13mm",(IF(H76="Rectangular",VLOOKUP(I76,[1]MATERIALES!$C$124:$D$125,2,FALSE),IF(H76="Octagonal",VLOOKUP(I76,[1]MATERIALES!$C$126:$D$127,2,FALSE),IF(H76="WP",VLOOKUP(I76,[1]MATERIALES!$C$128:$D$129,2,FALSE),IF(H76="5x5",VLOOKUP(I76,[1]MATERIALES!$C$130:$D$132,2,FALSE)))))),"19mm",(IF(H76="Rectangular",VLOOKUP(I76,[1]MATERIALES!$C$124:$D$125,2,FALSE),IF(H76="Octagonal",VLOOKUP(I76,[1]MATERIALES!$C$126:$D$127,2,FALSE),IF(H76="WP",VLOOKUP(I76,[1]MATERIALES!$C$128:$D$129,2,FALSE),IF(H76="5x5",VLOOKUP(I76,[1]MATERIALES!$C$130:$D$132,2,FALSE)))))),"25mm",IF(H76="Rectangular","-",IF(H76="Octagonal","--",IF(H76="WP","---",IF(H76="5x5",VLOOKUP(I76,[1]MATERIALES!$C$130:$D$132,2,FALSE),0)))),"38mm","-","50mm","-","75mm","-","100mm","-")</f>
        <v>Caja EMT 2x4 1/2" USA UL</v>
      </c>
      <c r="H76" s="369" t="s">
        <v>188</v>
      </c>
      <c r="I76" s="366" t="str">
        <f>I71</f>
        <v>13mm</v>
      </c>
      <c r="J76" s="316"/>
      <c r="K76" s="345" t="str">
        <f t="shared" si="44"/>
        <v>Unid.</v>
      </c>
      <c r="L76" s="28">
        <f>L83</f>
        <v>5</v>
      </c>
      <c r="M76" s="248" t="str">
        <f>IFERROR(VLOOKUP(G76,[1]MATERIALES!$D$5:$I$1368,2,FALSE),0)</f>
        <v xml:space="preserve">Suplidores electricos </v>
      </c>
      <c r="N76" s="367" t="e">
        <f t="shared" si="40"/>
        <v>#VALUE!</v>
      </c>
      <c r="O76" s="140" t="e">
        <f t="shared" si="45"/>
        <v>#VALUE!</v>
      </c>
      <c r="P76" s="367" t="e">
        <f t="shared" si="46"/>
        <v>#VALUE!</v>
      </c>
      <c r="Q76" s="140" t="e">
        <f t="shared" si="41"/>
        <v>#VALUE!</v>
      </c>
      <c r="R76" s="368" t="e">
        <f t="shared" si="42"/>
        <v>#VALUE!</v>
      </c>
      <c r="S76" s="140">
        <f t="shared" si="47"/>
        <v>0</v>
      </c>
      <c r="T76" s="139">
        <f t="shared" si="48"/>
        <v>0</v>
      </c>
      <c r="U76" s="357"/>
      <c r="V76" s="358"/>
      <c r="W76" s="144"/>
    </row>
    <row r="77" spans="1:23" ht="15" hidden="1" customHeight="1" outlineLevel="1" thickBot="1">
      <c r="A77" s="353"/>
      <c r="B77" s="359">
        <f t="shared" si="29"/>
        <v>4.0899999999999981</v>
      </c>
      <c r="C77" s="360" t="s">
        <v>787</v>
      </c>
      <c r="D77" s="360" t="s">
        <v>788</v>
      </c>
      <c r="E77" s="360">
        <v>9</v>
      </c>
      <c r="F77" s="347" t="str">
        <f t="shared" si="43"/>
        <v>120V 1Ø</v>
      </c>
      <c r="G77" s="370" t="str">
        <f>IF(H77="Rectangular",[1]MATERIALES!$D$133,IF(H76="Octagonal",[1]MATERIALES!$D$134,IF(H76="WP",[1]MATERIALES!#REF!,IF(H76="5x5",[1]MATERIALES!$D$136,0))))</f>
        <v>CAJA REG. 12X12X4 N3R</v>
      </c>
      <c r="H77" s="369" t="str">
        <f>H76</f>
        <v>Rectangular</v>
      </c>
      <c r="I77" s="366" t="str">
        <f>I71</f>
        <v>13mm</v>
      </c>
      <c r="J77" s="316"/>
      <c r="K77" s="345" t="str">
        <f t="shared" si="44"/>
        <v>Unid.</v>
      </c>
      <c r="L77" s="28">
        <f>L76</f>
        <v>5</v>
      </c>
      <c r="M77" s="248" t="str">
        <f>IFERROR(VLOOKUP(G77,[1]MATERIALES!$D$5:$I$1368,2,FALSE),0)</f>
        <v xml:space="preserve">Suplidores electricos </v>
      </c>
      <c r="N77" s="367" t="e">
        <f t="shared" si="40"/>
        <v>#VALUE!</v>
      </c>
      <c r="O77" s="140" t="e">
        <f t="shared" si="45"/>
        <v>#VALUE!</v>
      </c>
      <c r="P77" s="367" t="e">
        <f t="shared" si="46"/>
        <v>#VALUE!</v>
      </c>
      <c r="Q77" s="140" t="e">
        <f t="shared" si="41"/>
        <v>#VALUE!</v>
      </c>
      <c r="R77" s="368" t="e">
        <f t="shared" si="42"/>
        <v>#VALUE!</v>
      </c>
      <c r="S77" s="140">
        <f t="shared" si="47"/>
        <v>0</v>
      </c>
      <c r="T77" s="139">
        <f t="shared" si="48"/>
        <v>0</v>
      </c>
      <c r="U77" s="357"/>
      <c r="V77" s="358"/>
      <c r="W77" s="144"/>
    </row>
    <row r="78" spans="1:23" ht="15" hidden="1" customHeight="1" outlineLevel="1" thickBot="1">
      <c r="A78" s="353"/>
      <c r="B78" s="359">
        <f t="shared" si="29"/>
        <v>4.0999999999999979</v>
      </c>
      <c r="C78" s="360" t="s">
        <v>787</v>
      </c>
      <c r="D78" s="360" t="s">
        <v>788</v>
      </c>
      <c r="E78" s="360">
        <v>9</v>
      </c>
      <c r="F78" s="347" t="str">
        <f t="shared" si="43"/>
        <v>120V 1Ø</v>
      </c>
      <c r="G78" s="371" t="str">
        <f>"Fase A"&amp;": "&amp;I78</f>
        <v>Fase A: Conductor 12 AWG THHN</v>
      </c>
      <c r="H78" s="366" t="s">
        <v>181</v>
      </c>
      <c r="I78" s="366" t="s">
        <v>189</v>
      </c>
      <c r="J78" s="366">
        <f>J69</f>
        <v>26.8</v>
      </c>
      <c r="K78" s="345" t="str">
        <f>IF(OR(H78="Conductores Americanos",H78="Conductores Europeos"),"Pies","Unid.")</f>
        <v>Pies</v>
      </c>
      <c r="L78" s="28">
        <f>ROUNDUP(J78*3.28,0)</f>
        <v>88</v>
      </c>
      <c r="M78" s="140" t="str">
        <f>VLOOKUP(I78,[1]MATERIALES!$D$5:$I$1368,2,FALSE)</f>
        <v xml:space="preserve">Suplidores electricos </v>
      </c>
      <c r="N78" s="367" t="e">
        <f t="shared" si="40"/>
        <v>#VALUE!</v>
      </c>
      <c r="O78" s="140" t="e">
        <f t="shared" si="45"/>
        <v>#VALUE!</v>
      </c>
      <c r="P78" s="367" t="e">
        <f t="shared" si="46"/>
        <v>#VALUE!</v>
      </c>
      <c r="Q78" s="140" t="e">
        <f t="shared" si="41"/>
        <v>#VALUE!</v>
      </c>
      <c r="R78" s="368" t="e">
        <f t="shared" si="42"/>
        <v>#VALUE!</v>
      </c>
      <c r="S78" s="140">
        <f t="shared" si="47"/>
        <v>0</v>
      </c>
      <c r="T78" s="139">
        <f t="shared" si="48"/>
        <v>0</v>
      </c>
      <c r="U78" s="357"/>
      <c r="V78" s="358"/>
      <c r="W78" s="144"/>
    </row>
    <row r="79" spans="1:23" ht="15" hidden="1" customHeight="1" outlineLevel="1" thickBot="1">
      <c r="A79" s="353"/>
      <c r="B79" s="359">
        <f t="shared" si="29"/>
        <v>4.1099999999999977</v>
      </c>
      <c r="C79" s="360" t="s">
        <v>787</v>
      </c>
      <c r="D79" s="360" t="s">
        <v>788</v>
      </c>
      <c r="E79" s="360">
        <v>9</v>
      </c>
      <c r="F79" s="347" t="str">
        <f t="shared" si="43"/>
        <v>120V 1Ø</v>
      </c>
      <c r="G79" s="371" t="str">
        <f>IF(F79="120V 1Ø","-",("Fase B"&amp;": "&amp;I79))</f>
        <v>-</v>
      </c>
      <c r="H79" s="366" t="str">
        <f t="shared" ref="H79:I81" si="49">H78</f>
        <v>Conductores Americanos</v>
      </c>
      <c r="I79" s="366" t="str">
        <f t="shared" si="49"/>
        <v>Conductor 12 AWG THHN</v>
      </c>
      <c r="J79" s="366">
        <f>IF(G79="-",0,J69)</f>
        <v>0</v>
      </c>
      <c r="K79" s="345" t="str">
        <f t="shared" ref="K79:K85" si="50">IF(OR(H79="Conductores Americanos",H79="Conductores Europeos"),"Pies","Unid.")</f>
        <v>Pies</v>
      </c>
      <c r="L79" s="28">
        <f>ROUNDUP(J79*3.28,0)</f>
        <v>0</v>
      </c>
      <c r="M79" s="140" t="str">
        <f>VLOOKUP(I79,[1]MATERIALES!$D$5:$I$1368,2,FALSE)</f>
        <v xml:space="preserve">Suplidores electricos </v>
      </c>
      <c r="N79" s="367" t="e">
        <f t="shared" si="40"/>
        <v>#VALUE!</v>
      </c>
      <c r="O79" s="140" t="e">
        <f t="shared" si="45"/>
        <v>#VALUE!</v>
      </c>
      <c r="P79" s="367" t="e">
        <f t="shared" si="46"/>
        <v>#VALUE!</v>
      </c>
      <c r="Q79" s="140" t="e">
        <f t="shared" si="41"/>
        <v>#VALUE!</v>
      </c>
      <c r="R79" s="368" t="e">
        <f t="shared" si="42"/>
        <v>#VALUE!</v>
      </c>
      <c r="S79" s="140">
        <f t="shared" si="47"/>
        <v>0</v>
      </c>
      <c r="T79" s="139">
        <f t="shared" si="48"/>
        <v>0</v>
      </c>
      <c r="U79" s="357"/>
      <c r="V79" s="358"/>
      <c r="W79" s="144"/>
    </row>
    <row r="80" spans="1:23" ht="15" hidden="1" customHeight="1" outlineLevel="1" thickBot="1">
      <c r="A80" s="353"/>
      <c r="B80" s="359">
        <f t="shared" si="29"/>
        <v>4.1199999999999974</v>
      </c>
      <c r="C80" s="360" t="s">
        <v>787</v>
      </c>
      <c r="D80" s="360" t="s">
        <v>788</v>
      </c>
      <c r="E80" s="360">
        <v>9</v>
      </c>
      <c r="F80" s="347" t="str">
        <f t="shared" si="43"/>
        <v>120V 1Ø</v>
      </c>
      <c r="G80" s="371" t="str">
        <f>IF(F80="120V 1Ø","-",IF(F80="240V 1Ø","-",("Fase C"&amp;": "&amp;I78)))</f>
        <v>-</v>
      </c>
      <c r="H80" s="366" t="str">
        <f t="shared" si="49"/>
        <v>Conductores Americanos</v>
      </c>
      <c r="I80" s="366" t="str">
        <f t="shared" si="49"/>
        <v>Conductor 12 AWG THHN</v>
      </c>
      <c r="J80" s="366">
        <f>IF(G80="-",0,J69)</f>
        <v>0</v>
      </c>
      <c r="K80" s="345" t="str">
        <f t="shared" si="50"/>
        <v>Pies</v>
      </c>
      <c r="L80" s="28">
        <f>ROUNDUP(J80*3.28,0)</f>
        <v>0</v>
      </c>
      <c r="M80" s="140" t="str">
        <f>VLOOKUP(I80,[1]MATERIALES!$D$5:$I$1368,2,FALSE)</f>
        <v xml:space="preserve">Suplidores electricos </v>
      </c>
      <c r="N80" s="367" t="e">
        <f t="shared" si="40"/>
        <v>#VALUE!</v>
      </c>
      <c r="O80" s="140" t="e">
        <f t="shared" si="45"/>
        <v>#VALUE!</v>
      </c>
      <c r="P80" s="367" t="e">
        <f t="shared" si="46"/>
        <v>#VALUE!</v>
      </c>
      <c r="Q80" s="140" t="e">
        <f t="shared" si="41"/>
        <v>#VALUE!</v>
      </c>
      <c r="R80" s="368" t="e">
        <f t="shared" si="42"/>
        <v>#VALUE!</v>
      </c>
      <c r="S80" s="140">
        <f t="shared" si="47"/>
        <v>0</v>
      </c>
      <c r="T80" s="139">
        <f t="shared" si="48"/>
        <v>0</v>
      </c>
      <c r="U80" s="357"/>
      <c r="V80" s="358"/>
      <c r="W80" s="144"/>
    </row>
    <row r="81" spans="1:23" ht="15" hidden="1" customHeight="1" outlineLevel="1" thickBot="1">
      <c r="A81" s="353"/>
      <c r="B81" s="359">
        <f t="shared" si="29"/>
        <v>4.1299999999999972</v>
      </c>
      <c r="C81" s="360" t="s">
        <v>787</v>
      </c>
      <c r="D81" s="360" t="s">
        <v>788</v>
      </c>
      <c r="E81" s="360">
        <v>9</v>
      </c>
      <c r="F81" s="347" t="str">
        <f t="shared" si="43"/>
        <v>120V 1Ø</v>
      </c>
      <c r="G81" s="372" t="str">
        <f>IF(F81="240V 1Ø","-",IF(F81="480V 3Ø","-",("Neutro"&amp;": "&amp;I78)))</f>
        <v>Neutro: Conductor 12 AWG THHN</v>
      </c>
      <c r="H81" s="366" t="str">
        <f t="shared" si="49"/>
        <v>Conductores Americanos</v>
      </c>
      <c r="I81" s="366" t="str">
        <f t="shared" si="49"/>
        <v>Conductor 12 AWG THHN</v>
      </c>
      <c r="J81" s="366">
        <f>IF(G81="-",0,J69)</f>
        <v>26.8</v>
      </c>
      <c r="K81" s="345" t="str">
        <f t="shared" si="50"/>
        <v>Pies</v>
      </c>
      <c r="L81" s="28">
        <f>ROUNDUP(J81*3.28,0)</f>
        <v>88</v>
      </c>
      <c r="M81" s="140" t="str">
        <f>VLOOKUP(I81,[1]MATERIALES!$D$5:$I$1368,2,FALSE)</f>
        <v xml:space="preserve">Suplidores electricos </v>
      </c>
      <c r="N81" s="367" t="e">
        <f t="shared" si="40"/>
        <v>#VALUE!</v>
      </c>
      <c r="O81" s="140" t="e">
        <f t="shared" si="45"/>
        <v>#VALUE!</v>
      </c>
      <c r="P81" s="367" t="e">
        <f t="shared" si="46"/>
        <v>#VALUE!</v>
      </c>
      <c r="Q81" s="140" t="e">
        <f t="shared" si="41"/>
        <v>#VALUE!</v>
      </c>
      <c r="R81" s="368" t="e">
        <f t="shared" si="42"/>
        <v>#VALUE!</v>
      </c>
      <c r="S81" s="140">
        <f t="shared" si="47"/>
        <v>0</v>
      </c>
      <c r="T81" s="139">
        <f t="shared" si="48"/>
        <v>0</v>
      </c>
      <c r="U81" s="357"/>
      <c r="V81" s="358"/>
      <c r="W81" s="144"/>
    </row>
    <row r="82" spans="1:23" ht="15" hidden="1" customHeight="1" outlineLevel="1" thickBot="1">
      <c r="A82" s="353"/>
      <c r="B82" s="359">
        <f t="shared" si="29"/>
        <v>4.139999999999997</v>
      </c>
      <c r="C82" s="360" t="s">
        <v>787</v>
      </c>
      <c r="D82" s="360" t="s">
        <v>788</v>
      </c>
      <c r="E82" s="360">
        <v>9</v>
      </c>
      <c r="F82" s="347" t="str">
        <f t="shared" si="43"/>
        <v>120V 1Ø</v>
      </c>
      <c r="G82" s="372" t="str">
        <f>"Tierra"&amp;": "&amp;I82</f>
        <v>Tierra: Conductor 12 AWG THHN</v>
      </c>
      <c r="H82" s="366" t="str">
        <f>H81</f>
        <v>Conductores Americanos</v>
      </c>
      <c r="I82" s="366" t="s">
        <v>189</v>
      </c>
      <c r="J82" s="366">
        <f>J69</f>
        <v>26.8</v>
      </c>
      <c r="K82" s="345" t="str">
        <f t="shared" si="50"/>
        <v>Pies</v>
      </c>
      <c r="L82" s="28">
        <f>ROUNDUP(J82*3.28,0)</f>
        <v>88</v>
      </c>
      <c r="M82" s="140" t="str">
        <f>VLOOKUP(I82,[1]MATERIALES!$D$5:$I$1368,2,FALSE)</f>
        <v xml:space="preserve">Suplidores electricos </v>
      </c>
      <c r="N82" s="367" t="e">
        <f t="shared" si="40"/>
        <v>#VALUE!</v>
      </c>
      <c r="O82" s="140" t="e">
        <f t="shared" si="45"/>
        <v>#VALUE!</v>
      </c>
      <c r="P82" s="367" t="e">
        <f t="shared" si="46"/>
        <v>#VALUE!</v>
      </c>
      <c r="Q82" s="140" t="e">
        <f t="shared" si="41"/>
        <v>#VALUE!</v>
      </c>
      <c r="R82" s="368" t="e">
        <f t="shared" si="42"/>
        <v>#VALUE!</v>
      </c>
      <c r="S82" s="140">
        <f t="shared" si="47"/>
        <v>0</v>
      </c>
      <c r="T82" s="139">
        <f t="shared" si="48"/>
        <v>0</v>
      </c>
      <c r="U82" s="357"/>
      <c r="V82" s="358"/>
      <c r="W82" s="144"/>
    </row>
    <row r="83" spans="1:23" ht="15" hidden="1" customHeight="1" outlineLevel="1" thickBot="1">
      <c r="A83" s="353"/>
      <c r="B83" s="359">
        <f t="shared" si="29"/>
        <v>4.1499999999999968</v>
      </c>
      <c r="C83" s="360" t="s">
        <v>787</v>
      </c>
      <c r="D83" s="360" t="s">
        <v>788</v>
      </c>
      <c r="E83" s="360">
        <v>9</v>
      </c>
      <c r="F83" s="347" t="str">
        <f t="shared" si="43"/>
        <v>120V 1Ø</v>
      </c>
      <c r="G83" s="361" t="str" cm="1">
        <f t="array" ref="G83">IFERROR(VLOOKUP(H83&amp;"|"&amp;I83,CHOOSE({1,2},[1]MATERIALES!$B$168:$B$175&amp;"|"&amp;[1]MATERIALES!$C$168:$C$175,[1]MATERIALES!$D$168:$D$175),2,0),"-")</f>
        <v>Tomacorriente 15A Matix (AM5115D + 503SB/SA)</v>
      </c>
      <c r="H83" s="373" t="s">
        <v>382</v>
      </c>
      <c r="I83" s="373" t="s">
        <v>380</v>
      </c>
      <c r="J83" s="316"/>
      <c r="K83" s="345" t="str">
        <f t="shared" si="50"/>
        <v>Unid.</v>
      </c>
      <c r="L83" s="218">
        <v>5</v>
      </c>
      <c r="M83" s="248">
        <f>IFERROR(VLOOKUP(G83,[1]MATERIALES!$D$5:$I$1368,2,FALSE),0)</f>
        <v>0</v>
      </c>
      <c r="N83" s="367">
        <f t="shared" si="40"/>
        <v>0</v>
      </c>
      <c r="O83" s="140">
        <f t="shared" si="45"/>
        <v>0</v>
      </c>
      <c r="P83" s="367">
        <f t="shared" si="46"/>
        <v>0</v>
      </c>
      <c r="Q83" s="140">
        <f t="shared" si="41"/>
        <v>0</v>
      </c>
      <c r="R83" s="368">
        <f t="shared" si="42"/>
        <v>0</v>
      </c>
      <c r="S83" s="140">
        <f t="shared" si="47"/>
        <v>0</v>
      </c>
      <c r="T83" s="139">
        <f t="shared" si="48"/>
        <v>0</v>
      </c>
      <c r="U83" s="357"/>
      <c r="V83" s="358"/>
      <c r="W83" s="144"/>
    </row>
    <row r="84" spans="1:23" ht="15" hidden="1" customHeight="1" outlineLevel="1" thickBot="1">
      <c r="A84" s="353"/>
      <c r="B84" s="359">
        <f t="shared" si="29"/>
        <v>4.1599999999999966</v>
      </c>
      <c r="C84" s="360" t="s">
        <v>787</v>
      </c>
      <c r="D84" s="360" t="s">
        <v>788</v>
      </c>
      <c r="E84" s="360">
        <v>9</v>
      </c>
      <c r="F84" s="347" t="str">
        <f t="shared" si="43"/>
        <v>120V 1Ø</v>
      </c>
      <c r="G84" s="361" t="str" cm="1">
        <f t="array" ref="G84">IFERROR(VLOOKUP(H84&amp;"|"&amp;I84,CHOOSE({1,2},[1]MATERIALES!$B$176:$B$185&amp;"|"&amp;[1]MATERIALES!$C$176:$C$185,[1]MATERIALES!$D$176:$D$185),2,0),"-")</f>
        <v>Tapa para tomacorriente MATIX (AM503/3N)</v>
      </c>
      <c r="H84" s="366" t="str">
        <f>H83</f>
        <v>MATIX</v>
      </c>
      <c r="I84" s="373" t="s">
        <v>392</v>
      </c>
      <c r="J84" s="316"/>
      <c r="K84" s="345" t="str">
        <f t="shared" si="50"/>
        <v>Unid.</v>
      </c>
      <c r="L84" s="345">
        <f>L83</f>
        <v>5</v>
      </c>
      <c r="M84" s="248">
        <f>IFERROR(VLOOKUP(G84,[1]MATERIALES!$D$5:$I$1368,2,FALSE),0)</f>
        <v>0</v>
      </c>
      <c r="N84" s="367">
        <f t="shared" si="40"/>
        <v>0</v>
      </c>
      <c r="O84" s="140">
        <f t="shared" si="45"/>
        <v>0</v>
      </c>
      <c r="P84" s="367">
        <f t="shared" si="46"/>
        <v>0</v>
      </c>
      <c r="Q84" s="140">
        <f t="shared" si="41"/>
        <v>0</v>
      </c>
      <c r="R84" s="368">
        <f t="shared" si="42"/>
        <v>0</v>
      </c>
      <c r="S84" s="140">
        <f t="shared" si="47"/>
        <v>0</v>
      </c>
      <c r="T84" s="139">
        <f t="shared" si="48"/>
        <v>0</v>
      </c>
      <c r="U84" s="357"/>
      <c r="V84" s="358"/>
      <c r="W84" s="144"/>
    </row>
    <row r="85" spans="1:23" ht="15" hidden="1" customHeight="1" outlineLevel="1" thickBot="1">
      <c r="A85" s="353"/>
      <c r="B85" s="359">
        <f t="shared" si="29"/>
        <v>4.1699999999999964</v>
      </c>
      <c r="C85" s="360" t="s">
        <v>787</v>
      </c>
      <c r="D85" s="360" t="s">
        <v>788</v>
      </c>
      <c r="E85" s="360">
        <v>9</v>
      </c>
      <c r="F85" s="347" t="str">
        <f t="shared" si="43"/>
        <v>120V 1Ø</v>
      </c>
      <c r="G85" s="371" t="s">
        <v>422</v>
      </c>
      <c r="H85" s="316"/>
      <c r="I85" s="316"/>
      <c r="J85" s="316"/>
      <c r="K85" s="345" t="str">
        <f t="shared" si="50"/>
        <v>Unid.</v>
      </c>
      <c r="L85" s="345">
        <f>3*(L74)</f>
        <v>18</v>
      </c>
      <c r="M85" s="248">
        <f>IFERROR(VLOOKUP(G85,[1]MATERIALES!$D$5:$I$1368,2,FALSE),0)</f>
        <v>0</v>
      </c>
      <c r="N85" s="367">
        <f t="shared" si="40"/>
        <v>0</v>
      </c>
      <c r="O85" s="140">
        <f t="shared" si="45"/>
        <v>0</v>
      </c>
      <c r="P85" s="367">
        <f t="shared" si="46"/>
        <v>0</v>
      </c>
      <c r="Q85" s="140">
        <f t="shared" si="41"/>
        <v>0</v>
      </c>
      <c r="R85" s="368">
        <f t="shared" si="42"/>
        <v>0</v>
      </c>
      <c r="S85" s="140">
        <f t="shared" si="47"/>
        <v>0</v>
      </c>
      <c r="T85" s="139">
        <f t="shared" si="48"/>
        <v>0</v>
      </c>
      <c r="U85" s="357" t="e">
        <f>SUM(R85:R87)</f>
        <v>#VALUE!</v>
      </c>
      <c r="V85" s="358">
        <f>'[1]1. OFERTA'!H65</f>
        <v>0.30455652173913045</v>
      </c>
      <c r="W85" s="144" t="e">
        <f>U85-V85</f>
        <v>#VALUE!</v>
      </c>
    </row>
    <row r="86" spans="1:23" ht="15" hidden="1" customHeight="1" outlineLevel="1" thickBot="1">
      <c r="A86" s="353"/>
      <c r="B86" s="359">
        <f t="shared" si="29"/>
        <v>4.1799999999999962</v>
      </c>
      <c r="C86" s="360" t="s">
        <v>787</v>
      </c>
      <c r="D86" s="360" t="s">
        <v>788</v>
      </c>
      <c r="E86" s="360">
        <v>9</v>
      </c>
      <c r="F86" s="347" t="str">
        <f t="shared" si="43"/>
        <v>120V 1Ø</v>
      </c>
      <c r="G86" s="374" t="s">
        <v>424</v>
      </c>
      <c r="H86" s="316"/>
      <c r="I86" s="316"/>
      <c r="J86" s="316"/>
      <c r="K86" s="345" t="s">
        <v>784</v>
      </c>
      <c r="L86" s="28">
        <f>ROUNDUP(L73+L74+L76,0)</f>
        <v>38</v>
      </c>
      <c r="M86" s="248">
        <f>IFERROR(VLOOKUP(G86,[1]MATERIALES!$D$5:$I$1368,2,FALSE),0)</f>
        <v>0</v>
      </c>
      <c r="N86" s="367">
        <f t="shared" si="40"/>
        <v>0</v>
      </c>
      <c r="O86" s="140">
        <f t="shared" si="45"/>
        <v>0</v>
      </c>
      <c r="P86" s="367">
        <f t="shared" si="46"/>
        <v>0</v>
      </c>
      <c r="Q86" s="140">
        <f t="shared" si="41"/>
        <v>0</v>
      </c>
      <c r="R86" s="368">
        <f t="shared" si="42"/>
        <v>0</v>
      </c>
      <c r="S86" s="140">
        <f t="shared" si="47"/>
        <v>0</v>
      </c>
      <c r="T86" s="139">
        <f t="shared" si="48"/>
        <v>0</v>
      </c>
      <c r="U86" s="357"/>
      <c r="V86" s="358"/>
      <c r="W86" s="144"/>
    </row>
    <row r="87" spans="1:23" ht="15" hidden="1" customHeight="1" outlineLevel="1" thickBot="1">
      <c r="A87" s="353"/>
      <c r="B87" s="359">
        <f t="shared" si="29"/>
        <v>4.1899999999999959</v>
      </c>
      <c r="C87" s="360" t="s">
        <v>787</v>
      </c>
      <c r="D87" s="360" t="s">
        <v>788</v>
      </c>
      <c r="E87" s="360">
        <v>9</v>
      </c>
      <c r="F87" s="347" t="str">
        <f t="shared" si="43"/>
        <v>120V 1Ø</v>
      </c>
      <c r="G87" s="374" t="s">
        <v>168</v>
      </c>
      <c r="H87" s="316"/>
      <c r="I87" s="316"/>
      <c r="J87" s="316"/>
      <c r="K87" s="345" t="s">
        <v>784</v>
      </c>
      <c r="L87" s="28">
        <f>L86</f>
        <v>38</v>
      </c>
      <c r="M87" s="248" t="str">
        <f>IFERROR(VLOOKUP(G87,[1]MATERIALES!$D$5:$I$1368,2,FALSE),0)</f>
        <v xml:space="preserve">Marba Dominicana </v>
      </c>
      <c r="N87" s="367" t="e">
        <f t="shared" si="40"/>
        <v>#VALUE!</v>
      </c>
      <c r="O87" s="140" t="e">
        <f t="shared" si="45"/>
        <v>#VALUE!</v>
      </c>
      <c r="P87" s="367" t="e">
        <f t="shared" si="46"/>
        <v>#VALUE!</v>
      </c>
      <c r="Q87" s="140" t="e">
        <f t="shared" si="41"/>
        <v>#VALUE!</v>
      </c>
      <c r="R87" s="368" t="e">
        <f t="shared" si="42"/>
        <v>#VALUE!</v>
      </c>
      <c r="S87" s="140">
        <f t="shared" si="47"/>
        <v>0</v>
      </c>
      <c r="T87" s="139">
        <f t="shared" si="48"/>
        <v>0</v>
      </c>
      <c r="U87" s="357"/>
      <c r="V87" s="358"/>
      <c r="W87" s="144"/>
    </row>
    <row r="88" spans="1:23" ht="15" customHeight="1" collapsed="1" thickBot="1">
      <c r="A88" s="353"/>
      <c r="B88" s="354">
        <v>5</v>
      </c>
      <c r="C88" s="355" t="s">
        <v>789</v>
      </c>
      <c r="D88" s="269" t="s">
        <v>788</v>
      </c>
      <c r="E88" s="269">
        <v>10</v>
      </c>
      <c r="F88" s="270" t="s">
        <v>783</v>
      </c>
      <c r="G88" s="271"/>
      <c r="H88" s="272"/>
      <c r="I88" s="272"/>
      <c r="J88" s="272"/>
      <c r="K88" s="268"/>
      <c r="L88" s="268"/>
      <c r="M88" s="273"/>
      <c r="N88" s="274"/>
      <c r="O88" s="273"/>
      <c r="P88" s="274"/>
      <c r="Q88" s="273"/>
      <c r="R88" s="275"/>
      <c r="S88" s="273"/>
      <c r="T88" s="276"/>
      <c r="U88" s="357" t="e">
        <f>SUM(R89:R107)</f>
        <v>#VALUE!</v>
      </c>
      <c r="V88" s="358">
        <f>'[1]1. OFERTA'!H66</f>
        <v>2.2554782608695652</v>
      </c>
      <c r="W88" s="144" t="e">
        <f>U88-V88</f>
        <v>#VALUE!</v>
      </c>
    </row>
    <row r="89" spans="1:23" ht="15" hidden="1" customHeight="1" outlineLevel="1" thickBot="1">
      <c r="A89" s="353"/>
      <c r="B89" s="359">
        <f t="shared" si="29"/>
        <v>5.01</v>
      </c>
      <c r="C89" s="360" t="s">
        <v>789</v>
      </c>
      <c r="D89" s="360" t="s">
        <v>788</v>
      </c>
      <c r="E89" s="360">
        <v>10</v>
      </c>
      <c r="F89" s="347" t="s">
        <v>783</v>
      </c>
      <c r="G89" s="361" t="str">
        <f>IF(H89="PVC",VLOOKUP(I89,[1]MATERIALES!$C$5:$D$11,2,FALSE),IF(H89="EMT",VLOOKUP(I89,[1]MATERIALES!$C$40:$D$46,2,FALSE),IF(H89="IMC",VLOOKUP(I89,[1]MATERIALES!$C$82:$D$88,2,FALSE),IF(H89="LFNC",VLOOKUP(I89,[1]MATERIALES!$C$110:$D$116,2,FALSE),0))))</f>
        <v>Tubería PVC SDR-26 1/2"</v>
      </c>
      <c r="H89" s="362" t="s">
        <v>184</v>
      </c>
      <c r="I89" s="362" t="s">
        <v>216</v>
      </c>
      <c r="J89" s="362">
        <v>15.02</v>
      </c>
      <c r="K89" s="134" t="str">
        <f>IF(OR(H89="Conductores Americanos",H89="Conductores Europeos"),"Pies","Unid.")</f>
        <v>Unid.</v>
      </c>
      <c r="L89" s="363">
        <f>IF(H89="PVC",ROUNDUP(J89/6,0),IF(H89="EMT",ROUNDUP(J89/3,0),IF(H89="IMC",ROUNDUP(J89/3,0),IF(H89="LFNC",ROUNDUP(3.28*J89,0),0))))</f>
        <v>3</v>
      </c>
      <c r="M89" s="248" t="str">
        <f>IFERROR(VLOOKUP(G89,[1]MATERIALES!$D$5:$I$1368,2,FALSE),0)</f>
        <v xml:space="preserve">Suplidores electricos </v>
      </c>
      <c r="N89" s="364" t="e">
        <f t="shared" ref="N89:N107" si="51">M89/$N$2</f>
        <v>#VALUE!</v>
      </c>
      <c r="O89" s="248" t="e">
        <f>+L89*M89</f>
        <v>#VALUE!</v>
      </c>
      <c r="P89" s="364" t="e">
        <f>L89*N89</f>
        <v>#VALUE!</v>
      </c>
      <c r="Q89" s="248" t="e">
        <f t="shared" ref="Q89:Q107" si="52">+$O89+($O89*$R$2)</f>
        <v>#VALUE!</v>
      </c>
      <c r="R89" s="365" t="e">
        <f t="shared" ref="R89:R107" si="53">+$P89+($P89*$R$2)</f>
        <v>#VALUE!</v>
      </c>
      <c r="S89" s="248">
        <f>+IFERROR(Q89/L89,0)</f>
        <v>0</v>
      </c>
      <c r="T89" s="146">
        <f>+IFERROR(R89/L89,0)</f>
        <v>0</v>
      </c>
      <c r="U89" s="357"/>
      <c r="V89" s="358"/>
      <c r="W89" s="144"/>
    </row>
    <row r="90" spans="1:23" ht="15" hidden="1" customHeight="1" outlineLevel="1" thickBot="1">
      <c r="A90" s="353"/>
      <c r="B90" s="359">
        <f t="shared" si="29"/>
        <v>5.0199999999999996</v>
      </c>
      <c r="C90" s="360" t="s">
        <v>789</v>
      </c>
      <c r="D90" s="360" t="s">
        <v>788</v>
      </c>
      <c r="E90" s="360">
        <v>10</v>
      </c>
      <c r="F90" s="347" t="str">
        <f t="shared" ref="F90:F107" si="54">F89</f>
        <v>120V 1Ø</v>
      </c>
      <c r="G90" s="361" t="str">
        <f>IF(H90="PVC",VLOOKUP(I90,[1]MATERIALES!$C$12:$D$18,2,FALSE),IF(H90="EMT",VLOOKUP(I90,[1]MATERIALES!$C$47:$D$53,2,FALSE),IF(H90="IMC",VLOOKUP(I90,[1]MATERIALES!$C$89:$D$96,2,FALSE),"-")))</f>
        <v>Coupling PVC 1/2"</v>
      </c>
      <c r="H90" s="366" t="str">
        <f>H89</f>
        <v>PVC</v>
      </c>
      <c r="I90" s="366" t="str">
        <f>I89</f>
        <v>13mm</v>
      </c>
      <c r="J90" s="316"/>
      <c r="K90" s="345" t="str">
        <f t="shared" ref="K90:K97" si="55">IF(OR(H90="Conductores Americanos",H90="Conductores Europeos"),"Pies","Unid.")</f>
        <v>Unid.</v>
      </c>
      <c r="L90" s="28">
        <f>IF(H90="LFNC",0,L89)</f>
        <v>3</v>
      </c>
      <c r="M90" s="140" t="str">
        <f>IF(H90="LFNC",0,VLOOKUP(G90,[1]MATERIALES!$D$5:$I$1368,2,FALSE))</f>
        <v xml:space="preserve">Suplidores electricos </v>
      </c>
      <c r="N90" s="367" t="e">
        <f t="shared" si="51"/>
        <v>#VALUE!</v>
      </c>
      <c r="O90" s="140" t="e">
        <f t="shared" ref="O90:O107" si="56">+L90*M90</f>
        <v>#VALUE!</v>
      </c>
      <c r="P90" s="367" t="e">
        <f t="shared" ref="P90:P107" si="57">L90*N90</f>
        <v>#VALUE!</v>
      </c>
      <c r="Q90" s="140" t="e">
        <f t="shared" si="52"/>
        <v>#VALUE!</v>
      </c>
      <c r="R90" s="368" t="e">
        <f t="shared" si="53"/>
        <v>#VALUE!</v>
      </c>
      <c r="S90" s="140">
        <f t="shared" ref="S90:S107" si="58">+IFERROR(Q90/L90,0)</f>
        <v>0</v>
      </c>
      <c r="T90" s="139">
        <f t="shared" ref="T90:T107" si="59">+IFERROR(R90/L90,0)</f>
        <v>0</v>
      </c>
      <c r="U90" s="357"/>
      <c r="V90" s="358"/>
      <c r="W90" s="144"/>
    </row>
    <row r="91" spans="1:23" ht="15" hidden="1" customHeight="1" outlineLevel="1" thickBot="1">
      <c r="A91" s="353"/>
      <c r="B91" s="359">
        <f t="shared" si="29"/>
        <v>5.0299999999999994</v>
      </c>
      <c r="C91" s="360" t="s">
        <v>789</v>
      </c>
      <c r="D91" s="360" t="s">
        <v>788</v>
      </c>
      <c r="E91" s="360">
        <v>10</v>
      </c>
      <c r="F91" s="347" t="str">
        <f t="shared" si="54"/>
        <v>120V 1Ø</v>
      </c>
      <c r="G91" s="361" t="str">
        <f>IF(H91="PVC",VLOOKUP(I91,[1]MATERIALES!$C$19:$D$25,2,FALSE),IF(H91="EMT",VLOOKUP(I91,[1]MATERIALES!$C$54:$D$60,2,FALSE),IF(H91="IMC",VLOOKUP(I91,[1]MATERIALES!$C$96:$D$102,2,FALSE),IF(H91="LFNC",VLOOKUP(I91,[1]MATERIALES!$C$117:$D$123,2,FALSE),0))))</f>
        <v>Adaptador Macho PVC 1/2"</v>
      </c>
      <c r="H91" s="366" t="str">
        <f>H89</f>
        <v>PVC</v>
      </c>
      <c r="I91" s="366" t="str">
        <f>I89</f>
        <v>13mm</v>
      </c>
      <c r="J91" s="316"/>
      <c r="K91" s="345" t="str">
        <f t="shared" si="55"/>
        <v>Unid.</v>
      </c>
      <c r="L91" s="28">
        <f>1+L94*2+L96</f>
        <v>24</v>
      </c>
      <c r="M91" s="248" t="str">
        <f>IFERROR(VLOOKUP(G91,[1]MATERIALES!$D$5:$I$1368,2,FALSE),0)</f>
        <v xml:space="preserve">Suplidores electricos </v>
      </c>
      <c r="N91" s="367" t="e">
        <f t="shared" si="51"/>
        <v>#VALUE!</v>
      </c>
      <c r="O91" s="140" t="e">
        <f t="shared" si="56"/>
        <v>#VALUE!</v>
      </c>
      <c r="P91" s="367" t="e">
        <f t="shared" si="57"/>
        <v>#VALUE!</v>
      </c>
      <c r="Q91" s="140" t="e">
        <f t="shared" si="52"/>
        <v>#VALUE!</v>
      </c>
      <c r="R91" s="368" t="e">
        <f t="shared" si="53"/>
        <v>#VALUE!</v>
      </c>
      <c r="S91" s="140">
        <f t="shared" si="58"/>
        <v>0</v>
      </c>
      <c r="T91" s="139">
        <f t="shared" si="59"/>
        <v>0</v>
      </c>
      <c r="U91" s="357"/>
      <c r="V91" s="358"/>
      <c r="W91" s="144"/>
    </row>
    <row r="92" spans="1:23" ht="15" hidden="1" customHeight="1" outlineLevel="1" thickBot="1">
      <c r="A92" s="353"/>
      <c r="B92" s="359">
        <f t="shared" si="29"/>
        <v>5.0399999999999991</v>
      </c>
      <c r="C92" s="360" t="s">
        <v>789</v>
      </c>
      <c r="D92" s="360" t="s">
        <v>788</v>
      </c>
      <c r="E92" s="360">
        <v>10</v>
      </c>
      <c r="F92" s="347" t="str">
        <f t="shared" si="54"/>
        <v>120V 1Ø</v>
      </c>
      <c r="G92" s="361" t="str">
        <f>IF(H92="PVC",VLOOKUP(I92,[1]MATERIALES!$C$33:$D$39,2,FALSE),IF(H92="EMT",VLOOKUP(I92,[1]MATERIALES!$C$61:$D$67,2,FALSE),IF(H92="IMC",VLOOKUP(I92,[1]MATERIALES!$C$103:$D$109,2,FALSE),"-")))</f>
        <v>Curva 90 PVC SDR 1/2"</v>
      </c>
      <c r="H92" s="366" t="str">
        <f>H89</f>
        <v>PVC</v>
      </c>
      <c r="I92" s="366" t="str">
        <f>I89</f>
        <v>13mm</v>
      </c>
      <c r="J92" s="316"/>
      <c r="K92" s="345" t="str">
        <f t="shared" si="55"/>
        <v>Unid.</v>
      </c>
      <c r="L92" s="28">
        <f>IF(H92="LFNC",0,(1+L103))</f>
        <v>8</v>
      </c>
      <c r="M92" s="140" t="str">
        <f>IF(H92="LFNC",0,VLOOKUP(G92,[1]MATERIALES!$D$5:$I$1368,2,FALSE))</f>
        <v xml:space="preserve">Suplidores electricos </v>
      </c>
      <c r="N92" s="367" t="e">
        <f t="shared" si="51"/>
        <v>#VALUE!</v>
      </c>
      <c r="O92" s="140" t="e">
        <f t="shared" si="56"/>
        <v>#VALUE!</v>
      </c>
      <c r="P92" s="367" t="e">
        <f t="shared" si="57"/>
        <v>#VALUE!</v>
      </c>
      <c r="Q92" s="140" t="e">
        <f t="shared" si="52"/>
        <v>#VALUE!</v>
      </c>
      <c r="R92" s="368" t="e">
        <f t="shared" si="53"/>
        <v>#VALUE!</v>
      </c>
      <c r="S92" s="140">
        <f t="shared" si="58"/>
        <v>0</v>
      </c>
      <c r="T92" s="139">
        <f t="shared" si="59"/>
        <v>0</v>
      </c>
      <c r="U92" s="357"/>
      <c r="V92" s="358"/>
      <c r="W92" s="144"/>
    </row>
    <row r="93" spans="1:23" ht="15" hidden="1" customHeight="1" outlineLevel="1" thickBot="1">
      <c r="A93" s="353"/>
      <c r="B93" s="359">
        <f t="shared" si="29"/>
        <v>5.0499999999999989</v>
      </c>
      <c r="C93" s="360" t="s">
        <v>789</v>
      </c>
      <c r="D93" s="360" t="s">
        <v>788</v>
      </c>
      <c r="E93" s="360">
        <v>10</v>
      </c>
      <c r="F93" s="347" t="str">
        <f t="shared" si="54"/>
        <v>120V 1Ø</v>
      </c>
      <c r="G93" s="361" t="str">
        <f>VLOOKUP(I93,[1]MATERIALES!$C$68:$D$74,2,FALSE)</f>
        <v>Abrazadera EMT 1/2'' </v>
      </c>
      <c r="H93" s="316"/>
      <c r="I93" s="366" t="str">
        <f>I89</f>
        <v>13mm</v>
      </c>
      <c r="J93" s="316"/>
      <c r="K93" s="345" t="str">
        <f t="shared" si="55"/>
        <v>Unid.</v>
      </c>
      <c r="L93" s="28">
        <f>ROUNDUP(J89,0)</f>
        <v>16</v>
      </c>
      <c r="M93" s="248" t="str">
        <f>IFERROR(VLOOKUP(G93,[1]MATERIALES!$D$5:$I$1368,2,FALSE),0)</f>
        <v xml:space="preserve">Suplidores electricos </v>
      </c>
      <c r="N93" s="367" t="e">
        <f t="shared" si="51"/>
        <v>#VALUE!</v>
      </c>
      <c r="O93" s="140" t="e">
        <f t="shared" si="56"/>
        <v>#VALUE!</v>
      </c>
      <c r="P93" s="367" t="e">
        <f t="shared" si="57"/>
        <v>#VALUE!</v>
      </c>
      <c r="Q93" s="140" t="e">
        <f t="shared" si="52"/>
        <v>#VALUE!</v>
      </c>
      <c r="R93" s="368" t="e">
        <f t="shared" si="53"/>
        <v>#VALUE!</v>
      </c>
      <c r="S93" s="140">
        <f t="shared" si="58"/>
        <v>0</v>
      </c>
      <c r="T93" s="139">
        <f t="shared" si="59"/>
        <v>0</v>
      </c>
      <c r="U93" s="357"/>
      <c r="V93" s="358"/>
      <c r="W93" s="144"/>
    </row>
    <row r="94" spans="1:23" ht="15" hidden="1" customHeight="1" outlineLevel="1" thickBot="1">
      <c r="A94" s="353"/>
      <c r="B94" s="359">
        <f t="shared" si="29"/>
        <v>5.0599999999999987</v>
      </c>
      <c r="C94" s="360" t="s">
        <v>789</v>
      </c>
      <c r="D94" s="360" t="s">
        <v>788</v>
      </c>
      <c r="E94" s="360">
        <v>10</v>
      </c>
      <c r="F94" s="347" t="str">
        <f t="shared" si="54"/>
        <v>120V 1Ø</v>
      </c>
      <c r="G94" s="361" t="str" cm="1">
        <f t="array" ref="G94">_xlfn.SWITCH(I94,"13mm",(IF(H94="Rectangular",VLOOKUP(I94,[1]MATERIALES!$C$124:$D$125,2,FALSE),IF(H94="Octagonal",VLOOKUP(I94,[1]MATERIALES!$C$126:$D$127,2,FALSE),IF(H94="WP",VLOOKUP(I94,[1]MATERIALES!$C$128:$D$129,2,FALSE),IF(H94="5x5",VLOOKUP(I94,[1]MATERIALES!$C$130:$D$132,2,FALSE)))))),"19mm",(IF(H94="Rectangular",VLOOKUP(I94,[1]MATERIALES!$C$124:$D$125,2,FALSE),IF(H94="Octagonal",VLOOKUP(I94,[1]MATERIALES!$C$126:$D$127,2,FALSE),IF(H94="WP",VLOOKUP(I94,[1]MATERIALES!$C$128:$D$129,2,FALSE),IF(H94="5x5",VLOOKUP(I94,[1]MATERIALES!$C$130:$D$132,2,FALSE)))))),"25mm",IF(H94="Rectangular","-",IF(H94="Octagonal","--",IF(H94="WP","---",IF(H94="5x5",VLOOKUP(I94,[1]MATERIALES!$C$130:$D$132,2,FALSE),0)))),"38mm","-","50mm","-","75mm","-","100mm","-")</f>
        <v>Caja EMT 2x4 1/2" USA UL</v>
      </c>
      <c r="H94" s="369" t="s">
        <v>188</v>
      </c>
      <c r="I94" s="366" t="str">
        <f>I89</f>
        <v>13mm</v>
      </c>
      <c r="J94" s="316"/>
      <c r="K94" s="345" t="str">
        <f t="shared" si="55"/>
        <v>Unid.</v>
      </c>
      <c r="L94" s="28">
        <f>1+L103</f>
        <v>8</v>
      </c>
      <c r="M94" s="248" t="str">
        <f>IFERROR(VLOOKUP(G94,[1]MATERIALES!$D$5:$I$1368,2,FALSE),0)</f>
        <v xml:space="preserve">Suplidores electricos </v>
      </c>
      <c r="N94" s="367" t="e">
        <f t="shared" si="51"/>
        <v>#VALUE!</v>
      </c>
      <c r="O94" s="140" t="e">
        <f t="shared" si="56"/>
        <v>#VALUE!</v>
      </c>
      <c r="P94" s="367" t="e">
        <f t="shared" si="57"/>
        <v>#VALUE!</v>
      </c>
      <c r="Q94" s="140" t="e">
        <f t="shared" si="52"/>
        <v>#VALUE!</v>
      </c>
      <c r="R94" s="368" t="e">
        <f t="shared" si="53"/>
        <v>#VALUE!</v>
      </c>
      <c r="S94" s="140">
        <f t="shared" si="58"/>
        <v>0</v>
      </c>
      <c r="T94" s="139">
        <f t="shared" si="59"/>
        <v>0</v>
      </c>
      <c r="U94" s="357"/>
      <c r="V94" s="358"/>
      <c r="W94" s="144"/>
    </row>
    <row r="95" spans="1:23" ht="15" hidden="1" customHeight="1" outlineLevel="1" thickBot="1">
      <c r="A95" s="353"/>
      <c r="B95" s="359">
        <f t="shared" si="29"/>
        <v>5.0699999999999985</v>
      </c>
      <c r="C95" s="360" t="s">
        <v>789</v>
      </c>
      <c r="D95" s="360" t="s">
        <v>788</v>
      </c>
      <c r="E95" s="360">
        <v>10</v>
      </c>
      <c r="F95" s="347" t="str">
        <f t="shared" si="54"/>
        <v>120V 1Ø</v>
      </c>
      <c r="G95" s="370" t="str">
        <f>IF(H95="Rectangular",[1]MATERIALES!$D$133,IF(H94="Octagonal",[1]MATERIALES!$D$134,IF(H94="WP",[1]MATERIALES!$D$135,IF(H94="5x5",[1]MATERIALES!$D$136,0))))</f>
        <v>CAJA REG. 12X12X4 N3R</v>
      </c>
      <c r="H95" s="369" t="str">
        <f>H94</f>
        <v>Rectangular</v>
      </c>
      <c r="I95" s="366" t="str">
        <f>I89</f>
        <v>13mm</v>
      </c>
      <c r="J95" s="316"/>
      <c r="K95" s="345" t="str">
        <f t="shared" si="55"/>
        <v>Unid.</v>
      </c>
      <c r="L95" s="28">
        <f>L94</f>
        <v>8</v>
      </c>
      <c r="M95" s="248" t="str">
        <f>IFERROR(VLOOKUP(G95,[1]MATERIALES!$D$5:$I$1368,2,FALSE),0)</f>
        <v xml:space="preserve">Suplidores electricos </v>
      </c>
      <c r="N95" s="367" t="e">
        <f t="shared" si="51"/>
        <v>#VALUE!</v>
      </c>
      <c r="O95" s="140" t="e">
        <f t="shared" si="56"/>
        <v>#VALUE!</v>
      </c>
      <c r="P95" s="367" t="e">
        <f t="shared" si="57"/>
        <v>#VALUE!</v>
      </c>
      <c r="Q95" s="140" t="e">
        <f t="shared" si="52"/>
        <v>#VALUE!</v>
      </c>
      <c r="R95" s="368" t="e">
        <f t="shared" si="53"/>
        <v>#VALUE!</v>
      </c>
      <c r="S95" s="140">
        <f t="shared" si="58"/>
        <v>0</v>
      </c>
      <c r="T95" s="139">
        <f t="shared" si="59"/>
        <v>0</v>
      </c>
      <c r="U95" s="357"/>
      <c r="V95" s="358"/>
      <c r="W95" s="144"/>
    </row>
    <row r="96" spans="1:23" ht="15" hidden="1" customHeight="1" outlineLevel="1" thickBot="1">
      <c r="A96" s="353"/>
      <c r="B96" s="359">
        <f t="shared" si="29"/>
        <v>5.0799999999999983</v>
      </c>
      <c r="C96" s="360" t="s">
        <v>789</v>
      </c>
      <c r="D96" s="360" t="s">
        <v>788</v>
      </c>
      <c r="E96" s="360">
        <v>10</v>
      </c>
      <c r="F96" s="347" t="str">
        <f t="shared" si="54"/>
        <v>120V 1Ø</v>
      </c>
      <c r="G96" s="361" t="str" cm="1">
        <f t="array" ref="G96">_xlfn.SWITCH(I96,"13mm",(IF(H96="Rectangular",VLOOKUP(I96,[1]MATERIALES!$C$124:$D$125,2,FALSE),IF(H96="Octagonal",VLOOKUP(I96,[1]MATERIALES!$C$126:$D$127,2,FALSE),IF(H96="WP",VLOOKUP(I96,[1]MATERIALES!$C$128:$D$129,2,FALSE),IF(H96="5x5",VLOOKUP(I96,[1]MATERIALES!$C$130:$D$132,2,FALSE)))))),"19mm",(IF(H96="Rectangular",VLOOKUP(I96,[1]MATERIALES!$C$124:$D$125,2,FALSE),IF(H96="Octagonal",VLOOKUP(I96,[1]MATERIALES!$C$126:$D$127,2,FALSE),IF(H96="WP",VLOOKUP(I96,[1]MATERIALES!$C$128:$D$129,2,FALSE),IF(H96="5x5",VLOOKUP(I96,[1]MATERIALES!$C$130:$D$132,2,FALSE)))))),"25mm",IF(H96="Rectangular","-",IF(H96="Octagonal","--",IF(H96="WP","---",IF(H96="5x5",VLOOKUP(I96,[1]MATERIALES!$C$130:$D$132,2,FALSE),0)))),"38mm","-","50mm","-","75mm","-","100mm","-")</f>
        <v>Caja EMT 2x4 1/2" USA UL</v>
      </c>
      <c r="H96" s="369" t="s">
        <v>188</v>
      </c>
      <c r="I96" s="366" t="str">
        <f>I91</f>
        <v>13mm</v>
      </c>
      <c r="J96" s="316"/>
      <c r="K96" s="345" t="str">
        <f t="shared" si="55"/>
        <v>Unid.</v>
      </c>
      <c r="L96" s="28">
        <f>L103</f>
        <v>7</v>
      </c>
      <c r="M96" s="248" t="str">
        <f>IFERROR(VLOOKUP(G96,[1]MATERIALES!$D$5:$I$1368,2,FALSE),0)</f>
        <v xml:space="preserve">Suplidores electricos </v>
      </c>
      <c r="N96" s="367" t="e">
        <f t="shared" si="51"/>
        <v>#VALUE!</v>
      </c>
      <c r="O96" s="140" t="e">
        <f t="shared" si="56"/>
        <v>#VALUE!</v>
      </c>
      <c r="P96" s="367" t="e">
        <f t="shared" si="57"/>
        <v>#VALUE!</v>
      </c>
      <c r="Q96" s="140" t="e">
        <f t="shared" si="52"/>
        <v>#VALUE!</v>
      </c>
      <c r="R96" s="368" t="e">
        <f t="shared" si="53"/>
        <v>#VALUE!</v>
      </c>
      <c r="S96" s="140">
        <f t="shared" si="58"/>
        <v>0</v>
      </c>
      <c r="T96" s="139">
        <f t="shared" si="59"/>
        <v>0</v>
      </c>
      <c r="U96" s="357"/>
      <c r="V96" s="358"/>
      <c r="W96" s="144"/>
    </row>
    <row r="97" spans="1:23" ht="15" hidden="1" customHeight="1" outlineLevel="1" thickBot="1">
      <c r="A97" s="353"/>
      <c r="B97" s="359">
        <f t="shared" si="29"/>
        <v>5.0899999999999981</v>
      </c>
      <c r="C97" s="360" t="s">
        <v>789</v>
      </c>
      <c r="D97" s="360" t="s">
        <v>788</v>
      </c>
      <c r="E97" s="360">
        <v>10</v>
      </c>
      <c r="F97" s="347" t="str">
        <f t="shared" si="54"/>
        <v>120V 1Ø</v>
      </c>
      <c r="G97" s="370" t="str">
        <f>IF(H97="Rectangular",[1]MATERIALES!$D$133,IF(H96="Octagonal",[1]MATERIALES!$D$134,IF(H96="WP",[1]MATERIALES!#REF!,IF(H96="5x5",[1]MATERIALES!$D$136,0))))</f>
        <v>CAJA REG. 12X12X4 N3R</v>
      </c>
      <c r="H97" s="369" t="str">
        <f>H96</f>
        <v>Rectangular</v>
      </c>
      <c r="I97" s="366" t="str">
        <f>I91</f>
        <v>13mm</v>
      </c>
      <c r="J97" s="316"/>
      <c r="K97" s="345" t="str">
        <f t="shared" si="55"/>
        <v>Unid.</v>
      </c>
      <c r="L97" s="28">
        <f>L96</f>
        <v>7</v>
      </c>
      <c r="M97" s="248" t="str">
        <f>IFERROR(VLOOKUP(G97,[1]MATERIALES!$D$5:$I$1368,2,FALSE),0)</f>
        <v xml:space="preserve">Suplidores electricos </v>
      </c>
      <c r="N97" s="367" t="e">
        <f t="shared" si="51"/>
        <v>#VALUE!</v>
      </c>
      <c r="O97" s="140" t="e">
        <f t="shared" si="56"/>
        <v>#VALUE!</v>
      </c>
      <c r="P97" s="367" t="e">
        <f t="shared" si="57"/>
        <v>#VALUE!</v>
      </c>
      <c r="Q97" s="140" t="e">
        <f t="shared" si="52"/>
        <v>#VALUE!</v>
      </c>
      <c r="R97" s="368" t="e">
        <f t="shared" si="53"/>
        <v>#VALUE!</v>
      </c>
      <c r="S97" s="140">
        <f t="shared" si="58"/>
        <v>0</v>
      </c>
      <c r="T97" s="139">
        <f t="shared" si="59"/>
        <v>0</v>
      </c>
      <c r="U97" s="357"/>
      <c r="V97" s="358"/>
      <c r="W97" s="144"/>
    </row>
    <row r="98" spans="1:23" ht="15" hidden="1" customHeight="1" outlineLevel="1" thickBot="1">
      <c r="A98" s="353"/>
      <c r="B98" s="359">
        <f t="shared" si="29"/>
        <v>5.0999999999999979</v>
      </c>
      <c r="C98" s="360" t="s">
        <v>789</v>
      </c>
      <c r="D98" s="360" t="s">
        <v>788</v>
      </c>
      <c r="E98" s="360">
        <v>10</v>
      </c>
      <c r="F98" s="347" t="str">
        <f t="shared" si="54"/>
        <v>120V 1Ø</v>
      </c>
      <c r="G98" s="371" t="str">
        <f>"Fase A"&amp;": "&amp;I98</f>
        <v>Fase A: Conductor 12 AWG THHN</v>
      </c>
      <c r="H98" s="366" t="s">
        <v>181</v>
      </c>
      <c r="I98" s="366" t="s">
        <v>189</v>
      </c>
      <c r="J98" s="366">
        <f>J89</f>
        <v>15.02</v>
      </c>
      <c r="K98" s="345" t="str">
        <f>IF(OR(H98="Conductores Americanos",H98="Conductores Europeos"),"Pies","Unid.")</f>
        <v>Pies</v>
      </c>
      <c r="L98" s="28">
        <f>ROUNDUP(J98*3.28,0)</f>
        <v>50</v>
      </c>
      <c r="M98" s="140" t="str">
        <f>VLOOKUP(I98,[1]MATERIALES!$D$5:$I$1368,2,FALSE)</f>
        <v xml:space="preserve">Suplidores electricos </v>
      </c>
      <c r="N98" s="367" t="e">
        <f t="shared" si="51"/>
        <v>#VALUE!</v>
      </c>
      <c r="O98" s="140" t="e">
        <f t="shared" si="56"/>
        <v>#VALUE!</v>
      </c>
      <c r="P98" s="367" t="e">
        <f t="shared" si="57"/>
        <v>#VALUE!</v>
      </c>
      <c r="Q98" s="140" t="e">
        <f t="shared" si="52"/>
        <v>#VALUE!</v>
      </c>
      <c r="R98" s="368" t="e">
        <f t="shared" si="53"/>
        <v>#VALUE!</v>
      </c>
      <c r="S98" s="140">
        <f t="shared" si="58"/>
        <v>0</v>
      </c>
      <c r="T98" s="139">
        <f t="shared" si="59"/>
        <v>0</v>
      </c>
      <c r="U98" s="357"/>
      <c r="V98" s="358"/>
      <c r="W98" s="144"/>
    </row>
    <row r="99" spans="1:23" ht="15" hidden="1" customHeight="1" outlineLevel="1" thickBot="1">
      <c r="A99" s="353"/>
      <c r="B99" s="359">
        <f t="shared" si="29"/>
        <v>5.1099999999999977</v>
      </c>
      <c r="C99" s="360" t="s">
        <v>789</v>
      </c>
      <c r="D99" s="360" t="s">
        <v>788</v>
      </c>
      <c r="E99" s="360">
        <v>10</v>
      </c>
      <c r="F99" s="347" t="str">
        <f t="shared" si="54"/>
        <v>120V 1Ø</v>
      </c>
      <c r="G99" s="371" t="str">
        <f>IF(F99="120V 1Ø","-",("Fase B"&amp;": "&amp;I99))</f>
        <v>-</v>
      </c>
      <c r="H99" s="366" t="str">
        <f t="shared" ref="H99:I101" si="60">H98</f>
        <v>Conductores Americanos</v>
      </c>
      <c r="I99" s="366" t="str">
        <f t="shared" si="60"/>
        <v>Conductor 12 AWG THHN</v>
      </c>
      <c r="J99" s="366">
        <f>IF(G99="-",0,J89)</f>
        <v>0</v>
      </c>
      <c r="K99" s="345" t="str">
        <f t="shared" ref="K99:K105" si="61">IF(OR(H99="Conductores Americanos",H99="Conductores Europeos"),"Pies","Unid.")</f>
        <v>Pies</v>
      </c>
      <c r="L99" s="28">
        <f>ROUNDUP(J99*3.28,0)</f>
        <v>0</v>
      </c>
      <c r="M99" s="140" t="str">
        <f>VLOOKUP(I99,[1]MATERIALES!$D$5:$I$1368,2,FALSE)</f>
        <v xml:space="preserve">Suplidores electricos </v>
      </c>
      <c r="N99" s="367" t="e">
        <f t="shared" si="51"/>
        <v>#VALUE!</v>
      </c>
      <c r="O99" s="140" t="e">
        <f t="shared" si="56"/>
        <v>#VALUE!</v>
      </c>
      <c r="P99" s="367" t="e">
        <f t="shared" si="57"/>
        <v>#VALUE!</v>
      </c>
      <c r="Q99" s="140" t="e">
        <f t="shared" si="52"/>
        <v>#VALUE!</v>
      </c>
      <c r="R99" s="368" t="e">
        <f t="shared" si="53"/>
        <v>#VALUE!</v>
      </c>
      <c r="S99" s="140">
        <f t="shared" si="58"/>
        <v>0</v>
      </c>
      <c r="T99" s="139">
        <f t="shared" si="59"/>
        <v>0</v>
      </c>
      <c r="U99" s="357"/>
      <c r="V99" s="358"/>
      <c r="W99" s="144"/>
    </row>
    <row r="100" spans="1:23" ht="15" hidden="1" customHeight="1" outlineLevel="1" thickBot="1">
      <c r="A100" s="353"/>
      <c r="B100" s="359">
        <f t="shared" si="29"/>
        <v>5.1199999999999974</v>
      </c>
      <c r="C100" s="360" t="s">
        <v>789</v>
      </c>
      <c r="D100" s="360" t="s">
        <v>788</v>
      </c>
      <c r="E100" s="360">
        <v>10</v>
      </c>
      <c r="F100" s="347" t="str">
        <f t="shared" si="54"/>
        <v>120V 1Ø</v>
      </c>
      <c r="G100" s="371" t="str">
        <f>IF(F100="120V 1Ø","-",IF(F100="240V 1Ø","-",("Fase C"&amp;": "&amp;I98)))</f>
        <v>-</v>
      </c>
      <c r="H100" s="366" t="str">
        <f t="shared" si="60"/>
        <v>Conductores Americanos</v>
      </c>
      <c r="I100" s="366" t="str">
        <f t="shared" si="60"/>
        <v>Conductor 12 AWG THHN</v>
      </c>
      <c r="J100" s="366">
        <f>IF(G100="-",0,J89)</f>
        <v>0</v>
      </c>
      <c r="K100" s="345" t="str">
        <f t="shared" si="61"/>
        <v>Pies</v>
      </c>
      <c r="L100" s="28">
        <f>ROUNDUP(J100*3.28,0)</f>
        <v>0</v>
      </c>
      <c r="M100" s="140" t="str">
        <f>VLOOKUP(I100,[1]MATERIALES!$D$5:$I$1368,2,FALSE)</f>
        <v xml:space="preserve">Suplidores electricos </v>
      </c>
      <c r="N100" s="367" t="e">
        <f t="shared" si="51"/>
        <v>#VALUE!</v>
      </c>
      <c r="O100" s="140" t="e">
        <f t="shared" si="56"/>
        <v>#VALUE!</v>
      </c>
      <c r="P100" s="367" t="e">
        <f t="shared" si="57"/>
        <v>#VALUE!</v>
      </c>
      <c r="Q100" s="140" t="e">
        <f t="shared" si="52"/>
        <v>#VALUE!</v>
      </c>
      <c r="R100" s="368" t="e">
        <f t="shared" si="53"/>
        <v>#VALUE!</v>
      </c>
      <c r="S100" s="140">
        <f t="shared" si="58"/>
        <v>0</v>
      </c>
      <c r="T100" s="139">
        <f t="shared" si="59"/>
        <v>0</v>
      </c>
      <c r="U100" s="357"/>
      <c r="V100" s="358"/>
      <c r="W100" s="144"/>
    </row>
    <row r="101" spans="1:23" ht="15" hidden="1" customHeight="1" outlineLevel="1" thickBot="1">
      <c r="A101" s="353"/>
      <c r="B101" s="359">
        <f t="shared" si="29"/>
        <v>5.1299999999999972</v>
      </c>
      <c r="C101" s="360" t="s">
        <v>789</v>
      </c>
      <c r="D101" s="360" t="s">
        <v>788</v>
      </c>
      <c r="E101" s="360">
        <v>10</v>
      </c>
      <c r="F101" s="347" t="str">
        <f t="shared" si="54"/>
        <v>120V 1Ø</v>
      </c>
      <c r="G101" s="372" t="str">
        <f>IF(F101="240V 1Ø","-",IF(F101="480V 3Ø","-",("Neutro"&amp;": "&amp;I98)))</f>
        <v>Neutro: Conductor 12 AWG THHN</v>
      </c>
      <c r="H101" s="366" t="str">
        <f t="shared" si="60"/>
        <v>Conductores Americanos</v>
      </c>
      <c r="I101" s="366" t="str">
        <f t="shared" si="60"/>
        <v>Conductor 12 AWG THHN</v>
      </c>
      <c r="J101" s="366">
        <f>IF(G101="-",0,J89)</f>
        <v>15.02</v>
      </c>
      <c r="K101" s="345" t="str">
        <f t="shared" si="61"/>
        <v>Pies</v>
      </c>
      <c r="L101" s="28">
        <f>ROUNDUP(J101*3.28,0)</f>
        <v>50</v>
      </c>
      <c r="M101" s="140" t="str">
        <f>VLOOKUP(I101,[1]MATERIALES!$D$5:$I$1368,2,FALSE)</f>
        <v xml:space="preserve">Suplidores electricos </v>
      </c>
      <c r="N101" s="367" t="e">
        <f t="shared" si="51"/>
        <v>#VALUE!</v>
      </c>
      <c r="O101" s="140" t="e">
        <f t="shared" si="56"/>
        <v>#VALUE!</v>
      </c>
      <c r="P101" s="367" t="e">
        <f t="shared" si="57"/>
        <v>#VALUE!</v>
      </c>
      <c r="Q101" s="140" t="e">
        <f t="shared" si="52"/>
        <v>#VALUE!</v>
      </c>
      <c r="R101" s="368" t="e">
        <f t="shared" si="53"/>
        <v>#VALUE!</v>
      </c>
      <c r="S101" s="140">
        <f t="shared" si="58"/>
        <v>0</v>
      </c>
      <c r="T101" s="139">
        <f t="shared" si="59"/>
        <v>0</v>
      </c>
      <c r="U101" s="357"/>
      <c r="V101" s="358"/>
      <c r="W101" s="144"/>
    </row>
    <row r="102" spans="1:23" ht="15" hidden="1" customHeight="1" outlineLevel="1" thickBot="1">
      <c r="A102" s="353"/>
      <c r="B102" s="359">
        <f t="shared" si="29"/>
        <v>5.139999999999997</v>
      </c>
      <c r="C102" s="360" t="s">
        <v>789</v>
      </c>
      <c r="D102" s="360" t="s">
        <v>788</v>
      </c>
      <c r="E102" s="360">
        <v>10</v>
      </c>
      <c r="F102" s="347" t="str">
        <f t="shared" si="54"/>
        <v>120V 1Ø</v>
      </c>
      <c r="G102" s="372" t="str">
        <f>"Tierra"&amp;": "&amp;I102</f>
        <v>Tierra: Conductor 12 AWG THHN</v>
      </c>
      <c r="H102" s="366" t="str">
        <f>H101</f>
        <v>Conductores Americanos</v>
      </c>
      <c r="I102" s="366" t="s">
        <v>189</v>
      </c>
      <c r="J102" s="366">
        <f>J89</f>
        <v>15.02</v>
      </c>
      <c r="K102" s="345" t="str">
        <f t="shared" si="61"/>
        <v>Pies</v>
      </c>
      <c r="L102" s="28">
        <f>ROUNDUP(J102*3.28,0)</f>
        <v>50</v>
      </c>
      <c r="M102" s="140" t="str">
        <f>VLOOKUP(I102,[1]MATERIALES!$D$5:$I$1368,2,FALSE)</f>
        <v xml:space="preserve">Suplidores electricos </v>
      </c>
      <c r="N102" s="367" t="e">
        <f t="shared" si="51"/>
        <v>#VALUE!</v>
      </c>
      <c r="O102" s="140" t="e">
        <f t="shared" si="56"/>
        <v>#VALUE!</v>
      </c>
      <c r="P102" s="367" t="e">
        <f t="shared" si="57"/>
        <v>#VALUE!</v>
      </c>
      <c r="Q102" s="140" t="e">
        <f t="shared" si="52"/>
        <v>#VALUE!</v>
      </c>
      <c r="R102" s="368" t="e">
        <f t="shared" si="53"/>
        <v>#VALUE!</v>
      </c>
      <c r="S102" s="140">
        <f t="shared" si="58"/>
        <v>0</v>
      </c>
      <c r="T102" s="139">
        <f t="shared" si="59"/>
        <v>0</v>
      </c>
      <c r="U102" s="357"/>
      <c r="V102" s="358"/>
      <c r="W102" s="144"/>
    </row>
    <row r="103" spans="1:23" ht="15" hidden="1" customHeight="1" outlineLevel="1" thickBot="1">
      <c r="A103" s="353"/>
      <c r="B103" s="359">
        <f t="shared" si="29"/>
        <v>5.1499999999999968</v>
      </c>
      <c r="C103" s="360" t="s">
        <v>789</v>
      </c>
      <c r="D103" s="360" t="s">
        <v>788</v>
      </c>
      <c r="E103" s="360">
        <v>10</v>
      </c>
      <c r="F103" s="347" t="str">
        <f t="shared" si="54"/>
        <v>120V 1Ø</v>
      </c>
      <c r="G103" s="361" t="str" cm="1">
        <f t="array" ref="G103">IFERROR(VLOOKUP(H103&amp;"|"&amp;I103,CHOOSE({1,2},[1]MATERIALES!$B$168:$B$175&amp;"|"&amp;[1]MATERIALES!$C$168:$C$175,[1]MATERIALES!$D$168:$D$175),2,0),"-")</f>
        <v>Tomacorriente 15A Matix (AM5115D + 503SB/SA)</v>
      </c>
      <c r="H103" s="373" t="s">
        <v>382</v>
      </c>
      <c r="I103" s="373" t="s">
        <v>380</v>
      </c>
      <c r="J103" s="316"/>
      <c r="K103" s="345" t="str">
        <f t="shared" si="61"/>
        <v>Unid.</v>
      </c>
      <c r="L103" s="218">
        <v>7</v>
      </c>
      <c r="M103" s="248">
        <f>IFERROR(VLOOKUP(G103,[1]MATERIALES!$D$5:$I$1368,2,FALSE),0)</f>
        <v>0</v>
      </c>
      <c r="N103" s="367">
        <f t="shared" si="51"/>
        <v>0</v>
      </c>
      <c r="O103" s="140">
        <f t="shared" si="56"/>
        <v>0</v>
      </c>
      <c r="P103" s="367">
        <f t="shared" si="57"/>
        <v>0</v>
      </c>
      <c r="Q103" s="140">
        <f t="shared" si="52"/>
        <v>0</v>
      </c>
      <c r="R103" s="368">
        <f t="shared" si="53"/>
        <v>0</v>
      </c>
      <c r="S103" s="140">
        <f t="shared" si="58"/>
        <v>0</v>
      </c>
      <c r="T103" s="139">
        <f t="shared" si="59"/>
        <v>0</v>
      </c>
      <c r="U103" s="357"/>
      <c r="V103" s="358"/>
      <c r="W103" s="144"/>
    </row>
    <row r="104" spans="1:23" ht="15" hidden="1" customHeight="1" outlineLevel="1" thickBot="1">
      <c r="A104" s="353"/>
      <c r="B104" s="359">
        <f t="shared" si="29"/>
        <v>5.1599999999999966</v>
      </c>
      <c r="C104" s="360" t="s">
        <v>789</v>
      </c>
      <c r="D104" s="360" t="s">
        <v>788</v>
      </c>
      <c r="E104" s="360">
        <v>10</v>
      </c>
      <c r="F104" s="347" t="str">
        <f t="shared" si="54"/>
        <v>120V 1Ø</v>
      </c>
      <c r="G104" s="361" t="str" cm="1">
        <f t="array" ref="G104">IFERROR(VLOOKUP(H104&amp;"|"&amp;I104,CHOOSE({1,2},[1]MATERIALES!$B$176:$B$185&amp;"|"&amp;[1]MATERIALES!$C$176:$C$185,[1]MATERIALES!$D$176:$D$185),2,0),"-")</f>
        <v>Tapa para tomacorriente MATIX (AM503/3N)</v>
      </c>
      <c r="H104" s="366" t="str">
        <f>H103</f>
        <v>MATIX</v>
      </c>
      <c r="I104" s="373" t="s">
        <v>392</v>
      </c>
      <c r="J104" s="316"/>
      <c r="K104" s="345" t="str">
        <f t="shared" si="61"/>
        <v>Unid.</v>
      </c>
      <c r="L104" s="345">
        <f>L103</f>
        <v>7</v>
      </c>
      <c r="M104" s="248">
        <f>IFERROR(VLOOKUP(G104,[1]MATERIALES!$D$5:$I$1368,2,FALSE),0)</f>
        <v>0</v>
      </c>
      <c r="N104" s="367">
        <f t="shared" si="51"/>
        <v>0</v>
      </c>
      <c r="O104" s="140">
        <f t="shared" si="56"/>
        <v>0</v>
      </c>
      <c r="P104" s="367">
        <f t="shared" si="57"/>
        <v>0</v>
      </c>
      <c r="Q104" s="140">
        <f t="shared" si="52"/>
        <v>0</v>
      </c>
      <c r="R104" s="368">
        <f t="shared" si="53"/>
        <v>0</v>
      </c>
      <c r="S104" s="140">
        <f t="shared" si="58"/>
        <v>0</v>
      </c>
      <c r="T104" s="139">
        <f t="shared" si="59"/>
        <v>0</v>
      </c>
      <c r="U104" s="357"/>
      <c r="V104" s="358"/>
      <c r="W104" s="144"/>
    </row>
    <row r="105" spans="1:23" ht="15" hidden="1" customHeight="1" outlineLevel="1" thickBot="1">
      <c r="A105" s="353"/>
      <c r="B105" s="359">
        <f t="shared" si="29"/>
        <v>5.1699999999999964</v>
      </c>
      <c r="C105" s="360" t="s">
        <v>789</v>
      </c>
      <c r="D105" s="360" t="s">
        <v>788</v>
      </c>
      <c r="E105" s="360">
        <v>10</v>
      </c>
      <c r="F105" s="347" t="str">
        <f t="shared" si="54"/>
        <v>120V 1Ø</v>
      </c>
      <c r="G105" s="371" t="s">
        <v>422</v>
      </c>
      <c r="H105" s="316"/>
      <c r="I105" s="316"/>
      <c r="J105" s="316"/>
      <c r="K105" s="345" t="str">
        <f t="shared" si="61"/>
        <v>Unid.</v>
      </c>
      <c r="L105" s="345">
        <f>3*(L94)</f>
        <v>24</v>
      </c>
      <c r="M105" s="248">
        <f>IFERROR(VLOOKUP(G105,[1]MATERIALES!$D$5:$I$1368,2,FALSE),0)</f>
        <v>0</v>
      </c>
      <c r="N105" s="367">
        <f t="shared" si="51"/>
        <v>0</v>
      </c>
      <c r="O105" s="140">
        <f t="shared" si="56"/>
        <v>0</v>
      </c>
      <c r="P105" s="367">
        <f t="shared" si="57"/>
        <v>0</v>
      </c>
      <c r="Q105" s="140">
        <f t="shared" si="52"/>
        <v>0</v>
      </c>
      <c r="R105" s="368">
        <f t="shared" si="53"/>
        <v>0</v>
      </c>
      <c r="S105" s="140">
        <f t="shared" si="58"/>
        <v>0</v>
      </c>
      <c r="T105" s="139">
        <f t="shared" si="59"/>
        <v>0</v>
      </c>
      <c r="U105" s="357" t="e">
        <f>SUM(R105:R107)</f>
        <v>#VALUE!</v>
      </c>
      <c r="V105" s="358">
        <f>'[1]1. OFERTA'!G75</f>
        <v>5</v>
      </c>
      <c r="W105" s="144" t="e">
        <f>U105-V105</f>
        <v>#VALUE!</v>
      </c>
    </row>
    <row r="106" spans="1:23" ht="15" hidden="1" customHeight="1" outlineLevel="1" thickBot="1">
      <c r="A106" s="353"/>
      <c r="B106" s="359">
        <f t="shared" si="29"/>
        <v>5.1799999999999962</v>
      </c>
      <c r="C106" s="360" t="s">
        <v>789</v>
      </c>
      <c r="D106" s="360" t="s">
        <v>788</v>
      </c>
      <c r="E106" s="360">
        <v>10</v>
      </c>
      <c r="F106" s="347" t="str">
        <f t="shared" si="54"/>
        <v>120V 1Ø</v>
      </c>
      <c r="G106" s="374" t="s">
        <v>424</v>
      </c>
      <c r="H106" s="316"/>
      <c r="I106" s="316"/>
      <c r="J106" s="316"/>
      <c r="K106" s="345" t="s">
        <v>784</v>
      </c>
      <c r="L106" s="28">
        <f>ROUNDUP(L93+L94+L96,0)</f>
        <v>31</v>
      </c>
      <c r="M106" s="248">
        <f>IFERROR(VLOOKUP(G106,[1]MATERIALES!$D$5:$I$1368,2,FALSE),0)</f>
        <v>0</v>
      </c>
      <c r="N106" s="367">
        <f t="shared" si="51"/>
        <v>0</v>
      </c>
      <c r="O106" s="140">
        <f t="shared" si="56"/>
        <v>0</v>
      </c>
      <c r="P106" s="367">
        <f t="shared" si="57"/>
        <v>0</v>
      </c>
      <c r="Q106" s="140">
        <f t="shared" si="52"/>
        <v>0</v>
      </c>
      <c r="R106" s="368">
        <f t="shared" si="53"/>
        <v>0</v>
      </c>
      <c r="S106" s="140">
        <f t="shared" si="58"/>
        <v>0</v>
      </c>
      <c r="T106" s="139">
        <f t="shared" si="59"/>
        <v>0</v>
      </c>
      <c r="U106" s="357"/>
      <c r="V106" s="358"/>
      <c r="W106" s="144"/>
    </row>
    <row r="107" spans="1:23" ht="15" hidden="1" customHeight="1" outlineLevel="1" thickBot="1">
      <c r="A107" s="353"/>
      <c r="B107" s="359">
        <f t="shared" si="29"/>
        <v>5.1899999999999959</v>
      </c>
      <c r="C107" s="360" t="s">
        <v>789</v>
      </c>
      <c r="D107" s="360" t="s">
        <v>788</v>
      </c>
      <c r="E107" s="360">
        <v>10</v>
      </c>
      <c r="F107" s="347" t="str">
        <f t="shared" si="54"/>
        <v>120V 1Ø</v>
      </c>
      <c r="G107" s="374" t="s">
        <v>168</v>
      </c>
      <c r="H107" s="316"/>
      <c r="I107" s="316"/>
      <c r="J107" s="316"/>
      <c r="K107" s="345" t="s">
        <v>784</v>
      </c>
      <c r="L107" s="28">
        <f>L106</f>
        <v>31</v>
      </c>
      <c r="M107" s="248" t="str">
        <f>IFERROR(VLOOKUP(G107,[1]MATERIALES!$D$5:$I$1368,2,FALSE),0)</f>
        <v xml:space="preserve">Marba Dominicana </v>
      </c>
      <c r="N107" s="367" t="e">
        <f t="shared" si="51"/>
        <v>#VALUE!</v>
      </c>
      <c r="O107" s="140" t="e">
        <f t="shared" si="56"/>
        <v>#VALUE!</v>
      </c>
      <c r="P107" s="367" t="e">
        <f t="shared" si="57"/>
        <v>#VALUE!</v>
      </c>
      <c r="Q107" s="140" t="e">
        <f t="shared" si="52"/>
        <v>#VALUE!</v>
      </c>
      <c r="R107" s="368" t="e">
        <f t="shared" si="53"/>
        <v>#VALUE!</v>
      </c>
      <c r="S107" s="140">
        <f t="shared" si="58"/>
        <v>0</v>
      </c>
      <c r="T107" s="139">
        <f t="shared" si="59"/>
        <v>0</v>
      </c>
      <c r="U107" s="357"/>
      <c r="V107" s="358"/>
      <c r="W107" s="144"/>
    </row>
    <row r="108" spans="1:23" ht="15" customHeight="1" collapsed="1" thickBot="1">
      <c r="A108" s="353"/>
      <c r="B108" s="354">
        <v>6</v>
      </c>
      <c r="C108" s="355" t="s">
        <v>790</v>
      </c>
      <c r="D108" s="269" t="s">
        <v>788</v>
      </c>
      <c r="E108" s="269">
        <v>11</v>
      </c>
      <c r="F108" s="270" t="s">
        <v>783</v>
      </c>
      <c r="G108" s="271"/>
      <c r="H108" s="272"/>
      <c r="I108" s="272"/>
      <c r="J108" s="272"/>
      <c r="K108" s="268"/>
      <c r="L108" s="268"/>
      <c r="M108" s="273"/>
      <c r="N108" s="274"/>
      <c r="O108" s="273"/>
      <c r="P108" s="274"/>
      <c r="Q108" s="273"/>
      <c r="R108" s="275"/>
      <c r="S108" s="273"/>
      <c r="T108" s="276"/>
      <c r="U108" s="357" t="e">
        <f>SUM(R109:R129)</f>
        <v>#VALUE!</v>
      </c>
      <c r="V108" s="358">
        <f>'[1]1. OFERTA'!H76</f>
        <v>26.786434782608701</v>
      </c>
      <c r="W108" s="144" t="e">
        <f>U108-V108</f>
        <v>#VALUE!</v>
      </c>
    </row>
    <row r="109" spans="1:23" ht="15" hidden="1" customHeight="1" outlineLevel="1" thickBot="1">
      <c r="A109" s="353"/>
      <c r="B109" s="359">
        <f t="shared" si="29"/>
        <v>6.01</v>
      </c>
      <c r="C109" s="360" t="s">
        <v>790</v>
      </c>
      <c r="D109" s="360" t="s">
        <v>788</v>
      </c>
      <c r="E109" s="360">
        <v>11</v>
      </c>
      <c r="F109" s="347" t="s">
        <v>783</v>
      </c>
      <c r="G109" s="361" t="str">
        <f>IF(H109="PVC",VLOOKUP(I109,[1]MATERIALES!$C$5:$D$11,2,FALSE),IF(H109="EMT",VLOOKUP(I109,[1]MATERIALES!$C$40:$D$46,2,FALSE),IF(H109="IMC",VLOOKUP(I109,[1]MATERIALES!$C$82:$D$88,2,FALSE),IF(H109="LFNC",VLOOKUP(I109,[1]MATERIALES!$C$110:$D$116,2,FALSE),0))))</f>
        <v>Tubería PVC SDR-26 1/2"</v>
      </c>
      <c r="H109" s="362" t="s">
        <v>184</v>
      </c>
      <c r="I109" s="362" t="s">
        <v>216</v>
      </c>
      <c r="J109" s="362">
        <v>20.32</v>
      </c>
      <c r="K109" s="134" t="str">
        <f>IF(OR(H109="Conductores Americanos",H109="Conductores Europeos"),"Pies","Unid.")</f>
        <v>Unid.</v>
      </c>
      <c r="L109" s="363">
        <f>IF(H109="PVC",ROUNDUP(J109/6,0),IF(H109="EMT",ROUNDUP(J109/3,0),IF(H109="IMC",ROUNDUP(J109/3,0),IF(H109="LFNC",ROUNDUP(3.28*J109,0),0))))</f>
        <v>4</v>
      </c>
      <c r="M109" s="248" t="str">
        <f>IFERROR(VLOOKUP(G109,[1]MATERIALES!$D$5:$I$1368,2,FALSE),0)</f>
        <v xml:space="preserve">Suplidores electricos </v>
      </c>
      <c r="N109" s="364" t="e">
        <f t="shared" ref="N109:N124" si="62">M109/$N$2</f>
        <v>#VALUE!</v>
      </c>
      <c r="O109" s="248" t="e">
        <f>+L109*M109</f>
        <v>#VALUE!</v>
      </c>
      <c r="P109" s="364" t="e">
        <f>L109*N109</f>
        <v>#VALUE!</v>
      </c>
      <c r="Q109" s="248" t="e">
        <f t="shared" ref="Q109:Q129" si="63">+$O109+($O109*$R$2)</f>
        <v>#VALUE!</v>
      </c>
      <c r="R109" s="365" t="e">
        <f t="shared" ref="R109:R129" si="64">+$P109+($P109*$R$2)</f>
        <v>#VALUE!</v>
      </c>
      <c r="S109" s="248">
        <f>+IFERROR(Q109/L109,0)</f>
        <v>0</v>
      </c>
      <c r="T109" s="146">
        <f>+IFERROR(R109/L109,0)</f>
        <v>0</v>
      </c>
      <c r="U109" s="357"/>
      <c r="V109" s="358"/>
      <c r="W109" s="144"/>
    </row>
    <row r="110" spans="1:23" ht="15" hidden="1" customHeight="1" outlineLevel="1" thickBot="1">
      <c r="A110" s="353"/>
      <c r="B110" s="359">
        <f t="shared" si="29"/>
        <v>6.02</v>
      </c>
      <c r="C110" s="360" t="s">
        <v>790</v>
      </c>
      <c r="D110" s="360" t="s">
        <v>788</v>
      </c>
      <c r="E110" s="360">
        <v>11</v>
      </c>
      <c r="F110" s="347" t="str">
        <f t="shared" ref="F110:F126" si="65">F109</f>
        <v>120V 1Ø</v>
      </c>
      <c r="G110" s="361" t="str">
        <f>IF(H110="PVC",VLOOKUP(I110,[1]MATERIALES!$C$12:$D$18,2,FALSE),IF(H110="EMT",VLOOKUP(I110,[1]MATERIALES!$C$47:$D$53,2,FALSE),IF(H110="IMC",VLOOKUP(I110,[1]MATERIALES!$C$89:$D$96,2,FALSE),"-")))</f>
        <v>Coupling PVC 1/2"</v>
      </c>
      <c r="H110" s="366" t="str">
        <f>H109</f>
        <v>PVC</v>
      </c>
      <c r="I110" s="366" t="str">
        <f>I109</f>
        <v>13mm</v>
      </c>
      <c r="J110" s="316"/>
      <c r="K110" s="345" t="str">
        <f t="shared" ref="K110:K117" si="66">IF(OR(H110="Conductores Americanos",H110="Conductores Europeos"),"Pies","Unid.")</f>
        <v>Unid.</v>
      </c>
      <c r="L110" s="28">
        <f>IF(H110="LFNC",0,L109)</f>
        <v>4</v>
      </c>
      <c r="M110" s="140" t="str">
        <f>IF(H110="LFNC",0,VLOOKUP(G110,[1]MATERIALES!$D$5:$I$1368,2,FALSE))</f>
        <v xml:space="preserve">Suplidores electricos </v>
      </c>
      <c r="N110" s="367" t="e">
        <f t="shared" si="62"/>
        <v>#VALUE!</v>
      </c>
      <c r="O110" s="140" t="e">
        <f t="shared" ref="O110:O124" si="67">+L110*M110</f>
        <v>#VALUE!</v>
      </c>
      <c r="P110" s="367" t="e">
        <f t="shared" ref="P110:P124" si="68">L110*N110</f>
        <v>#VALUE!</v>
      </c>
      <c r="Q110" s="140" t="e">
        <f t="shared" si="63"/>
        <v>#VALUE!</v>
      </c>
      <c r="R110" s="368" t="e">
        <f t="shared" si="64"/>
        <v>#VALUE!</v>
      </c>
      <c r="S110" s="140">
        <f t="shared" ref="S110:S124" si="69">+IFERROR(Q110/L110,0)</f>
        <v>0</v>
      </c>
      <c r="T110" s="139">
        <f t="shared" ref="T110:T124" si="70">+IFERROR(R110/L110,0)</f>
        <v>0</v>
      </c>
      <c r="U110" s="357"/>
      <c r="V110" s="358"/>
      <c r="W110" s="144"/>
    </row>
    <row r="111" spans="1:23" ht="15" hidden="1" customHeight="1" outlineLevel="1" thickBot="1">
      <c r="A111" s="353"/>
      <c r="B111" s="359">
        <f t="shared" si="29"/>
        <v>6.0299999999999994</v>
      </c>
      <c r="C111" s="360" t="s">
        <v>790</v>
      </c>
      <c r="D111" s="360" t="s">
        <v>788</v>
      </c>
      <c r="E111" s="360">
        <v>11</v>
      </c>
      <c r="F111" s="347" t="str">
        <f t="shared" si="65"/>
        <v>120V 1Ø</v>
      </c>
      <c r="G111" s="361" t="str">
        <f>IF(H111="PVC",VLOOKUP(I111,[1]MATERIALES!$C$19:$D$25,2,FALSE),IF(H111="EMT",VLOOKUP(I111,[1]MATERIALES!$C$54:$D$60,2,FALSE),IF(H111="IMC",VLOOKUP(I111,[1]MATERIALES!$C$96:$D$102,2,FALSE),IF(H111="LFNC",VLOOKUP(I111,[1]MATERIALES!$C$117:$D$123,2,FALSE),0))))</f>
        <v>Adaptador Macho PVC 1/2"</v>
      </c>
      <c r="H111" s="366" t="str">
        <f>H109</f>
        <v>PVC</v>
      </c>
      <c r="I111" s="366" t="str">
        <f>I109</f>
        <v>13mm</v>
      </c>
      <c r="J111" s="316"/>
      <c r="K111" s="345" t="str">
        <f t="shared" si="66"/>
        <v>Unid.</v>
      </c>
      <c r="L111" s="28">
        <f>1+L114*2+L116</f>
        <v>21</v>
      </c>
      <c r="M111" s="248" t="str">
        <f>IFERROR(VLOOKUP(G111,[1]MATERIALES!$D$5:$I$1368,2,FALSE),0)</f>
        <v xml:space="preserve">Suplidores electricos </v>
      </c>
      <c r="N111" s="367" t="e">
        <f t="shared" si="62"/>
        <v>#VALUE!</v>
      </c>
      <c r="O111" s="140" t="e">
        <f t="shared" si="67"/>
        <v>#VALUE!</v>
      </c>
      <c r="P111" s="367" t="e">
        <f t="shared" si="68"/>
        <v>#VALUE!</v>
      </c>
      <c r="Q111" s="140" t="e">
        <f t="shared" si="63"/>
        <v>#VALUE!</v>
      </c>
      <c r="R111" s="368" t="e">
        <f t="shared" si="64"/>
        <v>#VALUE!</v>
      </c>
      <c r="S111" s="140">
        <f t="shared" si="69"/>
        <v>0</v>
      </c>
      <c r="T111" s="139">
        <f t="shared" si="70"/>
        <v>0</v>
      </c>
      <c r="U111" s="357"/>
      <c r="V111" s="358"/>
      <c r="W111" s="144"/>
    </row>
    <row r="112" spans="1:23" ht="15" hidden="1" customHeight="1" outlineLevel="1" thickBot="1">
      <c r="A112" s="353"/>
      <c r="B112" s="359">
        <f t="shared" si="29"/>
        <v>6.0399999999999991</v>
      </c>
      <c r="C112" s="360" t="s">
        <v>790</v>
      </c>
      <c r="D112" s="360" t="s">
        <v>788</v>
      </c>
      <c r="E112" s="360">
        <v>11</v>
      </c>
      <c r="F112" s="347" t="str">
        <f t="shared" si="65"/>
        <v>120V 1Ø</v>
      </c>
      <c r="G112" s="361" t="str">
        <f>IF(H112="PVC",VLOOKUP(I112,[1]MATERIALES!$C$33:$D$39,2,FALSE),IF(H112="EMT",VLOOKUP(I112,[1]MATERIALES!$C$61:$D$67,2,FALSE),IF(H112="IMC",VLOOKUP(I112,[1]MATERIALES!$C$103:$D$109,2,FALSE),"-")))</f>
        <v>Curva 90 PVC SDR 1/2"</v>
      </c>
      <c r="H112" s="366" t="str">
        <f>H109</f>
        <v>PVC</v>
      </c>
      <c r="I112" s="366" t="str">
        <f>I109</f>
        <v>13mm</v>
      </c>
      <c r="J112" s="316"/>
      <c r="K112" s="345" t="str">
        <f t="shared" si="66"/>
        <v>Unid.</v>
      </c>
      <c r="L112" s="28">
        <f>IF(H112="LFNC",0,(1+L123+L125))</f>
        <v>7</v>
      </c>
      <c r="M112" s="140" t="str">
        <f>IF(H112="LFNC",0,VLOOKUP(G112,[1]MATERIALES!$D$5:$I$1368,2,FALSE))</f>
        <v xml:space="preserve">Suplidores electricos </v>
      </c>
      <c r="N112" s="367" t="e">
        <f t="shared" si="62"/>
        <v>#VALUE!</v>
      </c>
      <c r="O112" s="140" t="e">
        <f t="shared" si="67"/>
        <v>#VALUE!</v>
      </c>
      <c r="P112" s="367" t="e">
        <f t="shared" si="68"/>
        <v>#VALUE!</v>
      </c>
      <c r="Q112" s="140" t="e">
        <f t="shared" si="63"/>
        <v>#VALUE!</v>
      </c>
      <c r="R112" s="368" t="e">
        <f t="shared" si="64"/>
        <v>#VALUE!</v>
      </c>
      <c r="S112" s="140">
        <f t="shared" si="69"/>
        <v>0</v>
      </c>
      <c r="T112" s="139">
        <f t="shared" si="70"/>
        <v>0</v>
      </c>
      <c r="U112" s="357"/>
      <c r="V112" s="358"/>
      <c r="W112" s="144"/>
    </row>
    <row r="113" spans="1:23" ht="15" hidden="1" customHeight="1" outlineLevel="1" thickBot="1">
      <c r="A113" s="353"/>
      <c r="B113" s="359">
        <f t="shared" ref="B113:B129" si="71">B112+0.01</f>
        <v>6.0499999999999989</v>
      </c>
      <c r="C113" s="360" t="s">
        <v>790</v>
      </c>
      <c r="D113" s="360" t="s">
        <v>788</v>
      </c>
      <c r="E113" s="360">
        <v>11</v>
      </c>
      <c r="F113" s="347" t="str">
        <f t="shared" si="65"/>
        <v>120V 1Ø</v>
      </c>
      <c r="G113" s="361" t="str">
        <f>VLOOKUP(I113,[1]MATERIALES!$C$68:$D$74,2,FALSE)</f>
        <v>Abrazadera EMT 1/2'' </v>
      </c>
      <c r="H113" s="316"/>
      <c r="I113" s="366" t="str">
        <f>I109</f>
        <v>13mm</v>
      </c>
      <c r="J113" s="316"/>
      <c r="K113" s="345" t="str">
        <f t="shared" si="66"/>
        <v>Unid.</v>
      </c>
      <c r="L113" s="28">
        <f>ROUNDUP(J109,0)</f>
        <v>21</v>
      </c>
      <c r="M113" s="248" t="str">
        <f>IFERROR(VLOOKUP(G113,[1]MATERIALES!$D$5:$I$1368,2,FALSE),0)</f>
        <v xml:space="preserve">Suplidores electricos </v>
      </c>
      <c r="N113" s="367" t="e">
        <f t="shared" si="62"/>
        <v>#VALUE!</v>
      </c>
      <c r="O113" s="140" t="e">
        <f t="shared" si="67"/>
        <v>#VALUE!</v>
      </c>
      <c r="P113" s="367" t="e">
        <f t="shared" si="68"/>
        <v>#VALUE!</v>
      </c>
      <c r="Q113" s="140" t="e">
        <f t="shared" si="63"/>
        <v>#VALUE!</v>
      </c>
      <c r="R113" s="368" t="e">
        <f t="shared" si="64"/>
        <v>#VALUE!</v>
      </c>
      <c r="S113" s="140">
        <f t="shared" si="69"/>
        <v>0</v>
      </c>
      <c r="T113" s="139">
        <f t="shared" si="70"/>
        <v>0</v>
      </c>
      <c r="U113" s="357"/>
      <c r="V113" s="358"/>
      <c r="W113" s="144"/>
    </row>
    <row r="114" spans="1:23" ht="15" hidden="1" customHeight="1" outlineLevel="1" thickBot="1">
      <c r="A114" s="353"/>
      <c r="B114" s="359">
        <f t="shared" si="71"/>
        <v>6.0599999999999987</v>
      </c>
      <c r="C114" s="360" t="s">
        <v>790</v>
      </c>
      <c r="D114" s="360" t="s">
        <v>788</v>
      </c>
      <c r="E114" s="360">
        <v>11</v>
      </c>
      <c r="F114" s="347" t="str">
        <f t="shared" si="65"/>
        <v>120V 1Ø</v>
      </c>
      <c r="G114" s="361" t="str" cm="1">
        <f t="array" ref="G114">_xlfn.SWITCH(I114,"13mm",(IF(H114="Rectangular",VLOOKUP(I114,[1]MATERIALES!$C$124:$D$125,2,FALSE),IF(H114="Octagonal",VLOOKUP(I114,[1]MATERIALES!$C$126:$D$127,2,FALSE),IF(H114="WP",VLOOKUP(I114,[1]MATERIALES!$C$128:$D$129,2,FALSE),IF(H114="5x5",VLOOKUP(I114,[1]MATERIALES!$C$130:$D$132,2,FALSE)))))),"19mm",(IF(H114="Rectangular",VLOOKUP(I114,[1]MATERIALES!$C$124:$D$125,2,FALSE),IF(H114="Octagonal",VLOOKUP(I114,[1]MATERIALES!$C$126:$D$127,2,FALSE),IF(H114="WP",VLOOKUP(I114,[1]MATERIALES!$C$128:$D$129,2,FALSE),IF(H114="5x5",VLOOKUP(I114,[1]MATERIALES!$C$130:$D$132,2,FALSE)))))),"25mm",IF(H114="Rectangular","-",IF(H114="Octagonal","--",IF(H114="WP","---",IF(H114="5x5",VLOOKUP(I114,[1]MATERIALES!$C$130:$D$132,2,FALSE),0)))),"38mm","-","50mm","-","75mm","-","100mm","-")</f>
        <v>Caja EMT 2x4 1/2" USA UL</v>
      </c>
      <c r="H114" s="369" t="s">
        <v>188</v>
      </c>
      <c r="I114" s="366" t="str">
        <f>I109</f>
        <v>13mm</v>
      </c>
      <c r="J114" s="316"/>
      <c r="K114" s="345" t="str">
        <f t="shared" si="66"/>
        <v>Unid.</v>
      </c>
      <c r="L114" s="28">
        <f>1+L123+L125</f>
        <v>7</v>
      </c>
      <c r="M114" s="248" t="str">
        <f>IFERROR(VLOOKUP(G114,[1]MATERIALES!$D$5:$I$1368,2,FALSE),0)</f>
        <v xml:space="preserve">Suplidores electricos </v>
      </c>
      <c r="N114" s="367" t="e">
        <f t="shared" si="62"/>
        <v>#VALUE!</v>
      </c>
      <c r="O114" s="140" t="e">
        <f t="shared" si="67"/>
        <v>#VALUE!</v>
      </c>
      <c r="P114" s="367" t="e">
        <f t="shared" si="68"/>
        <v>#VALUE!</v>
      </c>
      <c r="Q114" s="140" t="e">
        <f t="shared" si="63"/>
        <v>#VALUE!</v>
      </c>
      <c r="R114" s="368" t="e">
        <f t="shared" si="64"/>
        <v>#VALUE!</v>
      </c>
      <c r="S114" s="140">
        <f t="shared" si="69"/>
        <v>0</v>
      </c>
      <c r="T114" s="139">
        <f t="shared" si="70"/>
        <v>0</v>
      </c>
      <c r="U114" s="357"/>
      <c r="V114" s="358"/>
      <c r="W114" s="144"/>
    </row>
    <row r="115" spans="1:23" ht="15" hidden="1" customHeight="1" outlineLevel="1" thickBot="1">
      <c r="A115" s="353"/>
      <c r="B115" s="359">
        <f t="shared" si="71"/>
        <v>6.0699999999999985</v>
      </c>
      <c r="C115" s="360" t="s">
        <v>790</v>
      </c>
      <c r="D115" s="360" t="s">
        <v>788</v>
      </c>
      <c r="E115" s="360">
        <v>11</v>
      </c>
      <c r="F115" s="347" t="str">
        <f t="shared" si="65"/>
        <v>120V 1Ø</v>
      </c>
      <c r="G115" s="370" t="str">
        <f>IF(H115="Rectangular",[1]MATERIALES!$D$133,IF(H114="Octagonal",[1]MATERIALES!$D$134,IF(H114="WP",[1]MATERIALES!$D$135,IF(H114="5x5",[1]MATERIALES!$D$136,0))))</f>
        <v>CAJA REG. 12X12X4 N3R</v>
      </c>
      <c r="H115" s="369" t="str">
        <f>H114</f>
        <v>Rectangular</v>
      </c>
      <c r="I115" s="366" t="str">
        <f>I109</f>
        <v>13mm</v>
      </c>
      <c r="J115" s="316"/>
      <c r="K115" s="345" t="str">
        <f t="shared" si="66"/>
        <v>Unid.</v>
      </c>
      <c r="L115" s="28">
        <f>L114</f>
        <v>7</v>
      </c>
      <c r="M115" s="248" t="str">
        <f>IFERROR(VLOOKUP(G115,[1]MATERIALES!$D$5:$I$1368,2,FALSE),0)</f>
        <v xml:space="preserve">Suplidores electricos </v>
      </c>
      <c r="N115" s="367" t="e">
        <f t="shared" si="62"/>
        <v>#VALUE!</v>
      </c>
      <c r="O115" s="140" t="e">
        <f t="shared" si="67"/>
        <v>#VALUE!</v>
      </c>
      <c r="P115" s="367" t="e">
        <f t="shared" si="68"/>
        <v>#VALUE!</v>
      </c>
      <c r="Q115" s="140" t="e">
        <f t="shared" si="63"/>
        <v>#VALUE!</v>
      </c>
      <c r="R115" s="368" t="e">
        <f t="shared" si="64"/>
        <v>#VALUE!</v>
      </c>
      <c r="S115" s="140">
        <f t="shared" si="69"/>
        <v>0</v>
      </c>
      <c r="T115" s="139">
        <f t="shared" si="70"/>
        <v>0</v>
      </c>
      <c r="U115" s="357"/>
      <c r="V115" s="358"/>
      <c r="W115" s="144"/>
    </row>
    <row r="116" spans="1:23" ht="15" hidden="1" customHeight="1" outlineLevel="1" thickBot="1">
      <c r="A116" s="353"/>
      <c r="B116" s="359">
        <f t="shared" si="71"/>
        <v>6.0799999999999983</v>
      </c>
      <c r="C116" s="360" t="s">
        <v>790</v>
      </c>
      <c r="D116" s="360" t="s">
        <v>788</v>
      </c>
      <c r="E116" s="360">
        <v>11</v>
      </c>
      <c r="F116" s="347" t="str">
        <f t="shared" si="65"/>
        <v>120V 1Ø</v>
      </c>
      <c r="G116" s="361" t="str" cm="1">
        <f t="array" ref="G116">_xlfn.SWITCH(I116,"13mm",(IF(H116="Rectangular",VLOOKUP(I116,[1]MATERIALES!$C$124:$D$125,2,FALSE),IF(H116="Octagonal",VLOOKUP(I116,[1]MATERIALES!$C$126:$D$127,2,FALSE),IF(H116="WP",VLOOKUP(I116,[1]MATERIALES!$C$128:$D$129,2,FALSE),IF(H116="5x5",VLOOKUP(I116,[1]MATERIALES!$C$130:$D$132,2,FALSE)))))),"19mm",(IF(H116="Rectangular",VLOOKUP(I116,[1]MATERIALES!$C$124:$D$125,2,FALSE),IF(H116="Octagonal",VLOOKUP(I116,[1]MATERIALES!$C$126:$D$127,2,FALSE),IF(H116="WP",VLOOKUP(I116,[1]MATERIALES!$C$128:$D$129,2,FALSE),IF(H116="5x5",VLOOKUP(I116,[1]MATERIALES!$C$130:$D$132,2,FALSE)))))),"25mm",IF(H116="Rectangular","-",IF(H116="Octagonal","--",IF(H116="WP","---",IF(H116="5x5",VLOOKUP(I116,[1]MATERIALES!$C$130:$D$132,2,FALSE),0)))),"38mm","-","50mm","-","75mm","-","100mm","-")</f>
        <v>Caja EMT 2x4 1/2" USA UL</v>
      </c>
      <c r="H116" s="369" t="s">
        <v>188</v>
      </c>
      <c r="I116" s="366" t="str">
        <f>I111</f>
        <v>13mm</v>
      </c>
      <c r="J116" s="316"/>
      <c r="K116" s="345" t="str">
        <f t="shared" si="66"/>
        <v>Unid.</v>
      </c>
      <c r="L116" s="28">
        <f>L123+L125</f>
        <v>6</v>
      </c>
      <c r="M116" s="248" t="str">
        <f>IFERROR(VLOOKUP(G116,[1]MATERIALES!$D$5:$I$1368,2,FALSE),0)</f>
        <v xml:space="preserve">Suplidores electricos </v>
      </c>
      <c r="N116" s="367" t="e">
        <f t="shared" si="62"/>
        <v>#VALUE!</v>
      </c>
      <c r="O116" s="140" t="e">
        <f t="shared" si="67"/>
        <v>#VALUE!</v>
      </c>
      <c r="P116" s="367" t="e">
        <f t="shared" si="68"/>
        <v>#VALUE!</v>
      </c>
      <c r="Q116" s="140" t="e">
        <f t="shared" si="63"/>
        <v>#VALUE!</v>
      </c>
      <c r="R116" s="368" t="e">
        <f t="shared" si="64"/>
        <v>#VALUE!</v>
      </c>
      <c r="S116" s="140">
        <f t="shared" si="69"/>
        <v>0</v>
      </c>
      <c r="T116" s="139">
        <f t="shared" si="70"/>
        <v>0</v>
      </c>
      <c r="U116" s="357"/>
      <c r="V116" s="358"/>
      <c r="W116" s="144"/>
    </row>
    <row r="117" spans="1:23" ht="15" hidden="1" customHeight="1" outlineLevel="1" thickBot="1">
      <c r="A117" s="353"/>
      <c r="B117" s="359">
        <f t="shared" si="71"/>
        <v>6.0899999999999981</v>
      </c>
      <c r="C117" s="360" t="s">
        <v>790</v>
      </c>
      <c r="D117" s="360" t="s">
        <v>788</v>
      </c>
      <c r="E117" s="360">
        <v>11</v>
      </c>
      <c r="F117" s="347" t="str">
        <f t="shared" si="65"/>
        <v>120V 1Ø</v>
      </c>
      <c r="G117" s="370" t="str">
        <f>IF(H117="Rectangular",[1]MATERIALES!$D$133,IF(H116="Octagonal",[1]MATERIALES!$D$134,IF(H116="WP",[1]MATERIALES!#REF!,IF(H116="5x5",[1]MATERIALES!$D$136,0))))</f>
        <v>CAJA REG. 12X12X4 N3R</v>
      </c>
      <c r="H117" s="369" t="str">
        <f>H116</f>
        <v>Rectangular</v>
      </c>
      <c r="I117" s="366" t="str">
        <f>I111</f>
        <v>13mm</v>
      </c>
      <c r="J117" s="316"/>
      <c r="K117" s="345" t="str">
        <f t="shared" si="66"/>
        <v>Unid.</v>
      </c>
      <c r="L117" s="28">
        <f>L116</f>
        <v>6</v>
      </c>
      <c r="M117" s="248" t="str">
        <f>IFERROR(VLOOKUP(G117,[1]MATERIALES!$D$5:$I$1368,2,FALSE),0)</f>
        <v xml:space="preserve">Suplidores electricos </v>
      </c>
      <c r="N117" s="367" t="e">
        <f t="shared" si="62"/>
        <v>#VALUE!</v>
      </c>
      <c r="O117" s="140" t="e">
        <f t="shared" si="67"/>
        <v>#VALUE!</v>
      </c>
      <c r="P117" s="367" t="e">
        <f t="shared" si="68"/>
        <v>#VALUE!</v>
      </c>
      <c r="Q117" s="140" t="e">
        <f t="shared" si="63"/>
        <v>#VALUE!</v>
      </c>
      <c r="R117" s="368" t="e">
        <f t="shared" si="64"/>
        <v>#VALUE!</v>
      </c>
      <c r="S117" s="140">
        <f t="shared" si="69"/>
        <v>0</v>
      </c>
      <c r="T117" s="139">
        <f t="shared" si="70"/>
        <v>0</v>
      </c>
      <c r="U117" s="357"/>
      <c r="V117" s="358"/>
      <c r="W117" s="144"/>
    </row>
    <row r="118" spans="1:23" ht="15" hidden="1" customHeight="1" outlineLevel="1" thickBot="1">
      <c r="A118" s="353"/>
      <c r="B118" s="359">
        <f t="shared" si="71"/>
        <v>6.0999999999999979</v>
      </c>
      <c r="C118" s="360" t="s">
        <v>790</v>
      </c>
      <c r="D118" s="360" t="s">
        <v>788</v>
      </c>
      <c r="E118" s="360">
        <v>11</v>
      </c>
      <c r="F118" s="347" t="str">
        <f t="shared" si="65"/>
        <v>120V 1Ø</v>
      </c>
      <c r="G118" s="371" t="str">
        <f>"Fase A"&amp;": "&amp;I118</f>
        <v>Fase A: Conductor 12 AWG THHN</v>
      </c>
      <c r="H118" s="366" t="s">
        <v>181</v>
      </c>
      <c r="I118" s="366" t="s">
        <v>189</v>
      </c>
      <c r="J118" s="366">
        <f>J109</f>
        <v>20.32</v>
      </c>
      <c r="K118" s="345" t="str">
        <f>IF(OR(H118="Conductores Americanos",H118="Conductores Europeos"),"Pies","Unid.")</f>
        <v>Pies</v>
      </c>
      <c r="L118" s="28">
        <f>ROUNDUP(J118*3.28,0)</f>
        <v>67</v>
      </c>
      <c r="M118" s="140" t="str">
        <f>VLOOKUP(I118,[1]MATERIALES!$D$5:$I$1368,2,FALSE)</f>
        <v xml:space="preserve">Suplidores electricos </v>
      </c>
      <c r="N118" s="367" t="e">
        <f t="shared" si="62"/>
        <v>#VALUE!</v>
      </c>
      <c r="O118" s="140" t="e">
        <f t="shared" si="67"/>
        <v>#VALUE!</v>
      </c>
      <c r="P118" s="367" t="e">
        <f t="shared" si="68"/>
        <v>#VALUE!</v>
      </c>
      <c r="Q118" s="140" t="e">
        <f t="shared" si="63"/>
        <v>#VALUE!</v>
      </c>
      <c r="R118" s="368" t="e">
        <f t="shared" si="64"/>
        <v>#VALUE!</v>
      </c>
      <c r="S118" s="140">
        <f t="shared" si="69"/>
        <v>0</v>
      </c>
      <c r="T118" s="139">
        <f t="shared" si="70"/>
        <v>0</v>
      </c>
      <c r="U118" s="357"/>
      <c r="V118" s="358"/>
      <c r="W118" s="144"/>
    </row>
    <row r="119" spans="1:23" ht="15" hidden="1" customHeight="1" outlineLevel="1" thickBot="1">
      <c r="A119" s="353"/>
      <c r="B119" s="359">
        <f t="shared" si="71"/>
        <v>6.1099999999999977</v>
      </c>
      <c r="C119" s="360" t="s">
        <v>790</v>
      </c>
      <c r="D119" s="360" t="s">
        <v>788</v>
      </c>
      <c r="E119" s="360">
        <v>11</v>
      </c>
      <c r="F119" s="347" t="str">
        <f t="shared" si="65"/>
        <v>120V 1Ø</v>
      </c>
      <c r="G119" s="371" t="str">
        <f>IF(F119="120V 1Ø","-",("Fase B"&amp;": "&amp;I119))</f>
        <v>-</v>
      </c>
      <c r="H119" s="366" t="str">
        <f t="shared" ref="H119:I121" si="72">H118</f>
        <v>Conductores Americanos</v>
      </c>
      <c r="I119" s="366" t="str">
        <f t="shared" si="72"/>
        <v>Conductor 12 AWG THHN</v>
      </c>
      <c r="J119" s="366">
        <f>IF(G119="-",0,J109)</f>
        <v>0</v>
      </c>
      <c r="K119" s="345" t="str">
        <f t="shared" ref="K119:K124" si="73">IF(OR(H119="Conductores Americanos",H119="Conductores Europeos"),"Pies","Unid.")</f>
        <v>Pies</v>
      </c>
      <c r="L119" s="28">
        <f>ROUNDUP(J119*3.28,0)</f>
        <v>0</v>
      </c>
      <c r="M119" s="140" t="str">
        <f>VLOOKUP(I119,[1]MATERIALES!$D$5:$I$1368,2,FALSE)</f>
        <v xml:space="preserve">Suplidores electricos </v>
      </c>
      <c r="N119" s="367" t="e">
        <f t="shared" si="62"/>
        <v>#VALUE!</v>
      </c>
      <c r="O119" s="140" t="e">
        <f t="shared" si="67"/>
        <v>#VALUE!</v>
      </c>
      <c r="P119" s="367" t="e">
        <f t="shared" si="68"/>
        <v>#VALUE!</v>
      </c>
      <c r="Q119" s="140" t="e">
        <f t="shared" si="63"/>
        <v>#VALUE!</v>
      </c>
      <c r="R119" s="368" t="e">
        <f t="shared" si="64"/>
        <v>#VALUE!</v>
      </c>
      <c r="S119" s="140">
        <f t="shared" si="69"/>
        <v>0</v>
      </c>
      <c r="T119" s="139">
        <f t="shared" si="70"/>
        <v>0</v>
      </c>
      <c r="U119" s="357"/>
      <c r="V119" s="358"/>
      <c r="W119" s="144"/>
    </row>
    <row r="120" spans="1:23" ht="15" hidden="1" customHeight="1" outlineLevel="1" thickBot="1">
      <c r="A120" s="353"/>
      <c r="B120" s="359">
        <f t="shared" si="71"/>
        <v>6.1199999999999974</v>
      </c>
      <c r="C120" s="360" t="s">
        <v>790</v>
      </c>
      <c r="D120" s="360" t="s">
        <v>788</v>
      </c>
      <c r="E120" s="360">
        <v>11</v>
      </c>
      <c r="F120" s="347" t="str">
        <f t="shared" si="65"/>
        <v>120V 1Ø</v>
      </c>
      <c r="G120" s="371" t="str">
        <f>IF(F120="120V 1Ø","-",IF(F120="240V 1Ø","-",("Fase C"&amp;": "&amp;I118)))</f>
        <v>-</v>
      </c>
      <c r="H120" s="366" t="str">
        <f t="shared" si="72"/>
        <v>Conductores Americanos</v>
      </c>
      <c r="I120" s="366" t="str">
        <f t="shared" si="72"/>
        <v>Conductor 12 AWG THHN</v>
      </c>
      <c r="J120" s="366">
        <f>IF(G120="-",0,J109)</f>
        <v>0</v>
      </c>
      <c r="K120" s="345" t="str">
        <f t="shared" si="73"/>
        <v>Pies</v>
      </c>
      <c r="L120" s="28">
        <f>ROUNDUP(J120*3.28,0)</f>
        <v>0</v>
      </c>
      <c r="M120" s="140" t="str">
        <f>VLOOKUP(I120,[1]MATERIALES!$D$5:$I$1368,2,FALSE)</f>
        <v xml:space="preserve">Suplidores electricos </v>
      </c>
      <c r="N120" s="367" t="e">
        <f t="shared" si="62"/>
        <v>#VALUE!</v>
      </c>
      <c r="O120" s="140" t="e">
        <f t="shared" si="67"/>
        <v>#VALUE!</v>
      </c>
      <c r="P120" s="367" t="e">
        <f t="shared" si="68"/>
        <v>#VALUE!</v>
      </c>
      <c r="Q120" s="140" t="e">
        <f t="shared" si="63"/>
        <v>#VALUE!</v>
      </c>
      <c r="R120" s="368" t="e">
        <f t="shared" si="64"/>
        <v>#VALUE!</v>
      </c>
      <c r="S120" s="140">
        <f t="shared" si="69"/>
        <v>0</v>
      </c>
      <c r="T120" s="139">
        <f t="shared" si="70"/>
        <v>0</v>
      </c>
      <c r="U120" s="357"/>
      <c r="V120" s="358"/>
      <c r="W120" s="144"/>
    </row>
    <row r="121" spans="1:23" ht="15" hidden="1" customHeight="1" outlineLevel="1" thickBot="1">
      <c r="A121" s="353"/>
      <c r="B121" s="359">
        <f t="shared" si="71"/>
        <v>6.1299999999999972</v>
      </c>
      <c r="C121" s="360" t="s">
        <v>790</v>
      </c>
      <c r="D121" s="360" t="s">
        <v>788</v>
      </c>
      <c r="E121" s="360">
        <v>11</v>
      </c>
      <c r="F121" s="347" t="str">
        <f t="shared" si="65"/>
        <v>120V 1Ø</v>
      </c>
      <c r="G121" s="372" t="str">
        <f>IF(F121="240V 1Ø","-",IF(F121="480V 3Ø","-",("Neutro"&amp;": "&amp;I118)))</f>
        <v>Neutro: Conductor 12 AWG THHN</v>
      </c>
      <c r="H121" s="366" t="str">
        <f t="shared" si="72"/>
        <v>Conductores Americanos</v>
      </c>
      <c r="I121" s="366" t="str">
        <f t="shared" si="72"/>
        <v>Conductor 12 AWG THHN</v>
      </c>
      <c r="J121" s="366">
        <f>IF(G121="-",0,J109)</f>
        <v>20.32</v>
      </c>
      <c r="K121" s="345" t="str">
        <f t="shared" si="73"/>
        <v>Pies</v>
      </c>
      <c r="L121" s="28">
        <f>ROUNDUP(J121*3.28,0)</f>
        <v>67</v>
      </c>
      <c r="M121" s="140" t="str">
        <f>VLOOKUP(I121,[1]MATERIALES!$D$5:$I$1368,2,FALSE)</f>
        <v xml:space="preserve">Suplidores electricos </v>
      </c>
      <c r="N121" s="367" t="e">
        <f t="shared" si="62"/>
        <v>#VALUE!</v>
      </c>
      <c r="O121" s="140" t="e">
        <f t="shared" si="67"/>
        <v>#VALUE!</v>
      </c>
      <c r="P121" s="367" t="e">
        <f t="shared" si="68"/>
        <v>#VALUE!</v>
      </c>
      <c r="Q121" s="140" t="e">
        <f t="shared" si="63"/>
        <v>#VALUE!</v>
      </c>
      <c r="R121" s="368" t="e">
        <f t="shared" si="64"/>
        <v>#VALUE!</v>
      </c>
      <c r="S121" s="140">
        <f t="shared" si="69"/>
        <v>0</v>
      </c>
      <c r="T121" s="139">
        <f t="shared" si="70"/>
        <v>0</v>
      </c>
      <c r="U121" s="357"/>
      <c r="V121" s="358"/>
      <c r="W121" s="144"/>
    </row>
    <row r="122" spans="1:23" ht="15" hidden="1" customHeight="1" outlineLevel="1" thickBot="1">
      <c r="A122" s="353"/>
      <c r="B122" s="359">
        <f t="shared" si="71"/>
        <v>6.139999999999997</v>
      </c>
      <c r="C122" s="360" t="s">
        <v>790</v>
      </c>
      <c r="D122" s="360" t="s">
        <v>788</v>
      </c>
      <c r="E122" s="360">
        <v>11</v>
      </c>
      <c r="F122" s="347" t="str">
        <f t="shared" si="65"/>
        <v>120V 1Ø</v>
      </c>
      <c r="G122" s="372" t="str">
        <f>"Tierra"&amp;": "&amp;I122</f>
        <v>Tierra: Conductor 12 AWG THHN</v>
      </c>
      <c r="H122" s="366" t="str">
        <f>H121</f>
        <v>Conductores Americanos</v>
      </c>
      <c r="I122" s="366" t="str">
        <f>I121</f>
        <v>Conductor 12 AWG THHN</v>
      </c>
      <c r="J122" s="366">
        <f>J109</f>
        <v>20.32</v>
      </c>
      <c r="K122" s="345" t="str">
        <f t="shared" si="73"/>
        <v>Pies</v>
      </c>
      <c r="L122" s="28">
        <f>ROUNDUP(J122*3.28,0)</f>
        <v>67</v>
      </c>
      <c r="M122" s="140" t="str">
        <f>VLOOKUP(I122,[1]MATERIALES!$D$5:$I$1368,2,FALSE)</f>
        <v xml:space="preserve">Suplidores electricos </v>
      </c>
      <c r="N122" s="367" t="e">
        <f t="shared" si="62"/>
        <v>#VALUE!</v>
      </c>
      <c r="O122" s="140" t="e">
        <f t="shared" si="67"/>
        <v>#VALUE!</v>
      </c>
      <c r="P122" s="367" t="e">
        <f t="shared" si="68"/>
        <v>#VALUE!</v>
      </c>
      <c r="Q122" s="140" t="e">
        <f t="shared" si="63"/>
        <v>#VALUE!</v>
      </c>
      <c r="R122" s="368" t="e">
        <f t="shared" si="64"/>
        <v>#VALUE!</v>
      </c>
      <c r="S122" s="140">
        <f t="shared" si="69"/>
        <v>0</v>
      </c>
      <c r="T122" s="139">
        <f t="shared" si="70"/>
        <v>0</v>
      </c>
      <c r="U122" s="357"/>
      <c r="V122" s="358"/>
      <c r="W122" s="144"/>
    </row>
    <row r="123" spans="1:23" ht="15" hidden="1" customHeight="1" outlineLevel="1" thickBot="1">
      <c r="A123" s="353"/>
      <c r="B123" s="359">
        <f t="shared" si="71"/>
        <v>6.1499999999999968</v>
      </c>
      <c r="C123" s="360" t="s">
        <v>790</v>
      </c>
      <c r="D123" s="360" t="s">
        <v>788</v>
      </c>
      <c r="E123" s="360">
        <v>11</v>
      </c>
      <c r="F123" s="347" t="str">
        <f t="shared" si="65"/>
        <v>120V 1Ø</v>
      </c>
      <c r="G123" s="361" t="str" cm="1">
        <f t="array" ref="G123">IFERROR(VLOOKUP(H123&amp;"|"&amp;I123,CHOOSE({1,2},[1]MATERIALES!$B$168:$B$175&amp;"|"&amp;[1]MATERIALES!$C$168:$C$175,[1]MATERIALES!$D$168:$D$175),2,0),"-")</f>
        <v>Tomacorriente 15A Matix (AM5115D + 503SB/SA)</v>
      </c>
      <c r="H123" s="373" t="s">
        <v>382</v>
      </c>
      <c r="I123" s="373" t="s">
        <v>380</v>
      </c>
      <c r="J123" s="316"/>
      <c r="K123" s="345" t="str">
        <f t="shared" si="73"/>
        <v>Unid.</v>
      </c>
      <c r="L123" s="218">
        <v>5</v>
      </c>
      <c r="M123" s="248">
        <f>IFERROR(VLOOKUP(G123,[1]MATERIALES!$D$5:$I$1368,2,FALSE),0)</f>
        <v>0</v>
      </c>
      <c r="N123" s="367">
        <f t="shared" si="62"/>
        <v>0</v>
      </c>
      <c r="O123" s="140">
        <f t="shared" si="67"/>
        <v>0</v>
      </c>
      <c r="P123" s="367">
        <f t="shared" si="68"/>
        <v>0</v>
      </c>
      <c r="Q123" s="140">
        <f t="shared" si="63"/>
        <v>0</v>
      </c>
      <c r="R123" s="368">
        <f t="shared" si="64"/>
        <v>0</v>
      </c>
      <c r="S123" s="140">
        <f t="shared" si="69"/>
        <v>0</v>
      </c>
      <c r="T123" s="139">
        <f t="shared" si="70"/>
        <v>0</v>
      </c>
      <c r="U123" s="357"/>
      <c r="V123" s="358"/>
      <c r="W123" s="144"/>
    </row>
    <row r="124" spans="1:23" ht="15" hidden="1" customHeight="1" outlineLevel="1" thickBot="1">
      <c r="A124" s="353"/>
      <c r="B124" s="359">
        <f t="shared" si="71"/>
        <v>6.1599999999999966</v>
      </c>
      <c r="C124" s="360" t="s">
        <v>790</v>
      </c>
      <c r="D124" s="360" t="s">
        <v>788</v>
      </c>
      <c r="E124" s="360">
        <v>11</v>
      </c>
      <c r="F124" s="347" t="str">
        <f t="shared" si="65"/>
        <v>120V 1Ø</v>
      </c>
      <c r="G124" s="361" t="str" cm="1">
        <f t="array" ref="G124">IFERROR(VLOOKUP(H124&amp;"|"&amp;I124,CHOOSE({1,2},[1]MATERIALES!$B$176:$B$185&amp;"|"&amp;[1]MATERIALES!$C$176:$C$185,[1]MATERIALES!$D$176:$D$185),2,0),"-")</f>
        <v>Tapa para tomacorriente MATIX (AM503/3N)</v>
      </c>
      <c r="H124" s="366" t="str">
        <f>H123</f>
        <v>MATIX</v>
      </c>
      <c r="I124" s="373" t="s">
        <v>392</v>
      </c>
      <c r="J124" s="316"/>
      <c r="K124" s="345" t="str">
        <f t="shared" si="73"/>
        <v>Unid.</v>
      </c>
      <c r="L124" s="345">
        <f>L123</f>
        <v>5</v>
      </c>
      <c r="M124" s="248">
        <f>IFERROR(VLOOKUP(G124,[1]MATERIALES!$D$5:$I$1368,2,FALSE),0)</f>
        <v>0</v>
      </c>
      <c r="N124" s="367">
        <f t="shared" si="62"/>
        <v>0</v>
      </c>
      <c r="O124" s="140">
        <f t="shared" si="67"/>
        <v>0</v>
      </c>
      <c r="P124" s="367">
        <f t="shared" si="68"/>
        <v>0</v>
      </c>
      <c r="Q124" s="140">
        <f t="shared" si="63"/>
        <v>0</v>
      </c>
      <c r="R124" s="368">
        <f t="shared" si="64"/>
        <v>0</v>
      </c>
      <c r="S124" s="140">
        <f t="shared" si="69"/>
        <v>0</v>
      </c>
      <c r="T124" s="139">
        <f t="shared" si="70"/>
        <v>0</v>
      </c>
      <c r="U124" s="357"/>
      <c r="V124" s="358"/>
      <c r="W124" s="144"/>
    </row>
    <row r="125" spans="1:23" ht="15" hidden="1" customHeight="1" outlineLevel="1" thickBot="1">
      <c r="A125" s="353"/>
      <c r="B125" s="359">
        <f t="shared" si="71"/>
        <v>6.1699999999999964</v>
      </c>
      <c r="C125" s="360" t="s">
        <v>790</v>
      </c>
      <c r="D125" s="360" t="s">
        <v>788</v>
      </c>
      <c r="E125" s="360">
        <v>11</v>
      </c>
      <c r="F125" s="347" t="str">
        <f t="shared" si="65"/>
        <v>120V 1Ø</v>
      </c>
      <c r="G125" s="361" t="str" cm="1">
        <f t="array" ref="G125">IFERROR(VLOOKUP(H125&amp;"|"&amp;I125,CHOOSE({1,2},[1]MATERIALES!$B$168:$B$175&amp;"|"&amp;[1]MATERIALES!$C$168:$C$175,[1]MATERIALES!$D$168:$D$175),2,0),"-")</f>
        <v>Tomacorriente GFCI 20A Matix (AM5028GFR)</v>
      </c>
      <c r="H125" s="373" t="s">
        <v>382</v>
      </c>
      <c r="I125" s="373" t="s">
        <v>384</v>
      </c>
      <c r="J125" s="316"/>
      <c r="K125" s="345" t="str">
        <f>IF(OR(H125="Conductores Americanos",H125="Conductores Europeos"),"Pies","Unid.")</f>
        <v>Unid.</v>
      </c>
      <c r="L125" s="218">
        <v>1</v>
      </c>
      <c r="M125" s="248">
        <f>IFERROR(VLOOKUP(G125,[1]MATERIALES!$D$5:$I$1368,2,FALSE),0)</f>
        <v>0</v>
      </c>
      <c r="N125" s="367">
        <f>M125/$N$2</f>
        <v>0</v>
      </c>
      <c r="O125" s="140">
        <f>+L125*M125</f>
        <v>0</v>
      </c>
      <c r="P125" s="367">
        <f>L125*N125</f>
        <v>0</v>
      </c>
      <c r="Q125" s="140">
        <f t="shared" si="63"/>
        <v>0</v>
      </c>
      <c r="R125" s="368">
        <f t="shared" si="64"/>
        <v>0</v>
      </c>
      <c r="S125" s="140">
        <f>+IFERROR(Q125/L125,0)</f>
        <v>0</v>
      </c>
      <c r="T125" s="139">
        <f>+IFERROR(R125/L125,0)</f>
        <v>0</v>
      </c>
      <c r="U125" s="357"/>
      <c r="V125" s="358"/>
      <c r="W125" s="144"/>
    </row>
    <row r="126" spans="1:23" ht="15" hidden="1" customHeight="1" outlineLevel="1" thickBot="1">
      <c r="A126" s="353"/>
      <c r="B126" s="359">
        <f t="shared" si="71"/>
        <v>6.1799999999999962</v>
      </c>
      <c r="C126" s="360" t="s">
        <v>790</v>
      </c>
      <c r="D126" s="360" t="s">
        <v>788</v>
      </c>
      <c r="E126" s="360">
        <v>11</v>
      </c>
      <c r="F126" s="347" t="str">
        <f t="shared" si="65"/>
        <v>120V 1Ø</v>
      </c>
      <c r="G126" s="361" t="str" cm="1">
        <f t="array" ref="G126">IFERROR(VLOOKUP(H126&amp;"|"&amp;I126,CHOOSE({1,2},[1]MATERIALES!$B$168:$B$175&amp;"|"&amp;[1]MATERIALES!$C$168:$C$175,[1]MATERIALES!$D$168:$D$175),2,0),"-")</f>
        <v>-</v>
      </c>
      <c r="H126" s="366" t="str">
        <f>H125</f>
        <v>MATIX</v>
      </c>
      <c r="I126" s="373"/>
      <c r="J126" s="316"/>
      <c r="K126" s="345" t="str">
        <f>IF(OR(H126="Conductores Americanos",H126="Conductores Europeos"),"Pies","Unid.")</f>
        <v>Unid.</v>
      </c>
      <c r="L126" s="345">
        <f>L125</f>
        <v>1</v>
      </c>
      <c r="M126" s="248">
        <f>IFERROR(VLOOKUP(G126,[1]MATERIALES!$D$5:$I$1368,2,FALSE),0)</f>
        <v>0</v>
      </c>
      <c r="N126" s="367">
        <f>M126/$N$2</f>
        <v>0</v>
      </c>
      <c r="O126" s="140">
        <f>+L126*M126</f>
        <v>0</v>
      </c>
      <c r="P126" s="367">
        <f>L126*N126</f>
        <v>0</v>
      </c>
      <c r="Q126" s="140">
        <f t="shared" si="63"/>
        <v>0</v>
      </c>
      <c r="R126" s="368">
        <f t="shared" si="64"/>
        <v>0</v>
      </c>
      <c r="S126" s="140">
        <f>+IFERROR(Q126/L126,0)</f>
        <v>0</v>
      </c>
      <c r="T126" s="139">
        <f>+IFERROR(R126/L126,0)</f>
        <v>0</v>
      </c>
      <c r="U126" s="357"/>
      <c r="V126" s="358"/>
      <c r="W126" s="144"/>
    </row>
    <row r="127" spans="1:23" ht="15" hidden="1" customHeight="1" outlineLevel="1" thickBot="1">
      <c r="A127" s="353"/>
      <c r="B127" s="359">
        <f t="shared" si="71"/>
        <v>6.1899999999999959</v>
      </c>
      <c r="C127" s="360" t="s">
        <v>790</v>
      </c>
      <c r="D127" s="360" t="s">
        <v>788</v>
      </c>
      <c r="E127" s="360">
        <v>11</v>
      </c>
      <c r="F127" s="347" t="str">
        <f>F124</f>
        <v>120V 1Ø</v>
      </c>
      <c r="G127" s="371" t="s">
        <v>422</v>
      </c>
      <c r="H127" s="316"/>
      <c r="I127" s="316"/>
      <c r="J127" s="316"/>
      <c r="K127" s="345" t="str">
        <f t="shared" ref="K127" si="74">IF(OR(H127="Conductores Americanos",H127="Conductores Europeos"),"Pies","Unid.")</f>
        <v>Unid.</v>
      </c>
      <c r="L127" s="345">
        <f>3*(L114)</f>
        <v>21</v>
      </c>
      <c r="M127" s="248">
        <f>IFERROR(VLOOKUP(G127,[1]MATERIALES!$D$5:$I$1368,2,FALSE),0)</f>
        <v>0</v>
      </c>
      <c r="N127" s="367">
        <f t="shared" ref="N127:N129" si="75">M127/$N$2</f>
        <v>0</v>
      </c>
      <c r="O127" s="140">
        <f t="shared" ref="O127:O129" si="76">+L127*M127</f>
        <v>0</v>
      </c>
      <c r="P127" s="367">
        <f t="shared" ref="P127:P129" si="77">L127*N127</f>
        <v>0</v>
      </c>
      <c r="Q127" s="140">
        <f t="shared" si="63"/>
        <v>0</v>
      </c>
      <c r="R127" s="368">
        <f t="shared" si="64"/>
        <v>0</v>
      </c>
      <c r="S127" s="140">
        <f t="shared" ref="S127:S129" si="78">+IFERROR(Q127/L127,0)</f>
        <v>0</v>
      </c>
      <c r="T127" s="139">
        <f t="shared" ref="T127:T129" si="79">+IFERROR(R127/L127,0)</f>
        <v>0</v>
      </c>
      <c r="U127" s="357" t="e">
        <f>SUM(R127:R129)</f>
        <v>#VALUE!</v>
      </c>
      <c r="V127" s="358" t="e">
        <f>'[1]1. OFERTA'!#REF!</f>
        <v>#REF!</v>
      </c>
      <c r="W127" s="144" t="e">
        <f>U127-V127</f>
        <v>#VALUE!</v>
      </c>
    </row>
    <row r="128" spans="1:23" ht="15" hidden="1" customHeight="1" outlineLevel="1" thickBot="1">
      <c r="A128" s="353"/>
      <c r="B128" s="359">
        <f t="shared" si="71"/>
        <v>6.1999999999999957</v>
      </c>
      <c r="C128" s="360" t="s">
        <v>790</v>
      </c>
      <c r="D128" s="360" t="s">
        <v>788</v>
      </c>
      <c r="E128" s="360">
        <v>11</v>
      </c>
      <c r="F128" s="347" t="str">
        <f>F127</f>
        <v>120V 1Ø</v>
      </c>
      <c r="G128" s="374" t="s">
        <v>424</v>
      </c>
      <c r="H128" s="316"/>
      <c r="I128" s="316"/>
      <c r="J128" s="316"/>
      <c r="K128" s="345" t="s">
        <v>784</v>
      </c>
      <c r="L128" s="28">
        <f>ROUNDUP(L113+L114+L116,0)</f>
        <v>34</v>
      </c>
      <c r="M128" s="248">
        <f>IFERROR(VLOOKUP(G128,[1]MATERIALES!$D$5:$I$1368,2,FALSE),0)</f>
        <v>0</v>
      </c>
      <c r="N128" s="367">
        <f t="shared" si="75"/>
        <v>0</v>
      </c>
      <c r="O128" s="140">
        <f t="shared" si="76"/>
        <v>0</v>
      </c>
      <c r="P128" s="367">
        <f t="shared" si="77"/>
        <v>0</v>
      </c>
      <c r="Q128" s="140">
        <f t="shared" si="63"/>
        <v>0</v>
      </c>
      <c r="R128" s="368">
        <f t="shared" si="64"/>
        <v>0</v>
      </c>
      <c r="S128" s="140">
        <f t="shared" si="78"/>
        <v>0</v>
      </c>
      <c r="T128" s="139">
        <f t="shared" si="79"/>
        <v>0</v>
      </c>
      <c r="U128" s="357"/>
      <c r="V128" s="358"/>
      <c r="W128" s="144"/>
    </row>
    <row r="129" spans="1:23" ht="15" hidden="1" customHeight="1" outlineLevel="1" thickBot="1">
      <c r="A129" s="353"/>
      <c r="B129" s="359">
        <f t="shared" si="71"/>
        <v>6.2099999999999955</v>
      </c>
      <c r="C129" s="360" t="s">
        <v>790</v>
      </c>
      <c r="D129" s="360" t="s">
        <v>788</v>
      </c>
      <c r="E129" s="360">
        <v>11</v>
      </c>
      <c r="F129" s="347" t="str">
        <f>F128</f>
        <v>120V 1Ø</v>
      </c>
      <c r="G129" s="374" t="s">
        <v>168</v>
      </c>
      <c r="H129" s="316"/>
      <c r="I129" s="316"/>
      <c r="J129" s="316"/>
      <c r="K129" s="345" t="s">
        <v>784</v>
      </c>
      <c r="L129" s="28">
        <f>L128</f>
        <v>34</v>
      </c>
      <c r="M129" s="248" t="str">
        <f>IFERROR(VLOOKUP(G129,[1]MATERIALES!$D$5:$I$1368,2,FALSE),0)</f>
        <v xml:space="preserve">Marba Dominicana </v>
      </c>
      <c r="N129" s="367" t="e">
        <f t="shared" si="75"/>
        <v>#VALUE!</v>
      </c>
      <c r="O129" s="140" t="e">
        <f t="shared" si="76"/>
        <v>#VALUE!</v>
      </c>
      <c r="P129" s="367" t="e">
        <f t="shared" si="77"/>
        <v>#VALUE!</v>
      </c>
      <c r="Q129" s="140" t="e">
        <f t="shared" si="63"/>
        <v>#VALUE!</v>
      </c>
      <c r="R129" s="368" t="e">
        <f t="shared" si="64"/>
        <v>#VALUE!</v>
      </c>
      <c r="S129" s="140">
        <f t="shared" si="78"/>
        <v>0</v>
      </c>
      <c r="T129" s="139">
        <f t="shared" si="79"/>
        <v>0</v>
      </c>
      <c r="U129" s="357"/>
      <c r="V129" s="358"/>
      <c r="W129" s="144"/>
    </row>
    <row r="130" spans="1:23" ht="15" customHeight="1" collapsed="1" thickBot="1">
      <c r="A130" s="353"/>
      <c r="B130" s="354">
        <v>7</v>
      </c>
      <c r="C130" s="355" t="s">
        <v>791</v>
      </c>
      <c r="D130" s="269" t="s">
        <v>788</v>
      </c>
      <c r="E130" s="269">
        <v>12</v>
      </c>
      <c r="F130" s="270" t="s">
        <v>783</v>
      </c>
      <c r="G130" s="271"/>
      <c r="H130" s="272"/>
      <c r="I130" s="272"/>
      <c r="J130" s="272"/>
      <c r="K130" s="268"/>
      <c r="L130" s="268"/>
      <c r="M130" s="273"/>
      <c r="N130" s="274"/>
      <c r="O130" s="273"/>
      <c r="P130" s="274"/>
      <c r="Q130" s="273"/>
      <c r="R130" s="275"/>
      <c r="S130" s="273"/>
      <c r="T130" s="276"/>
      <c r="U130" s="357" t="e">
        <f>SUM(R131:R149)</f>
        <v>#VALUE!</v>
      </c>
      <c r="V130" s="358">
        <f>'[1]1. OFERTA'!H87</f>
        <v>629.3583726708074</v>
      </c>
      <c r="W130" s="144" t="e">
        <f>U130-V130</f>
        <v>#VALUE!</v>
      </c>
    </row>
    <row r="131" spans="1:23" ht="15" hidden="1" customHeight="1" outlineLevel="1" thickBot="1">
      <c r="A131" s="353"/>
      <c r="B131" s="359">
        <f t="shared" ref="B131:B193" si="80">B130+0.01</f>
        <v>7.01</v>
      </c>
      <c r="C131" s="360" t="s">
        <v>791</v>
      </c>
      <c r="D131" s="360" t="s">
        <v>788</v>
      </c>
      <c r="E131" s="360">
        <v>12</v>
      </c>
      <c r="F131" s="347" t="s">
        <v>783</v>
      </c>
      <c r="G131" s="361" t="str">
        <f>IF(H131="PVC",VLOOKUP(I131,[1]MATERIALES!$C$5:$D$11,2,FALSE),IF(H131="EMT",VLOOKUP(I131,[1]MATERIALES!$C$40:$D$46,2,FALSE),IF(H131="IMC",VLOOKUP(I131,[1]MATERIALES!$C$82:$D$88,2,FALSE),IF(H131="LFNC",VLOOKUP(I131,[1]MATERIALES!$C$110:$D$116,2,FALSE),0))))</f>
        <v>Tubería PVC SDR-26 1/2"</v>
      </c>
      <c r="H131" s="362" t="s">
        <v>184</v>
      </c>
      <c r="I131" s="362" t="s">
        <v>216</v>
      </c>
      <c r="J131" s="362">
        <v>13.38</v>
      </c>
      <c r="K131" s="134" t="str">
        <f>IF(OR(H131="Conductores Americanos",H131="Conductores Europeos"),"Pies","Unid.")</f>
        <v>Unid.</v>
      </c>
      <c r="L131" s="363">
        <f>IF(H131="PVC",ROUNDUP(J131/6,0),IF(H131="EMT",ROUNDUP(J131/3,0),IF(H131="IMC",ROUNDUP(J131/3,0),IF(H131="LFNC",ROUNDUP(3.28*J131,0),0))))</f>
        <v>3</v>
      </c>
      <c r="M131" s="248" t="str">
        <f>IFERROR(VLOOKUP(G131,[1]MATERIALES!$D$5:$I$1368,2,FALSE),0)</f>
        <v xml:space="preserve">Suplidores electricos </v>
      </c>
      <c r="N131" s="364" t="e">
        <f t="shared" ref="N131:N149" si="81">M131/$N$2</f>
        <v>#VALUE!</v>
      </c>
      <c r="O131" s="248" t="e">
        <f>+L131*M131</f>
        <v>#VALUE!</v>
      </c>
      <c r="P131" s="364" t="e">
        <f>L131*N131</f>
        <v>#VALUE!</v>
      </c>
      <c r="Q131" s="248" t="e">
        <f t="shared" ref="Q131:Q149" si="82">+$O131+($O131*$R$2)</f>
        <v>#VALUE!</v>
      </c>
      <c r="R131" s="365" t="e">
        <f t="shared" ref="R131:R149" si="83">+$P131+($P131*$R$2)</f>
        <v>#VALUE!</v>
      </c>
      <c r="S131" s="248">
        <f>+IFERROR(Q131/L131,0)</f>
        <v>0</v>
      </c>
      <c r="T131" s="146">
        <f>+IFERROR(R131/L131,0)</f>
        <v>0</v>
      </c>
      <c r="U131" s="357"/>
      <c r="V131" s="358"/>
      <c r="W131" s="144"/>
    </row>
    <row r="132" spans="1:23" ht="15" hidden="1" customHeight="1" outlineLevel="1" thickBot="1">
      <c r="A132" s="353"/>
      <c r="B132" s="359">
        <f t="shared" si="80"/>
        <v>7.02</v>
      </c>
      <c r="C132" s="360" t="s">
        <v>791</v>
      </c>
      <c r="D132" s="360" t="s">
        <v>788</v>
      </c>
      <c r="E132" s="360">
        <v>12</v>
      </c>
      <c r="F132" s="347" t="str">
        <f t="shared" ref="F132:F149" si="84">F131</f>
        <v>120V 1Ø</v>
      </c>
      <c r="G132" s="361" t="str">
        <f>IF(H132="PVC",VLOOKUP(I132,[1]MATERIALES!$C$12:$D$18,2,FALSE),IF(H132="EMT",VLOOKUP(I132,[1]MATERIALES!$C$47:$D$53,2,FALSE),IF(H132="IMC",VLOOKUP(I132,[1]MATERIALES!$C$89:$D$96,2,FALSE),"-")))</f>
        <v>Coupling PVC 1/2"</v>
      </c>
      <c r="H132" s="366" t="str">
        <f>H131</f>
        <v>PVC</v>
      </c>
      <c r="I132" s="366" t="str">
        <f>I131</f>
        <v>13mm</v>
      </c>
      <c r="J132" s="316"/>
      <c r="K132" s="345" t="str">
        <f t="shared" ref="K132:K139" si="85">IF(OR(H132="Conductores Americanos",H132="Conductores Europeos"),"Pies","Unid.")</f>
        <v>Unid.</v>
      </c>
      <c r="L132" s="28">
        <f>IF(H132="LFNC",0,L131)</f>
        <v>3</v>
      </c>
      <c r="M132" s="140" t="str">
        <f>IF(H132="LFNC",0,VLOOKUP(G132,[1]MATERIALES!$D$5:$I$1368,2,FALSE))</f>
        <v xml:space="preserve">Suplidores electricos </v>
      </c>
      <c r="N132" s="367" t="e">
        <f t="shared" si="81"/>
        <v>#VALUE!</v>
      </c>
      <c r="O132" s="140" t="e">
        <f t="shared" ref="O132:O149" si="86">+L132*M132</f>
        <v>#VALUE!</v>
      </c>
      <c r="P132" s="367" t="e">
        <f t="shared" ref="P132:P149" si="87">L132*N132</f>
        <v>#VALUE!</v>
      </c>
      <c r="Q132" s="140" t="e">
        <f t="shared" si="82"/>
        <v>#VALUE!</v>
      </c>
      <c r="R132" s="368" t="e">
        <f t="shared" si="83"/>
        <v>#VALUE!</v>
      </c>
      <c r="S132" s="140">
        <f t="shared" ref="S132:S149" si="88">+IFERROR(Q132/L132,0)</f>
        <v>0</v>
      </c>
      <c r="T132" s="139">
        <f t="shared" ref="T132:T149" si="89">+IFERROR(R132/L132,0)</f>
        <v>0</v>
      </c>
      <c r="U132" s="357"/>
      <c r="V132" s="358"/>
      <c r="W132" s="144"/>
    </row>
    <row r="133" spans="1:23" ht="15" hidden="1" customHeight="1" outlineLevel="1" thickBot="1">
      <c r="A133" s="353"/>
      <c r="B133" s="359">
        <f t="shared" si="80"/>
        <v>7.0299999999999994</v>
      </c>
      <c r="C133" s="360" t="s">
        <v>791</v>
      </c>
      <c r="D133" s="360" t="s">
        <v>788</v>
      </c>
      <c r="E133" s="360">
        <v>12</v>
      </c>
      <c r="F133" s="347" t="str">
        <f t="shared" si="84"/>
        <v>120V 1Ø</v>
      </c>
      <c r="G133" s="361" t="str">
        <f>IF(H133="PVC",VLOOKUP(I133,[1]MATERIALES!$C$19:$D$25,2,FALSE),IF(H133="EMT",VLOOKUP(I133,[1]MATERIALES!$C$54:$D$60,2,FALSE),IF(H133="IMC",VLOOKUP(I133,[1]MATERIALES!$C$96:$D$102,2,FALSE),IF(H133="LFNC",VLOOKUP(I133,[1]MATERIALES!$C$117:$D$123,2,FALSE),0))))</f>
        <v>Adaptador Macho PVC 1/2"</v>
      </c>
      <c r="H133" s="366" t="str">
        <f>H131</f>
        <v>PVC</v>
      </c>
      <c r="I133" s="366" t="str">
        <f>I131</f>
        <v>13mm</v>
      </c>
      <c r="J133" s="316"/>
      <c r="K133" s="345" t="str">
        <f t="shared" si="85"/>
        <v>Unid.</v>
      </c>
      <c r="L133" s="28">
        <f>1+L136*2+L138</f>
        <v>27</v>
      </c>
      <c r="M133" s="248" t="str">
        <f>IFERROR(VLOOKUP(G133,[1]MATERIALES!$D$5:$I$1368,2,FALSE),0)</f>
        <v xml:space="preserve">Suplidores electricos </v>
      </c>
      <c r="N133" s="367" t="e">
        <f t="shared" si="81"/>
        <v>#VALUE!</v>
      </c>
      <c r="O133" s="140" t="e">
        <f t="shared" si="86"/>
        <v>#VALUE!</v>
      </c>
      <c r="P133" s="367" t="e">
        <f t="shared" si="87"/>
        <v>#VALUE!</v>
      </c>
      <c r="Q133" s="140" t="e">
        <f t="shared" si="82"/>
        <v>#VALUE!</v>
      </c>
      <c r="R133" s="368" t="e">
        <f t="shared" si="83"/>
        <v>#VALUE!</v>
      </c>
      <c r="S133" s="140">
        <f t="shared" si="88"/>
        <v>0</v>
      </c>
      <c r="T133" s="139">
        <f t="shared" si="89"/>
        <v>0</v>
      </c>
      <c r="U133" s="357"/>
      <c r="V133" s="358"/>
      <c r="W133" s="144"/>
    </row>
    <row r="134" spans="1:23" ht="15" hidden="1" customHeight="1" outlineLevel="1" thickBot="1">
      <c r="A134" s="353"/>
      <c r="B134" s="359">
        <f t="shared" si="80"/>
        <v>7.0399999999999991</v>
      </c>
      <c r="C134" s="360" t="s">
        <v>791</v>
      </c>
      <c r="D134" s="360" t="s">
        <v>788</v>
      </c>
      <c r="E134" s="360">
        <v>12</v>
      </c>
      <c r="F134" s="347" t="str">
        <f t="shared" si="84"/>
        <v>120V 1Ø</v>
      </c>
      <c r="G134" s="361" t="str">
        <f>IF(H134="PVC",VLOOKUP(I134,[1]MATERIALES!$C$33:$D$39,2,FALSE),IF(H134="EMT",VLOOKUP(I134,[1]MATERIALES!$C$61:$D$67,2,FALSE),IF(H134="IMC",VLOOKUP(I134,[1]MATERIALES!$C$103:$D$109,2,FALSE),"-")))</f>
        <v>Curva 90 PVC SDR 1/2"</v>
      </c>
      <c r="H134" s="366" t="str">
        <f>H131</f>
        <v>PVC</v>
      </c>
      <c r="I134" s="366" t="str">
        <f>I131</f>
        <v>13mm</v>
      </c>
      <c r="J134" s="316"/>
      <c r="K134" s="345" t="str">
        <f t="shared" si="85"/>
        <v>Unid.</v>
      </c>
      <c r="L134" s="28">
        <f>IF(H134="LFNC",0,(1+L145))</f>
        <v>9</v>
      </c>
      <c r="M134" s="140" t="str">
        <f>IF(H134="LFNC",0,VLOOKUP(G134,[1]MATERIALES!$D$5:$I$1368,2,FALSE))</f>
        <v xml:space="preserve">Suplidores electricos </v>
      </c>
      <c r="N134" s="367" t="e">
        <f t="shared" si="81"/>
        <v>#VALUE!</v>
      </c>
      <c r="O134" s="140" t="e">
        <f t="shared" si="86"/>
        <v>#VALUE!</v>
      </c>
      <c r="P134" s="367" t="e">
        <f t="shared" si="87"/>
        <v>#VALUE!</v>
      </c>
      <c r="Q134" s="140" t="e">
        <f t="shared" si="82"/>
        <v>#VALUE!</v>
      </c>
      <c r="R134" s="368" t="e">
        <f t="shared" si="83"/>
        <v>#VALUE!</v>
      </c>
      <c r="S134" s="140">
        <f t="shared" si="88"/>
        <v>0</v>
      </c>
      <c r="T134" s="139">
        <f t="shared" si="89"/>
        <v>0</v>
      </c>
      <c r="U134" s="357"/>
      <c r="V134" s="358"/>
      <c r="W134" s="144"/>
    </row>
    <row r="135" spans="1:23" ht="15" hidden="1" customHeight="1" outlineLevel="1" thickBot="1">
      <c r="A135" s="353"/>
      <c r="B135" s="359">
        <f t="shared" si="80"/>
        <v>7.0499999999999989</v>
      </c>
      <c r="C135" s="360" t="s">
        <v>791</v>
      </c>
      <c r="D135" s="360" t="s">
        <v>788</v>
      </c>
      <c r="E135" s="360">
        <v>12</v>
      </c>
      <c r="F135" s="347" t="str">
        <f t="shared" si="84"/>
        <v>120V 1Ø</v>
      </c>
      <c r="G135" s="361" t="str">
        <f>VLOOKUP(I135,[1]MATERIALES!$C$68:$D$74,2,FALSE)</f>
        <v>Abrazadera EMT 1/2'' </v>
      </c>
      <c r="H135" s="316"/>
      <c r="I135" s="366" t="str">
        <f>I131</f>
        <v>13mm</v>
      </c>
      <c r="J135" s="316"/>
      <c r="K135" s="345" t="str">
        <f t="shared" si="85"/>
        <v>Unid.</v>
      </c>
      <c r="L135" s="28">
        <f>ROUNDUP(J131,0)</f>
        <v>14</v>
      </c>
      <c r="M135" s="248" t="str">
        <f>IFERROR(VLOOKUP(G135,[1]MATERIALES!$D$5:$I$1368,2,FALSE),0)</f>
        <v xml:space="preserve">Suplidores electricos </v>
      </c>
      <c r="N135" s="367" t="e">
        <f t="shared" si="81"/>
        <v>#VALUE!</v>
      </c>
      <c r="O135" s="140" t="e">
        <f t="shared" si="86"/>
        <v>#VALUE!</v>
      </c>
      <c r="P135" s="367" t="e">
        <f t="shared" si="87"/>
        <v>#VALUE!</v>
      </c>
      <c r="Q135" s="140" t="e">
        <f t="shared" si="82"/>
        <v>#VALUE!</v>
      </c>
      <c r="R135" s="368" t="e">
        <f t="shared" si="83"/>
        <v>#VALUE!</v>
      </c>
      <c r="S135" s="140">
        <f t="shared" si="88"/>
        <v>0</v>
      </c>
      <c r="T135" s="139">
        <f t="shared" si="89"/>
        <v>0</v>
      </c>
      <c r="U135" s="357"/>
      <c r="V135" s="358"/>
      <c r="W135" s="144"/>
    </row>
    <row r="136" spans="1:23" ht="15" hidden="1" customHeight="1" outlineLevel="1" thickBot="1">
      <c r="A136" s="353"/>
      <c r="B136" s="359">
        <f t="shared" si="80"/>
        <v>7.0599999999999987</v>
      </c>
      <c r="C136" s="360" t="s">
        <v>791</v>
      </c>
      <c r="D136" s="360" t="s">
        <v>788</v>
      </c>
      <c r="E136" s="360">
        <v>12</v>
      </c>
      <c r="F136" s="347" t="str">
        <f t="shared" si="84"/>
        <v>120V 1Ø</v>
      </c>
      <c r="G136" s="361" t="str" cm="1">
        <f t="array" ref="G136">_xlfn.SWITCH(I136,"13mm",(IF(H136="Rectangular",VLOOKUP(I136,[1]MATERIALES!$C$124:$D$125,2,FALSE),IF(H136="Octagonal",VLOOKUP(I136,[1]MATERIALES!$C$126:$D$127,2,FALSE),IF(H136="WP",VLOOKUP(I136,[1]MATERIALES!$C$128:$D$129,2,FALSE),IF(H136="5x5",VLOOKUP(I136,[1]MATERIALES!$C$130:$D$132,2,FALSE)))))),"19mm",(IF(H136="Rectangular",VLOOKUP(I136,[1]MATERIALES!$C$124:$D$125,2,FALSE),IF(H136="Octagonal",VLOOKUP(I136,[1]MATERIALES!$C$126:$D$127,2,FALSE),IF(H136="WP",VLOOKUP(I136,[1]MATERIALES!$C$128:$D$129,2,FALSE),IF(H136="5x5",VLOOKUP(I136,[1]MATERIALES!$C$130:$D$132,2,FALSE)))))),"25mm",IF(H136="Rectangular","-",IF(H136="Octagonal","--",IF(H136="WP","---",IF(H136="5x5",VLOOKUP(I136,[1]MATERIALES!$C$130:$D$132,2,FALSE),0)))),"38mm","-","50mm","-","75mm","-","100mm","-")</f>
        <v>Caja EMT 2x4 1/2" USA UL</v>
      </c>
      <c r="H136" s="369" t="s">
        <v>188</v>
      </c>
      <c r="I136" s="366" t="str">
        <f>I131</f>
        <v>13mm</v>
      </c>
      <c r="J136" s="316"/>
      <c r="K136" s="345" t="str">
        <f t="shared" si="85"/>
        <v>Unid.</v>
      </c>
      <c r="L136" s="28">
        <f>1+L145</f>
        <v>9</v>
      </c>
      <c r="M136" s="248" t="str">
        <f>IFERROR(VLOOKUP(G136,[1]MATERIALES!$D$5:$I$1368,2,FALSE),0)</f>
        <v xml:space="preserve">Suplidores electricos </v>
      </c>
      <c r="N136" s="367" t="e">
        <f t="shared" si="81"/>
        <v>#VALUE!</v>
      </c>
      <c r="O136" s="140" t="e">
        <f t="shared" si="86"/>
        <v>#VALUE!</v>
      </c>
      <c r="P136" s="367" t="e">
        <f t="shared" si="87"/>
        <v>#VALUE!</v>
      </c>
      <c r="Q136" s="140" t="e">
        <f t="shared" si="82"/>
        <v>#VALUE!</v>
      </c>
      <c r="R136" s="368" t="e">
        <f t="shared" si="83"/>
        <v>#VALUE!</v>
      </c>
      <c r="S136" s="140">
        <f t="shared" si="88"/>
        <v>0</v>
      </c>
      <c r="T136" s="139">
        <f t="shared" si="89"/>
        <v>0</v>
      </c>
      <c r="U136" s="357"/>
      <c r="V136" s="358"/>
      <c r="W136" s="144"/>
    </row>
    <row r="137" spans="1:23" ht="15" hidden="1" customHeight="1" outlineLevel="1" thickBot="1">
      <c r="A137" s="353"/>
      <c r="B137" s="359">
        <f t="shared" si="80"/>
        <v>7.0699999999999985</v>
      </c>
      <c r="C137" s="360" t="s">
        <v>791</v>
      </c>
      <c r="D137" s="360" t="s">
        <v>788</v>
      </c>
      <c r="E137" s="360">
        <v>12</v>
      </c>
      <c r="F137" s="347" t="str">
        <f t="shared" si="84"/>
        <v>120V 1Ø</v>
      </c>
      <c r="G137" s="370" t="str">
        <f>IF(H137="Rectangular",[1]MATERIALES!$D$133,IF(H136="Octagonal",[1]MATERIALES!$D$134,IF(H136="WP",[1]MATERIALES!$D$135,IF(H136="5x5",[1]MATERIALES!$D$136,0))))</f>
        <v>CAJA REG. 12X12X4 N3R</v>
      </c>
      <c r="H137" s="369" t="str">
        <f>H136</f>
        <v>Rectangular</v>
      </c>
      <c r="I137" s="366" t="str">
        <f>I131</f>
        <v>13mm</v>
      </c>
      <c r="J137" s="316"/>
      <c r="K137" s="345" t="str">
        <f t="shared" si="85"/>
        <v>Unid.</v>
      </c>
      <c r="L137" s="28">
        <f>L136</f>
        <v>9</v>
      </c>
      <c r="M137" s="248" t="str">
        <f>IFERROR(VLOOKUP(G137,[1]MATERIALES!$D$5:$I$1368,2,FALSE),0)</f>
        <v xml:space="preserve">Suplidores electricos </v>
      </c>
      <c r="N137" s="367" t="e">
        <f t="shared" si="81"/>
        <v>#VALUE!</v>
      </c>
      <c r="O137" s="140" t="e">
        <f t="shared" si="86"/>
        <v>#VALUE!</v>
      </c>
      <c r="P137" s="367" t="e">
        <f t="shared" si="87"/>
        <v>#VALUE!</v>
      </c>
      <c r="Q137" s="140" t="e">
        <f t="shared" si="82"/>
        <v>#VALUE!</v>
      </c>
      <c r="R137" s="368" t="e">
        <f t="shared" si="83"/>
        <v>#VALUE!</v>
      </c>
      <c r="S137" s="140">
        <f t="shared" si="88"/>
        <v>0</v>
      </c>
      <c r="T137" s="139">
        <f t="shared" si="89"/>
        <v>0</v>
      </c>
      <c r="U137" s="357"/>
      <c r="V137" s="358"/>
      <c r="W137" s="144"/>
    </row>
    <row r="138" spans="1:23" ht="15" hidden="1" customHeight="1" outlineLevel="1" thickBot="1">
      <c r="A138" s="353"/>
      <c r="B138" s="359">
        <f t="shared" si="80"/>
        <v>7.0799999999999983</v>
      </c>
      <c r="C138" s="360" t="s">
        <v>791</v>
      </c>
      <c r="D138" s="360" t="s">
        <v>788</v>
      </c>
      <c r="E138" s="360">
        <v>12</v>
      </c>
      <c r="F138" s="347" t="str">
        <f t="shared" si="84"/>
        <v>120V 1Ø</v>
      </c>
      <c r="G138" s="361" t="str" cm="1">
        <f t="array" ref="G138">_xlfn.SWITCH(I138,"13mm",(IF(H138="Rectangular",VLOOKUP(I138,[1]MATERIALES!$C$124:$D$125,2,FALSE),IF(H138="Octagonal",VLOOKUP(I138,[1]MATERIALES!$C$126:$D$127,2,FALSE),IF(H138="WP",VLOOKUP(I138,[1]MATERIALES!$C$128:$D$129,2,FALSE),IF(H138="5x5",VLOOKUP(I138,[1]MATERIALES!$C$130:$D$132,2,FALSE)))))),"19mm",(IF(H138="Rectangular",VLOOKUP(I138,[1]MATERIALES!$C$124:$D$125,2,FALSE),IF(H138="Octagonal",VLOOKUP(I138,[1]MATERIALES!$C$126:$D$127,2,FALSE),IF(H138="WP",VLOOKUP(I138,[1]MATERIALES!$C$128:$D$129,2,FALSE),IF(H138="5x5",VLOOKUP(I138,[1]MATERIALES!$C$130:$D$132,2,FALSE)))))),"25mm",IF(H138="Rectangular","-",IF(H138="Octagonal","--",IF(H138="WP","---",IF(H138="5x5",VLOOKUP(I138,[1]MATERIALES!$C$130:$D$132,2,FALSE),0)))),"38mm","-","50mm","-","75mm","-","100mm","-")</f>
        <v>Caja EMT 2x4 1/2" USA UL</v>
      </c>
      <c r="H138" s="369" t="s">
        <v>188</v>
      </c>
      <c r="I138" s="366" t="str">
        <f>I133</f>
        <v>13mm</v>
      </c>
      <c r="J138" s="316"/>
      <c r="K138" s="345" t="str">
        <f t="shared" si="85"/>
        <v>Unid.</v>
      </c>
      <c r="L138" s="28">
        <f>L145</f>
        <v>8</v>
      </c>
      <c r="M138" s="248" t="str">
        <f>IFERROR(VLOOKUP(G138,[1]MATERIALES!$D$5:$I$1368,2,FALSE),0)</f>
        <v xml:space="preserve">Suplidores electricos </v>
      </c>
      <c r="N138" s="367" t="e">
        <f t="shared" si="81"/>
        <v>#VALUE!</v>
      </c>
      <c r="O138" s="140" t="e">
        <f t="shared" si="86"/>
        <v>#VALUE!</v>
      </c>
      <c r="P138" s="367" t="e">
        <f t="shared" si="87"/>
        <v>#VALUE!</v>
      </c>
      <c r="Q138" s="140" t="e">
        <f t="shared" si="82"/>
        <v>#VALUE!</v>
      </c>
      <c r="R138" s="368" t="e">
        <f t="shared" si="83"/>
        <v>#VALUE!</v>
      </c>
      <c r="S138" s="140">
        <f t="shared" si="88"/>
        <v>0</v>
      </c>
      <c r="T138" s="139">
        <f t="shared" si="89"/>
        <v>0</v>
      </c>
      <c r="U138" s="357"/>
      <c r="V138" s="358"/>
      <c r="W138" s="144"/>
    </row>
    <row r="139" spans="1:23" ht="15" hidden="1" customHeight="1" outlineLevel="1" thickBot="1">
      <c r="A139" s="353"/>
      <c r="B139" s="359">
        <f t="shared" si="80"/>
        <v>7.0899999999999981</v>
      </c>
      <c r="C139" s="360" t="s">
        <v>791</v>
      </c>
      <c r="D139" s="360" t="s">
        <v>788</v>
      </c>
      <c r="E139" s="360">
        <v>12</v>
      </c>
      <c r="F139" s="347" t="str">
        <f t="shared" si="84"/>
        <v>120V 1Ø</v>
      </c>
      <c r="G139" s="370" t="str">
        <f>IF(H139="Rectangular",[1]MATERIALES!$D$133,IF(H138="Octagonal",[1]MATERIALES!$D$134,IF(H138="WP",[1]MATERIALES!#REF!,IF(H138="5x5",[1]MATERIALES!$D$136,0))))</f>
        <v>CAJA REG. 12X12X4 N3R</v>
      </c>
      <c r="H139" s="369" t="str">
        <f>H138</f>
        <v>Rectangular</v>
      </c>
      <c r="I139" s="366" t="str">
        <f>I133</f>
        <v>13mm</v>
      </c>
      <c r="J139" s="316"/>
      <c r="K139" s="345" t="str">
        <f t="shared" si="85"/>
        <v>Unid.</v>
      </c>
      <c r="L139" s="28">
        <f>L138</f>
        <v>8</v>
      </c>
      <c r="M139" s="248" t="str">
        <f>IFERROR(VLOOKUP(G139,[1]MATERIALES!$D$5:$I$1368,2,FALSE),0)</f>
        <v xml:space="preserve">Suplidores electricos </v>
      </c>
      <c r="N139" s="367" t="e">
        <f t="shared" si="81"/>
        <v>#VALUE!</v>
      </c>
      <c r="O139" s="140" t="e">
        <f t="shared" si="86"/>
        <v>#VALUE!</v>
      </c>
      <c r="P139" s="367" t="e">
        <f t="shared" si="87"/>
        <v>#VALUE!</v>
      </c>
      <c r="Q139" s="140" t="e">
        <f t="shared" si="82"/>
        <v>#VALUE!</v>
      </c>
      <c r="R139" s="368" t="e">
        <f t="shared" si="83"/>
        <v>#VALUE!</v>
      </c>
      <c r="S139" s="140">
        <f t="shared" si="88"/>
        <v>0</v>
      </c>
      <c r="T139" s="139">
        <f t="shared" si="89"/>
        <v>0</v>
      </c>
      <c r="U139" s="357"/>
      <c r="V139" s="358"/>
      <c r="W139" s="144"/>
    </row>
    <row r="140" spans="1:23" ht="15" hidden="1" customHeight="1" outlineLevel="1" thickBot="1">
      <c r="A140" s="353"/>
      <c r="B140" s="359">
        <f t="shared" si="80"/>
        <v>7.0999999999999979</v>
      </c>
      <c r="C140" s="360" t="s">
        <v>791</v>
      </c>
      <c r="D140" s="360" t="s">
        <v>788</v>
      </c>
      <c r="E140" s="360">
        <v>12</v>
      </c>
      <c r="F140" s="347" t="str">
        <f t="shared" si="84"/>
        <v>120V 1Ø</v>
      </c>
      <c r="G140" s="371" t="str">
        <f>"Fase A"&amp;": "&amp;I140</f>
        <v>Fase A: Conductor 12 AWG THHN</v>
      </c>
      <c r="H140" s="366" t="s">
        <v>181</v>
      </c>
      <c r="I140" s="366" t="s">
        <v>189</v>
      </c>
      <c r="J140" s="366">
        <f>J131</f>
        <v>13.38</v>
      </c>
      <c r="K140" s="345" t="str">
        <f>IF(OR(H140="Conductores Americanos",H140="Conductores Europeos"),"Pies","Unid.")</f>
        <v>Pies</v>
      </c>
      <c r="L140" s="28">
        <f>ROUNDUP(J140*3.28,0)</f>
        <v>44</v>
      </c>
      <c r="M140" s="140" t="str">
        <f>VLOOKUP(I140,[1]MATERIALES!$D$5:$I$1368,2,FALSE)</f>
        <v xml:space="preserve">Suplidores electricos </v>
      </c>
      <c r="N140" s="367" t="e">
        <f t="shared" si="81"/>
        <v>#VALUE!</v>
      </c>
      <c r="O140" s="140" t="e">
        <f t="shared" si="86"/>
        <v>#VALUE!</v>
      </c>
      <c r="P140" s="367" t="e">
        <f t="shared" si="87"/>
        <v>#VALUE!</v>
      </c>
      <c r="Q140" s="140" t="e">
        <f t="shared" si="82"/>
        <v>#VALUE!</v>
      </c>
      <c r="R140" s="368" t="e">
        <f t="shared" si="83"/>
        <v>#VALUE!</v>
      </c>
      <c r="S140" s="140">
        <f t="shared" si="88"/>
        <v>0</v>
      </c>
      <c r="T140" s="139">
        <f t="shared" si="89"/>
        <v>0</v>
      </c>
      <c r="U140" s="357"/>
      <c r="V140" s="358"/>
      <c r="W140" s="144"/>
    </row>
    <row r="141" spans="1:23" ht="15" hidden="1" customHeight="1" outlineLevel="1" thickBot="1">
      <c r="A141" s="353"/>
      <c r="B141" s="359">
        <f t="shared" si="80"/>
        <v>7.1099999999999977</v>
      </c>
      <c r="C141" s="360" t="s">
        <v>791</v>
      </c>
      <c r="D141" s="360" t="s">
        <v>788</v>
      </c>
      <c r="E141" s="360">
        <v>12</v>
      </c>
      <c r="F141" s="347" t="str">
        <f t="shared" si="84"/>
        <v>120V 1Ø</v>
      </c>
      <c r="G141" s="371" t="str">
        <f>IF(F141="120V 1Ø","-",("Fase B"&amp;": "&amp;I141))</f>
        <v>-</v>
      </c>
      <c r="H141" s="366" t="str">
        <f t="shared" ref="H141:I143" si="90">H140</f>
        <v>Conductores Americanos</v>
      </c>
      <c r="I141" s="366" t="str">
        <f t="shared" si="90"/>
        <v>Conductor 12 AWG THHN</v>
      </c>
      <c r="J141" s="366">
        <f>IF(G141="-",0,J131)</f>
        <v>0</v>
      </c>
      <c r="K141" s="345" t="str">
        <f t="shared" ref="K141:K147" si="91">IF(OR(H141="Conductores Americanos",H141="Conductores Europeos"),"Pies","Unid.")</f>
        <v>Pies</v>
      </c>
      <c r="L141" s="28">
        <f>ROUNDUP(J141*3.28,0)</f>
        <v>0</v>
      </c>
      <c r="M141" s="140" t="str">
        <f>VLOOKUP(I141,[1]MATERIALES!$D$5:$I$1368,2,FALSE)</f>
        <v xml:space="preserve">Suplidores electricos </v>
      </c>
      <c r="N141" s="367" t="e">
        <f t="shared" si="81"/>
        <v>#VALUE!</v>
      </c>
      <c r="O141" s="140" t="e">
        <f t="shared" si="86"/>
        <v>#VALUE!</v>
      </c>
      <c r="P141" s="367" t="e">
        <f t="shared" si="87"/>
        <v>#VALUE!</v>
      </c>
      <c r="Q141" s="140" t="e">
        <f t="shared" si="82"/>
        <v>#VALUE!</v>
      </c>
      <c r="R141" s="368" t="e">
        <f t="shared" si="83"/>
        <v>#VALUE!</v>
      </c>
      <c r="S141" s="140">
        <f t="shared" si="88"/>
        <v>0</v>
      </c>
      <c r="T141" s="139">
        <f t="shared" si="89"/>
        <v>0</v>
      </c>
      <c r="U141" s="357"/>
      <c r="V141" s="358"/>
      <c r="W141" s="144"/>
    </row>
    <row r="142" spans="1:23" ht="15" hidden="1" customHeight="1" outlineLevel="1" thickBot="1">
      <c r="A142" s="353"/>
      <c r="B142" s="359">
        <f t="shared" si="80"/>
        <v>7.1199999999999974</v>
      </c>
      <c r="C142" s="360" t="s">
        <v>791</v>
      </c>
      <c r="D142" s="360" t="s">
        <v>788</v>
      </c>
      <c r="E142" s="360">
        <v>12</v>
      </c>
      <c r="F142" s="347" t="str">
        <f t="shared" si="84"/>
        <v>120V 1Ø</v>
      </c>
      <c r="G142" s="371" t="str">
        <f>IF(F142="120V 1Ø","-",IF(F142="240V 1Ø","-",("Fase C"&amp;": "&amp;I140)))</f>
        <v>-</v>
      </c>
      <c r="H142" s="366" t="str">
        <f t="shared" si="90"/>
        <v>Conductores Americanos</v>
      </c>
      <c r="I142" s="366" t="str">
        <f t="shared" si="90"/>
        <v>Conductor 12 AWG THHN</v>
      </c>
      <c r="J142" s="366">
        <f>IF(G142="-",0,J131)</f>
        <v>0</v>
      </c>
      <c r="K142" s="345" t="str">
        <f t="shared" si="91"/>
        <v>Pies</v>
      </c>
      <c r="L142" s="28">
        <f>ROUNDUP(J142*3.28,0)</f>
        <v>0</v>
      </c>
      <c r="M142" s="140" t="str">
        <f>VLOOKUP(I142,[1]MATERIALES!$D$5:$I$1368,2,FALSE)</f>
        <v xml:space="preserve">Suplidores electricos </v>
      </c>
      <c r="N142" s="367" t="e">
        <f t="shared" si="81"/>
        <v>#VALUE!</v>
      </c>
      <c r="O142" s="140" t="e">
        <f t="shared" si="86"/>
        <v>#VALUE!</v>
      </c>
      <c r="P142" s="367" t="e">
        <f t="shared" si="87"/>
        <v>#VALUE!</v>
      </c>
      <c r="Q142" s="140" t="e">
        <f t="shared" si="82"/>
        <v>#VALUE!</v>
      </c>
      <c r="R142" s="368" t="e">
        <f t="shared" si="83"/>
        <v>#VALUE!</v>
      </c>
      <c r="S142" s="140">
        <f t="shared" si="88"/>
        <v>0</v>
      </c>
      <c r="T142" s="139">
        <f t="shared" si="89"/>
        <v>0</v>
      </c>
      <c r="U142" s="357"/>
      <c r="V142" s="358"/>
      <c r="W142" s="144"/>
    </row>
    <row r="143" spans="1:23" ht="15" hidden="1" customHeight="1" outlineLevel="1" thickBot="1">
      <c r="A143" s="353"/>
      <c r="B143" s="359">
        <f t="shared" si="80"/>
        <v>7.1299999999999972</v>
      </c>
      <c r="C143" s="360" t="s">
        <v>791</v>
      </c>
      <c r="D143" s="360" t="s">
        <v>788</v>
      </c>
      <c r="E143" s="360">
        <v>12</v>
      </c>
      <c r="F143" s="347" t="str">
        <f t="shared" si="84"/>
        <v>120V 1Ø</v>
      </c>
      <c r="G143" s="372" t="str">
        <f>IF(F143="240V 1Ø","-",IF(F143="480V 3Ø","-",("Neutro"&amp;": "&amp;I140)))</f>
        <v>Neutro: Conductor 12 AWG THHN</v>
      </c>
      <c r="H143" s="366" t="str">
        <f t="shared" si="90"/>
        <v>Conductores Americanos</v>
      </c>
      <c r="I143" s="366" t="str">
        <f t="shared" si="90"/>
        <v>Conductor 12 AWG THHN</v>
      </c>
      <c r="J143" s="366">
        <f>IF(G143="-",0,J131)</f>
        <v>13.38</v>
      </c>
      <c r="K143" s="345" t="str">
        <f t="shared" si="91"/>
        <v>Pies</v>
      </c>
      <c r="L143" s="28">
        <f>ROUNDUP(J143*3.28,0)</f>
        <v>44</v>
      </c>
      <c r="M143" s="140" t="str">
        <f>VLOOKUP(I143,[1]MATERIALES!$D$5:$I$1368,2,FALSE)</f>
        <v xml:space="preserve">Suplidores electricos </v>
      </c>
      <c r="N143" s="367" t="e">
        <f t="shared" si="81"/>
        <v>#VALUE!</v>
      </c>
      <c r="O143" s="140" t="e">
        <f t="shared" si="86"/>
        <v>#VALUE!</v>
      </c>
      <c r="P143" s="367" t="e">
        <f t="shared" si="87"/>
        <v>#VALUE!</v>
      </c>
      <c r="Q143" s="140" t="e">
        <f t="shared" si="82"/>
        <v>#VALUE!</v>
      </c>
      <c r="R143" s="368" t="e">
        <f t="shared" si="83"/>
        <v>#VALUE!</v>
      </c>
      <c r="S143" s="140">
        <f t="shared" si="88"/>
        <v>0</v>
      </c>
      <c r="T143" s="139">
        <f t="shared" si="89"/>
        <v>0</v>
      </c>
      <c r="U143" s="357"/>
      <c r="V143" s="358"/>
      <c r="W143" s="144"/>
    </row>
    <row r="144" spans="1:23" ht="15" hidden="1" customHeight="1" outlineLevel="1" thickBot="1">
      <c r="A144" s="353"/>
      <c r="B144" s="359">
        <f t="shared" si="80"/>
        <v>7.139999999999997</v>
      </c>
      <c r="C144" s="360" t="s">
        <v>791</v>
      </c>
      <c r="D144" s="360" t="s">
        <v>788</v>
      </c>
      <c r="E144" s="360">
        <v>12</v>
      </c>
      <c r="F144" s="347" t="str">
        <f t="shared" si="84"/>
        <v>120V 1Ø</v>
      </c>
      <c r="G144" s="372" t="str">
        <f>"Tierra"&amp;": "&amp;I144</f>
        <v>Tierra: Conductor 12 AWG THHN</v>
      </c>
      <c r="H144" s="366" t="str">
        <f>H143</f>
        <v>Conductores Americanos</v>
      </c>
      <c r="I144" s="366" t="str">
        <f>I143</f>
        <v>Conductor 12 AWG THHN</v>
      </c>
      <c r="J144" s="366">
        <f>J131</f>
        <v>13.38</v>
      </c>
      <c r="K144" s="345" t="str">
        <f t="shared" si="91"/>
        <v>Pies</v>
      </c>
      <c r="L144" s="28">
        <f>ROUNDUP(J144*3.28,0)</f>
        <v>44</v>
      </c>
      <c r="M144" s="140" t="str">
        <f>VLOOKUP(I144,[1]MATERIALES!$D$5:$I$1368,2,FALSE)</f>
        <v xml:space="preserve">Suplidores electricos </v>
      </c>
      <c r="N144" s="367" t="e">
        <f t="shared" si="81"/>
        <v>#VALUE!</v>
      </c>
      <c r="O144" s="140" t="e">
        <f t="shared" si="86"/>
        <v>#VALUE!</v>
      </c>
      <c r="P144" s="367" t="e">
        <f t="shared" si="87"/>
        <v>#VALUE!</v>
      </c>
      <c r="Q144" s="140" t="e">
        <f t="shared" si="82"/>
        <v>#VALUE!</v>
      </c>
      <c r="R144" s="368" t="e">
        <f t="shared" si="83"/>
        <v>#VALUE!</v>
      </c>
      <c r="S144" s="140">
        <f t="shared" si="88"/>
        <v>0</v>
      </c>
      <c r="T144" s="139">
        <f t="shared" si="89"/>
        <v>0</v>
      </c>
      <c r="U144" s="357"/>
      <c r="V144" s="358"/>
      <c r="W144" s="144"/>
    </row>
    <row r="145" spans="1:23" ht="15" hidden="1" customHeight="1" outlineLevel="1" thickBot="1">
      <c r="A145" s="353"/>
      <c r="B145" s="359">
        <f t="shared" si="80"/>
        <v>7.1499999999999968</v>
      </c>
      <c r="C145" s="360" t="s">
        <v>791</v>
      </c>
      <c r="D145" s="360" t="s">
        <v>788</v>
      </c>
      <c r="E145" s="360">
        <v>12</v>
      </c>
      <c r="F145" s="347" t="str">
        <f t="shared" si="84"/>
        <v>120V 1Ø</v>
      </c>
      <c r="G145" s="361" t="str" cm="1">
        <f t="array" ref="G145">IFERROR(VLOOKUP(H145&amp;"|"&amp;I145,CHOOSE({1,2},[1]MATERIALES!$B$168:$B$175&amp;"|"&amp;[1]MATERIALES!$C$168:$C$175,[1]MATERIALES!$D$168:$D$175),2,0),"-")</f>
        <v>Tomacorriente 15A Matix (AM5115D + 503SB/SA)</v>
      </c>
      <c r="H145" s="373" t="s">
        <v>382</v>
      </c>
      <c r="I145" s="373" t="s">
        <v>380</v>
      </c>
      <c r="J145" s="316"/>
      <c r="K145" s="345" t="str">
        <f t="shared" si="91"/>
        <v>Unid.</v>
      </c>
      <c r="L145" s="218">
        <v>8</v>
      </c>
      <c r="M145" s="248">
        <f>IFERROR(VLOOKUP(G145,[1]MATERIALES!$D$5:$I$1368,2,FALSE),0)</f>
        <v>0</v>
      </c>
      <c r="N145" s="367">
        <f t="shared" si="81"/>
        <v>0</v>
      </c>
      <c r="O145" s="140">
        <f t="shared" si="86"/>
        <v>0</v>
      </c>
      <c r="P145" s="367">
        <f t="shared" si="87"/>
        <v>0</v>
      </c>
      <c r="Q145" s="140">
        <f t="shared" si="82"/>
        <v>0</v>
      </c>
      <c r="R145" s="368">
        <f t="shared" si="83"/>
        <v>0</v>
      </c>
      <c r="S145" s="140">
        <f t="shared" si="88"/>
        <v>0</v>
      </c>
      <c r="T145" s="139">
        <f t="shared" si="89"/>
        <v>0</v>
      </c>
      <c r="U145" s="357"/>
      <c r="V145" s="358"/>
      <c r="W145" s="144"/>
    </row>
    <row r="146" spans="1:23" ht="15" hidden="1" customHeight="1" outlineLevel="1" thickBot="1">
      <c r="A146" s="353"/>
      <c r="B146" s="359">
        <f t="shared" si="80"/>
        <v>7.1599999999999966</v>
      </c>
      <c r="C146" s="360" t="s">
        <v>791</v>
      </c>
      <c r="D146" s="360" t="s">
        <v>788</v>
      </c>
      <c r="E146" s="360">
        <v>12</v>
      </c>
      <c r="F146" s="347" t="str">
        <f t="shared" si="84"/>
        <v>120V 1Ø</v>
      </c>
      <c r="G146" s="361" t="str" cm="1">
        <f t="array" ref="G146">IFERROR(VLOOKUP(H146&amp;"|"&amp;I146,CHOOSE({1,2},[1]MATERIALES!$B$176:$B$185&amp;"|"&amp;[1]MATERIALES!$C$176:$C$185,[1]MATERIALES!$D$176:$D$185),2,0),"-")</f>
        <v>Tapa para tomacorriente MATIX (AM503/3N)</v>
      </c>
      <c r="H146" s="366" t="str">
        <f>H145</f>
        <v>MATIX</v>
      </c>
      <c r="I146" s="373" t="s">
        <v>392</v>
      </c>
      <c r="J146" s="316"/>
      <c r="K146" s="345" t="str">
        <f t="shared" si="91"/>
        <v>Unid.</v>
      </c>
      <c r="L146" s="345">
        <f>L145</f>
        <v>8</v>
      </c>
      <c r="M146" s="248">
        <f>IFERROR(VLOOKUP(G146,[1]MATERIALES!$D$5:$I$1368,2,FALSE),0)</f>
        <v>0</v>
      </c>
      <c r="N146" s="367">
        <f t="shared" si="81"/>
        <v>0</v>
      </c>
      <c r="O146" s="140">
        <f t="shared" si="86"/>
        <v>0</v>
      </c>
      <c r="P146" s="367">
        <f t="shared" si="87"/>
        <v>0</v>
      </c>
      <c r="Q146" s="140">
        <f t="shared" si="82"/>
        <v>0</v>
      </c>
      <c r="R146" s="368">
        <f t="shared" si="83"/>
        <v>0</v>
      </c>
      <c r="S146" s="140">
        <f t="shared" si="88"/>
        <v>0</v>
      </c>
      <c r="T146" s="139">
        <f t="shared" si="89"/>
        <v>0</v>
      </c>
      <c r="U146" s="357"/>
      <c r="V146" s="358"/>
      <c r="W146" s="144"/>
    </row>
    <row r="147" spans="1:23" ht="15" hidden="1" customHeight="1" outlineLevel="1" thickBot="1">
      <c r="A147" s="353"/>
      <c r="B147" s="359">
        <f t="shared" si="80"/>
        <v>7.1699999999999964</v>
      </c>
      <c r="C147" s="360" t="s">
        <v>791</v>
      </c>
      <c r="D147" s="360" t="s">
        <v>788</v>
      </c>
      <c r="E147" s="360">
        <v>12</v>
      </c>
      <c r="F147" s="347" t="str">
        <f t="shared" si="84"/>
        <v>120V 1Ø</v>
      </c>
      <c r="G147" s="371" t="s">
        <v>422</v>
      </c>
      <c r="H147" s="316"/>
      <c r="I147" s="316"/>
      <c r="J147" s="316"/>
      <c r="K147" s="345" t="str">
        <f t="shared" si="91"/>
        <v>Unid.</v>
      </c>
      <c r="L147" s="345">
        <f>3*(L136)</f>
        <v>27</v>
      </c>
      <c r="M147" s="248">
        <f>IFERROR(VLOOKUP(G147,[1]MATERIALES!$D$5:$I$1368,2,FALSE),0)</f>
        <v>0</v>
      </c>
      <c r="N147" s="367">
        <f t="shared" si="81"/>
        <v>0</v>
      </c>
      <c r="O147" s="140">
        <f t="shared" si="86"/>
        <v>0</v>
      </c>
      <c r="P147" s="367">
        <f t="shared" si="87"/>
        <v>0</v>
      </c>
      <c r="Q147" s="140">
        <f t="shared" si="82"/>
        <v>0</v>
      </c>
      <c r="R147" s="368">
        <f t="shared" si="83"/>
        <v>0</v>
      </c>
      <c r="S147" s="140">
        <f t="shared" si="88"/>
        <v>0</v>
      </c>
      <c r="T147" s="139">
        <f t="shared" si="89"/>
        <v>0</v>
      </c>
      <c r="U147" s="357" t="e">
        <f>SUM(R147:R149)</f>
        <v>#VALUE!</v>
      </c>
      <c r="V147" s="358" t="e">
        <f>'[1]1. OFERTA'!#REF!</f>
        <v>#REF!</v>
      </c>
      <c r="W147" s="144" t="e">
        <f>U147-V147</f>
        <v>#VALUE!</v>
      </c>
    </row>
    <row r="148" spans="1:23" ht="15" hidden="1" customHeight="1" outlineLevel="1" thickBot="1">
      <c r="A148" s="353"/>
      <c r="B148" s="359">
        <f t="shared" si="80"/>
        <v>7.1799999999999962</v>
      </c>
      <c r="C148" s="360" t="s">
        <v>791</v>
      </c>
      <c r="D148" s="360" t="s">
        <v>788</v>
      </c>
      <c r="E148" s="360">
        <v>12</v>
      </c>
      <c r="F148" s="347" t="str">
        <f t="shared" si="84"/>
        <v>120V 1Ø</v>
      </c>
      <c r="G148" s="374" t="s">
        <v>424</v>
      </c>
      <c r="H148" s="316"/>
      <c r="I148" s="316"/>
      <c r="J148" s="316"/>
      <c r="K148" s="345" t="s">
        <v>784</v>
      </c>
      <c r="L148" s="28">
        <f>ROUNDUP(L135+L136+L138,0)</f>
        <v>31</v>
      </c>
      <c r="M148" s="248">
        <f>IFERROR(VLOOKUP(G148,[1]MATERIALES!$D$5:$I$1368,2,FALSE),0)</f>
        <v>0</v>
      </c>
      <c r="N148" s="367">
        <f t="shared" si="81"/>
        <v>0</v>
      </c>
      <c r="O148" s="140">
        <f t="shared" si="86"/>
        <v>0</v>
      </c>
      <c r="P148" s="367">
        <f t="shared" si="87"/>
        <v>0</v>
      </c>
      <c r="Q148" s="140">
        <f t="shared" si="82"/>
        <v>0</v>
      </c>
      <c r="R148" s="368">
        <f t="shared" si="83"/>
        <v>0</v>
      </c>
      <c r="S148" s="140">
        <f t="shared" si="88"/>
        <v>0</v>
      </c>
      <c r="T148" s="139">
        <f t="shared" si="89"/>
        <v>0</v>
      </c>
      <c r="U148" s="357"/>
      <c r="V148" s="358"/>
      <c r="W148" s="144"/>
    </row>
    <row r="149" spans="1:23" ht="15" hidden="1" customHeight="1" outlineLevel="1" thickBot="1">
      <c r="A149" s="353"/>
      <c r="B149" s="359">
        <f t="shared" si="80"/>
        <v>7.1899999999999959</v>
      </c>
      <c r="C149" s="360" t="s">
        <v>791</v>
      </c>
      <c r="D149" s="360" t="s">
        <v>788</v>
      </c>
      <c r="E149" s="360">
        <v>12</v>
      </c>
      <c r="F149" s="347" t="str">
        <f t="shared" si="84"/>
        <v>120V 1Ø</v>
      </c>
      <c r="G149" s="374" t="s">
        <v>168</v>
      </c>
      <c r="H149" s="316"/>
      <c r="I149" s="316"/>
      <c r="J149" s="316"/>
      <c r="K149" s="345" t="s">
        <v>784</v>
      </c>
      <c r="L149" s="28">
        <f>L148</f>
        <v>31</v>
      </c>
      <c r="M149" s="248" t="str">
        <f>IFERROR(VLOOKUP(G149,[1]MATERIALES!$D$5:$I$1368,2,FALSE),0)</f>
        <v xml:space="preserve">Marba Dominicana </v>
      </c>
      <c r="N149" s="367" t="e">
        <f t="shared" si="81"/>
        <v>#VALUE!</v>
      </c>
      <c r="O149" s="140" t="e">
        <f t="shared" si="86"/>
        <v>#VALUE!</v>
      </c>
      <c r="P149" s="367" t="e">
        <f t="shared" si="87"/>
        <v>#VALUE!</v>
      </c>
      <c r="Q149" s="140" t="e">
        <f t="shared" si="82"/>
        <v>#VALUE!</v>
      </c>
      <c r="R149" s="368" t="e">
        <f t="shared" si="83"/>
        <v>#VALUE!</v>
      </c>
      <c r="S149" s="140">
        <f t="shared" si="88"/>
        <v>0</v>
      </c>
      <c r="T149" s="139">
        <f t="shared" si="89"/>
        <v>0</v>
      </c>
      <c r="U149" s="357"/>
      <c r="V149" s="358"/>
      <c r="W149" s="144"/>
    </row>
    <row r="150" spans="1:23" ht="15" customHeight="1" collapsed="1" thickBot="1">
      <c r="A150" s="353"/>
      <c r="B150" s="354">
        <v>8</v>
      </c>
      <c r="C150" s="355" t="s">
        <v>792</v>
      </c>
      <c r="D150" s="269" t="s">
        <v>788</v>
      </c>
      <c r="E150" s="269">
        <v>13</v>
      </c>
      <c r="F150" s="270" t="s">
        <v>783</v>
      </c>
      <c r="G150" s="271"/>
      <c r="H150" s="272"/>
      <c r="I150" s="272"/>
      <c r="J150" s="272"/>
      <c r="K150" s="268"/>
      <c r="L150" s="268"/>
      <c r="M150" s="273"/>
      <c r="N150" s="274"/>
      <c r="O150" s="273"/>
      <c r="P150" s="274"/>
      <c r="Q150" s="273"/>
      <c r="R150" s="275"/>
      <c r="S150" s="273"/>
      <c r="T150" s="276"/>
      <c r="U150" s="357" t="e">
        <f>SUM(R151:R171)</f>
        <v>#VALUE!</v>
      </c>
      <c r="V150" s="358" t="e">
        <f>'[1]1. OFERTA'!#REF!</f>
        <v>#REF!</v>
      </c>
      <c r="W150" s="144" t="e">
        <f>U150-V150</f>
        <v>#VALUE!</v>
      </c>
    </row>
    <row r="151" spans="1:23" ht="15" hidden="1" customHeight="1" outlineLevel="1" thickBot="1">
      <c r="A151" s="353"/>
      <c r="B151" s="359">
        <f t="shared" si="80"/>
        <v>8.01</v>
      </c>
      <c r="C151" s="360" t="s">
        <v>792</v>
      </c>
      <c r="D151" s="360" t="s">
        <v>788</v>
      </c>
      <c r="E151" s="360">
        <v>13</v>
      </c>
      <c r="F151" s="347" t="s">
        <v>783</v>
      </c>
      <c r="G151" s="361" t="str">
        <f>IF(H151="PVC",VLOOKUP(I151,[1]MATERIALES!$C$5:$D$11,2,FALSE),IF(H151="EMT",VLOOKUP(I151,[1]MATERIALES!$C$40:$D$46,2,FALSE),IF(H151="IMC",VLOOKUP(I151,[1]MATERIALES!$C$82:$D$88,2,FALSE),IF(H151="LFNC",VLOOKUP(I151,[1]MATERIALES!$C$110:$D$116,2,FALSE),0))))</f>
        <v>Tubería PVC SDR-26 1/2"</v>
      </c>
      <c r="H151" s="362" t="s">
        <v>184</v>
      </c>
      <c r="I151" s="362" t="s">
        <v>216</v>
      </c>
      <c r="J151" s="362">
        <v>30.62</v>
      </c>
      <c r="K151" s="134" t="str">
        <f>IF(OR(H151="Conductores Americanos",H151="Conductores Europeos"),"Pies","Unid.")</f>
        <v>Unid.</v>
      </c>
      <c r="L151" s="363">
        <f>IF(H151="PVC",ROUNDUP(J151/6,0),IF(H151="EMT",ROUNDUP(J151/3,0),IF(H151="IMC",ROUNDUP(J151/3,0),IF(H151="LFNC",ROUNDUP(3.28*J151,0),0))))</f>
        <v>6</v>
      </c>
      <c r="M151" s="248" t="str">
        <f>IFERROR(VLOOKUP(G151,[1]MATERIALES!$D$5:$I$1368,2,FALSE),0)</f>
        <v xml:space="preserve">Suplidores electricos </v>
      </c>
      <c r="N151" s="364" t="e">
        <f t="shared" ref="N151:N171" si="92">M151/$N$2</f>
        <v>#VALUE!</v>
      </c>
      <c r="O151" s="248" t="e">
        <f>+L151*M151</f>
        <v>#VALUE!</v>
      </c>
      <c r="P151" s="364" t="e">
        <f>L151*N151</f>
        <v>#VALUE!</v>
      </c>
      <c r="Q151" s="248" t="e">
        <f t="shared" ref="Q151:Q171" si="93">+$O151+($O151*$R$2)</f>
        <v>#VALUE!</v>
      </c>
      <c r="R151" s="365" t="e">
        <f t="shared" ref="R151:R171" si="94">+$P151+($P151*$R$2)</f>
        <v>#VALUE!</v>
      </c>
      <c r="S151" s="248">
        <f>+IFERROR(Q151/L151,0)</f>
        <v>0</v>
      </c>
      <c r="T151" s="146">
        <f>+IFERROR(R151/L151,0)</f>
        <v>0</v>
      </c>
      <c r="U151" s="357"/>
      <c r="V151" s="358"/>
      <c r="W151" s="144"/>
    </row>
    <row r="152" spans="1:23" ht="15" hidden="1" customHeight="1" outlineLevel="1" thickBot="1">
      <c r="A152" s="353"/>
      <c r="B152" s="359">
        <f t="shared" si="80"/>
        <v>8.02</v>
      </c>
      <c r="C152" s="360" t="s">
        <v>792</v>
      </c>
      <c r="D152" s="360" t="s">
        <v>788</v>
      </c>
      <c r="E152" s="360">
        <v>13</v>
      </c>
      <c r="F152" s="347" t="str">
        <f t="shared" ref="F152:F168" si="95">F151</f>
        <v>120V 1Ø</v>
      </c>
      <c r="G152" s="361" t="str">
        <f>IF(H152="PVC",VLOOKUP(I152,[1]MATERIALES!$C$12:$D$18,2,FALSE),IF(H152="EMT",VLOOKUP(I152,[1]MATERIALES!$C$47:$D$53,2,FALSE),IF(H152="IMC",VLOOKUP(I152,[1]MATERIALES!$C$89:$D$96,2,FALSE),"-")))</f>
        <v>Coupling PVC 1/2"</v>
      </c>
      <c r="H152" s="366" t="str">
        <f>H151</f>
        <v>PVC</v>
      </c>
      <c r="I152" s="366" t="str">
        <f>I151</f>
        <v>13mm</v>
      </c>
      <c r="J152" s="316"/>
      <c r="K152" s="345" t="str">
        <f t="shared" ref="K152:K159" si="96">IF(OR(H152="Conductores Americanos",H152="Conductores Europeos"),"Pies","Unid.")</f>
        <v>Unid.</v>
      </c>
      <c r="L152" s="28">
        <f>IF(H152="LFNC",0,L151)</f>
        <v>6</v>
      </c>
      <c r="M152" s="140" t="str">
        <f>IF(H152="LFNC",0,VLOOKUP(G152,[1]MATERIALES!$D$5:$I$1368,2,FALSE))</f>
        <v xml:space="preserve">Suplidores electricos </v>
      </c>
      <c r="N152" s="367" t="e">
        <f t="shared" si="92"/>
        <v>#VALUE!</v>
      </c>
      <c r="O152" s="140" t="e">
        <f t="shared" ref="O152:O171" si="97">+L152*M152</f>
        <v>#VALUE!</v>
      </c>
      <c r="P152" s="367" t="e">
        <f t="shared" ref="P152:P171" si="98">L152*N152</f>
        <v>#VALUE!</v>
      </c>
      <c r="Q152" s="140" t="e">
        <f t="shared" si="93"/>
        <v>#VALUE!</v>
      </c>
      <c r="R152" s="368" t="e">
        <f t="shared" si="94"/>
        <v>#VALUE!</v>
      </c>
      <c r="S152" s="140">
        <f t="shared" ref="S152:S171" si="99">+IFERROR(Q152/L152,0)</f>
        <v>0</v>
      </c>
      <c r="T152" s="139">
        <f t="shared" ref="T152:T171" si="100">+IFERROR(R152/L152,0)</f>
        <v>0</v>
      </c>
      <c r="U152" s="357"/>
      <c r="V152" s="358"/>
      <c r="W152" s="144"/>
    </row>
    <row r="153" spans="1:23" ht="15" hidden="1" customHeight="1" outlineLevel="1" thickBot="1">
      <c r="A153" s="353"/>
      <c r="B153" s="359">
        <f t="shared" si="80"/>
        <v>8.0299999999999994</v>
      </c>
      <c r="C153" s="360" t="s">
        <v>792</v>
      </c>
      <c r="D153" s="360" t="s">
        <v>788</v>
      </c>
      <c r="E153" s="360">
        <v>13</v>
      </c>
      <c r="F153" s="347" t="str">
        <f t="shared" si="95"/>
        <v>120V 1Ø</v>
      </c>
      <c r="G153" s="361" t="str">
        <f>IF(H153="PVC",VLOOKUP(I153,[1]MATERIALES!$C$19:$D$25,2,FALSE),IF(H153="EMT",VLOOKUP(I153,[1]MATERIALES!$C$54:$D$60,2,FALSE),IF(H153="IMC",VLOOKUP(I153,[1]MATERIALES!$C$96:$D$102,2,FALSE),IF(H153="LFNC",VLOOKUP(I153,[1]MATERIALES!$C$117:$D$123,2,FALSE),0))))</f>
        <v>Adaptador Macho PVC 1/2"</v>
      </c>
      <c r="H153" s="366" t="str">
        <f>H151</f>
        <v>PVC</v>
      </c>
      <c r="I153" s="366" t="str">
        <f>I151</f>
        <v>13mm</v>
      </c>
      <c r="J153" s="316"/>
      <c r="K153" s="345" t="str">
        <f t="shared" si="96"/>
        <v>Unid.</v>
      </c>
      <c r="L153" s="28">
        <f>1+L156*2+L158</f>
        <v>24</v>
      </c>
      <c r="M153" s="248" t="str">
        <f>IFERROR(VLOOKUP(G153,[1]MATERIALES!$D$5:$I$1368,2,FALSE),0)</f>
        <v xml:space="preserve">Suplidores electricos </v>
      </c>
      <c r="N153" s="367" t="e">
        <f t="shared" si="92"/>
        <v>#VALUE!</v>
      </c>
      <c r="O153" s="140" t="e">
        <f t="shared" si="97"/>
        <v>#VALUE!</v>
      </c>
      <c r="P153" s="367" t="e">
        <f t="shared" si="98"/>
        <v>#VALUE!</v>
      </c>
      <c r="Q153" s="140" t="e">
        <f t="shared" si="93"/>
        <v>#VALUE!</v>
      </c>
      <c r="R153" s="368" t="e">
        <f t="shared" si="94"/>
        <v>#VALUE!</v>
      </c>
      <c r="S153" s="140">
        <f t="shared" si="99"/>
        <v>0</v>
      </c>
      <c r="T153" s="139">
        <f t="shared" si="100"/>
        <v>0</v>
      </c>
      <c r="U153" s="357"/>
      <c r="V153" s="358"/>
      <c r="W153" s="144"/>
    </row>
    <row r="154" spans="1:23" ht="15" hidden="1" customHeight="1" outlineLevel="1" thickBot="1">
      <c r="A154" s="353"/>
      <c r="B154" s="359">
        <f t="shared" si="80"/>
        <v>8.0399999999999991</v>
      </c>
      <c r="C154" s="360" t="s">
        <v>792</v>
      </c>
      <c r="D154" s="360" t="s">
        <v>788</v>
      </c>
      <c r="E154" s="360">
        <v>13</v>
      </c>
      <c r="F154" s="347" t="str">
        <f t="shared" si="95"/>
        <v>120V 1Ø</v>
      </c>
      <c r="G154" s="361" t="str">
        <f>IF(H154="PVC",VLOOKUP(I154,[1]MATERIALES!$C$33:$D$39,2,FALSE),IF(H154="EMT",VLOOKUP(I154,[1]MATERIALES!$C$61:$D$67,2,FALSE),IF(H154="IMC",VLOOKUP(I154,[1]MATERIALES!$C$103:$D$109,2,FALSE),"-")))</f>
        <v>Curva 90 PVC SDR 1/2"</v>
      </c>
      <c r="H154" s="366" t="str">
        <f>H151</f>
        <v>PVC</v>
      </c>
      <c r="I154" s="366" t="str">
        <f>I151</f>
        <v>13mm</v>
      </c>
      <c r="J154" s="316"/>
      <c r="K154" s="345" t="str">
        <f t="shared" si="96"/>
        <v>Unid.</v>
      </c>
      <c r="L154" s="28">
        <f>IF(H154="LFNC",0,(1+L165+L167))</f>
        <v>8</v>
      </c>
      <c r="M154" s="140" t="str">
        <f>IF(H154="LFNC",0,VLOOKUP(G154,[1]MATERIALES!$D$5:$I$1368,2,FALSE))</f>
        <v xml:space="preserve">Suplidores electricos </v>
      </c>
      <c r="N154" s="367" t="e">
        <f t="shared" si="92"/>
        <v>#VALUE!</v>
      </c>
      <c r="O154" s="140" t="e">
        <f t="shared" si="97"/>
        <v>#VALUE!</v>
      </c>
      <c r="P154" s="367" t="e">
        <f t="shared" si="98"/>
        <v>#VALUE!</v>
      </c>
      <c r="Q154" s="140" t="e">
        <f t="shared" si="93"/>
        <v>#VALUE!</v>
      </c>
      <c r="R154" s="368" t="e">
        <f t="shared" si="94"/>
        <v>#VALUE!</v>
      </c>
      <c r="S154" s="140">
        <f t="shared" si="99"/>
        <v>0</v>
      </c>
      <c r="T154" s="139">
        <f t="shared" si="100"/>
        <v>0</v>
      </c>
      <c r="U154" s="357"/>
      <c r="V154" s="358"/>
      <c r="W154" s="144"/>
    </row>
    <row r="155" spans="1:23" ht="15" hidden="1" customHeight="1" outlineLevel="1" thickBot="1">
      <c r="A155" s="353"/>
      <c r="B155" s="359">
        <f t="shared" si="80"/>
        <v>8.0499999999999989</v>
      </c>
      <c r="C155" s="360" t="s">
        <v>792</v>
      </c>
      <c r="D155" s="360" t="s">
        <v>788</v>
      </c>
      <c r="E155" s="360">
        <v>13</v>
      </c>
      <c r="F155" s="347" t="str">
        <f t="shared" si="95"/>
        <v>120V 1Ø</v>
      </c>
      <c r="G155" s="361" t="str">
        <f>VLOOKUP(I155,[1]MATERIALES!$C$68:$D$74,2,FALSE)</f>
        <v>Abrazadera EMT 1/2'' </v>
      </c>
      <c r="H155" s="316"/>
      <c r="I155" s="366" t="str">
        <f>I151</f>
        <v>13mm</v>
      </c>
      <c r="J155" s="316"/>
      <c r="K155" s="345" t="str">
        <f t="shared" si="96"/>
        <v>Unid.</v>
      </c>
      <c r="L155" s="28">
        <f>ROUNDUP(J151,0)</f>
        <v>31</v>
      </c>
      <c r="M155" s="248" t="str">
        <f>IFERROR(VLOOKUP(G155,[1]MATERIALES!$D$5:$I$1368,2,FALSE),0)</f>
        <v xml:space="preserve">Suplidores electricos </v>
      </c>
      <c r="N155" s="367" t="e">
        <f t="shared" si="92"/>
        <v>#VALUE!</v>
      </c>
      <c r="O155" s="140" t="e">
        <f t="shared" si="97"/>
        <v>#VALUE!</v>
      </c>
      <c r="P155" s="367" t="e">
        <f t="shared" si="98"/>
        <v>#VALUE!</v>
      </c>
      <c r="Q155" s="140" t="e">
        <f t="shared" si="93"/>
        <v>#VALUE!</v>
      </c>
      <c r="R155" s="368" t="e">
        <f t="shared" si="94"/>
        <v>#VALUE!</v>
      </c>
      <c r="S155" s="140">
        <f t="shared" si="99"/>
        <v>0</v>
      </c>
      <c r="T155" s="139">
        <f t="shared" si="100"/>
        <v>0</v>
      </c>
      <c r="U155" s="357"/>
      <c r="V155" s="358"/>
      <c r="W155" s="144"/>
    </row>
    <row r="156" spans="1:23" ht="15" hidden="1" customHeight="1" outlineLevel="1" thickBot="1">
      <c r="A156" s="353"/>
      <c r="B156" s="359">
        <f t="shared" si="80"/>
        <v>8.0599999999999987</v>
      </c>
      <c r="C156" s="360" t="s">
        <v>792</v>
      </c>
      <c r="D156" s="360" t="s">
        <v>788</v>
      </c>
      <c r="E156" s="360">
        <v>13</v>
      </c>
      <c r="F156" s="347" t="str">
        <f t="shared" si="95"/>
        <v>120V 1Ø</v>
      </c>
      <c r="G156" s="361" t="str" cm="1">
        <f t="array" ref="G156">_xlfn.SWITCH(I156,"13mm",(IF(H156="Rectangular",VLOOKUP(I156,[1]MATERIALES!$C$124:$D$125,2,FALSE),IF(H156="Octagonal",VLOOKUP(I156,[1]MATERIALES!$C$126:$D$127,2,FALSE),IF(H156="WP",VLOOKUP(I156,[1]MATERIALES!$C$128:$D$129,2,FALSE),IF(H156="5x5",VLOOKUP(I156,[1]MATERIALES!$C$130:$D$132,2,FALSE)))))),"19mm",(IF(H156="Rectangular",VLOOKUP(I156,[1]MATERIALES!$C$124:$D$125,2,FALSE),IF(H156="Octagonal",VLOOKUP(I156,[1]MATERIALES!$C$126:$D$127,2,FALSE),IF(H156="WP",VLOOKUP(I156,[1]MATERIALES!$C$128:$D$129,2,FALSE),IF(H156="5x5",VLOOKUP(I156,[1]MATERIALES!$C$130:$D$132,2,FALSE)))))),"25mm",IF(H156="Rectangular","-",IF(H156="Octagonal","--",IF(H156="WP","---",IF(H156="5x5",VLOOKUP(I156,[1]MATERIALES!$C$130:$D$132,2,FALSE),0)))),"38mm","-","50mm","-","75mm","-","100mm","-")</f>
        <v>Caja EMT 2x4 1/2" USA UL</v>
      </c>
      <c r="H156" s="369" t="s">
        <v>188</v>
      </c>
      <c r="I156" s="366" t="str">
        <f>I151</f>
        <v>13mm</v>
      </c>
      <c r="J156" s="316"/>
      <c r="K156" s="345" t="str">
        <f t="shared" si="96"/>
        <v>Unid.</v>
      </c>
      <c r="L156" s="28">
        <f>1+L165+L167</f>
        <v>8</v>
      </c>
      <c r="M156" s="248" t="str">
        <f>IFERROR(VLOOKUP(G156,[1]MATERIALES!$D$5:$I$1368,2,FALSE),0)</f>
        <v xml:space="preserve">Suplidores electricos </v>
      </c>
      <c r="N156" s="367" t="e">
        <f t="shared" si="92"/>
        <v>#VALUE!</v>
      </c>
      <c r="O156" s="140" t="e">
        <f t="shared" si="97"/>
        <v>#VALUE!</v>
      </c>
      <c r="P156" s="367" t="e">
        <f t="shared" si="98"/>
        <v>#VALUE!</v>
      </c>
      <c r="Q156" s="140" t="e">
        <f t="shared" si="93"/>
        <v>#VALUE!</v>
      </c>
      <c r="R156" s="368" t="e">
        <f t="shared" si="94"/>
        <v>#VALUE!</v>
      </c>
      <c r="S156" s="140">
        <f t="shared" si="99"/>
        <v>0</v>
      </c>
      <c r="T156" s="139">
        <f t="shared" si="100"/>
        <v>0</v>
      </c>
      <c r="U156" s="357"/>
      <c r="V156" s="358"/>
      <c r="W156" s="144"/>
    </row>
    <row r="157" spans="1:23" ht="15" hidden="1" customHeight="1" outlineLevel="1" thickBot="1">
      <c r="A157" s="353"/>
      <c r="B157" s="359">
        <f t="shared" si="80"/>
        <v>8.0699999999999985</v>
      </c>
      <c r="C157" s="360" t="s">
        <v>792</v>
      </c>
      <c r="D157" s="360" t="s">
        <v>788</v>
      </c>
      <c r="E157" s="360">
        <v>13</v>
      </c>
      <c r="F157" s="347" t="str">
        <f t="shared" si="95"/>
        <v>120V 1Ø</v>
      </c>
      <c r="G157" s="370" t="str">
        <f>IF(H157="Rectangular",[1]MATERIALES!$D$133,IF(H156="Octagonal",[1]MATERIALES!$D$134,IF(H156="WP",[1]MATERIALES!$D$135,IF(H156="5x5",[1]MATERIALES!$D$136,0))))</f>
        <v>CAJA REG. 12X12X4 N3R</v>
      </c>
      <c r="H157" s="369" t="str">
        <f>H156</f>
        <v>Rectangular</v>
      </c>
      <c r="I157" s="366" t="str">
        <f>I151</f>
        <v>13mm</v>
      </c>
      <c r="J157" s="316"/>
      <c r="K157" s="345" t="str">
        <f t="shared" si="96"/>
        <v>Unid.</v>
      </c>
      <c r="L157" s="28">
        <f>L156</f>
        <v>8</v>
      </c>
      <c r="M157" s="248" t="str">
        <f>IFERROR(VLOOKUP(G157,[1]MATERIALES!$D$5:$I$1368,2,FALSE),0)</f>
        <v xml:space="preserve">Suplidores electricos </v>
      </c>
      <c r="N157" s="367" t="e">
        <f t="shared" si="92"/>
        <v>#VALUE!</v>
      </c>
      <c r="O157" s="140" t="e">
        <f t="shared" si="97"/>
        <v>#VALUE!</v>
      </c>
      <c r="P157" s="367" t="e">
        <f t="shared" si="98"/>
        <v>#VALUE!</v>
      </c>
      <c r="Q157" s="140" t="e">
        <f t="shared" si="93"/>
        <v>#VALUE!</v>
      </c>
      <c r="R157" s="368" t="e">
        <f t="shared" si="94"/>
        <v>#VALUE!</v>
      </c>
      <c r="S157" s="140">
        <f t="shared" si="99"/>
        <v>0</v>
      </c>
      <c r="T157" s="139">
        <f t="shared" si="100"/>
        <v>0</v>
      </c>
      <c r="U157" s="357"/>
      <c r="V157" s="358"/>
      <c r="W157" s="144"/>
    </row>
    <row r="158" spans="1:23" ht="15" hidden="1" customHeight="1" outlineLevel="1" thickBot="1">
      <c r="A158" s="353"/>
      <c r="B158" s="359">
        <f t="shared" si="80"/>
        <v>8.0799999999999983</v>
      </c>
      <c r="C158" s="360" t="s">
        <v>792</v>
      </c>
      <c r="D158" s="360" t="s">
        <v>788</v>
      </c>
      <c r="E158" s="360">
        <v>13</v>
      </c>
      <c r="F158" s="347" t="str">
        <f t="shared" si="95"/>
        <v>120V 1Ø</v>
      </c>
      <c r="G158" s="361" t="str" cm="1">
        <f t="array" ref="G158">_xlfn.SWITCH(I158,"13mm",(IF(H158="Rectangular",VLOOKUP(I158,[1]MATERIALES!$C$124:$D$125,2,FALSE),IF(H158="Octagonal",VLOOKUP(I158,[1]MATERIALES!$C$126:$D$127,2,FALSE),IF(H158="WP",VLOOKUP(I158,[1]MATERIALES!$C$128:$D$129,2,FALSE),IF(H158="5x5",VLOOKUP(I158,[1]MATERIALES!$C$130:$D$132,2,FALSE)))))),"19mm",(IF(H158="Rectangular",VLOOKUP(I158,[1]MATERIALES!$C$124:$D$125,2,FALSE),IF(H158="Octagonal",VLOOKUP(I158,[1]MATERIALES!$C$126:$D$127,2,FALSE),IF(H158="WP",VLOOKUP(I158,[1]MATERIALES!$C$128:$D$129,2,FALSE),IF(H158="5x5",VLOOKUP(I158,[1]MATERIALES!$C$130:$D$132,2,FALSE)))))),"25mm",IF(H158="Rectangular","-",IF(H158="Octagonal","--",IF(H158="WP","---",IF(H158="5x5",VLOOKUP(I158,[1]MATERIALES!$C$130:$D$132,2,FALSE),0)))),"38mm","-","50mm","-","75mm","-","100mm","-")</f>
        <v>Caja EMT 2x4 1/2" USA UL</v>
      </c>
      <c r="H158" s="369" t="s">
        <v>188</v>
      </c>
      <c r="I158" s="366" t="str">
        <f>I153</f>
        <v>13mm</v>
      </c>
      <c r="J158" s="316"/>
      <c r="K158" s="345" t="str">
        <f t="shared" si="96"/>
        <v>Unid.</v>
      </c>
      <c r="L158" s="28">
        <f>L165+L167</f>
        <v>7</v>
      </c>
      <c r="M158" s="248" t="str">
        <f>IFERROR(VLOOKUP(G158,[1]MATERIALES!$D$5:$I$1368,2,FALSE),0)</f>
        <v xml:space="preserve">Suplidores electricos </v>
      </c>
      <c r="N158" s="367" t="e">
        <f t="shared" si="92"/>
        <v>#VALUE!</v>
      </c>
      <c r="O158" s="140" t="e">
        <f t="shared" si="97"/>
        <v>#VALUE!</v>
      </c>
      <c r="P158" s="367" t="e">
        <f t="shared" si="98"/>
        <v>#VALUE!</v>
      </c>
      <c r="Q158" s="140" t="e">
        <f t="shared" si="93"/>
        <v>#VALUE!</v>
      </c>
      <c r="R158" s="368" t="e">
        <f t="shared" si="94"/>
        <v>#VALUE!</v>
      </c>
      <c r="S158" s="140">
        <f t="shared" si="99"/>
        <v>0</v>
      </c>
      <c r="T158" s="139">
        <f t="shared" si="100"/>
        <v>0</v>
      </c>
      <c r="U158" s="357"/>
      <c r="V158" s="358"/>
      <c r="W158" s="144"/>
    </row>
    <row r="159" spans="1:23" ht="15" hidden="1" customHeight="1" outlineLevel="1" thickBot="1">
      <c r="A159" s="353"/>
      <c r="B159" s="359">
        <f t="shared" si="80"/>
        <v>8.0899999999999981</v>
      </c>
      <c r="C159" s="360" t="s">
        <v>792</v>
      </c>
      <c r="D159" s="360" t="s">
        <v>788</v>
      </c>
      <c r="E159" s="360">
        <v>13</v>
      </c>
      <c r="F159" s="347" t="str">
        <f t="shared" si="95"/>
        <v>120V 1Ø</v>
      </c>
      <c r="G159" s="370" t="str">
        <f>IF(H159="Rectangular",[1]MATERIALES!$D$133,IF(H158="Octagonal",[1]MATERIALES!$D$134,IF(H158="WP",[1]MATERIALES!#REF!,IF(H158="5x5",[1]MATERIALES!$D$136,0))))</f>
        <v>CAJA REG. 12X12X4 N3R</v>
      </c>
      <c r="H159" s="369" t="str">
        <f>H158</f>
        <v>Rectangular</v>
      </c>
      <c r="I159" s="366" t="str">
        <f>I153</f>
        <v>13mm</v>
      </c>
      <c r="J159" s="316"/>
      <c r="K159" s="345" t="str">
        <f t="shared" si="96"/>
        <v>Unid.</v>
      </c>
      <c r="L159" s="28">
        <f>L158</f>
        <v>7</v>
      </c>
      <c r="M159" s="248" t="str">
        <f>IFERROR(VLOOKUP(G159,[1]MATERIALES!$D$5:$I$1368,2,FALSE),0)</f>
        <v xml:space="preserve">Suplidores electricos </v>
      </c>
      <c r="N159" s="367" t="e">
        <f t="shared" si="92"/>
        <v>#VALUE!</v>
      </c>
      <c r="O159" s="140" t="e">
        <f t="shared" si="97"/>
        <v>#VALUE!</v>
      </c>
      <c r="P159" s="367" t="e">
        <f t="shared" si="98"/>
        <v>#VALUE!</v>
      </c>
      <c r="Q159" s="140" t="e">
        <f t="shared" si="93"/>
        <v>#VALUE!</v>
      </c>
      <c r="R159" s="368" t="e">
        <f t="shared" si="94"/>
        <v>#VALUE!</v>
      </c>
      <c r="S159" s="140">
        <f t="shared" si="99"/>
        <v>0</v>
      </c>
      <c r="T159" s="139">
        <f t="shared" si="100"/>
        <v>0</v>
      </c>
      <c r="U159" s="357"/>
      <c r="V159" s="358"/>
      <c r="W159" s="144"/>
    </row>
    <row r="160" spans="1:23" ht="15" hidden="1" customHeight="1" outlineLevel="1" thickBot="1">
      <c r="A160" s="353"/>
      <c r="B160" s="359">
        <f t="shared" si="80"/>
        <v>8.0999999999999979</v>
      </c>
      <c r="C160" s="360" t="s">
        <v>792</v>
      </c>
      <c r="D160" s="360" t="s">
        <v>788</v>
      </c>
      <c r="E160" s="360">
        <v>13</v>
      </c>
      <c r="F160" s="347" t="str">
        <f t="shared" si="95"/>
        <v>120V 1Ø</v>
      </c>
      <c r="G160" s="371" t="str">
        <f>"Fase A"&amp;": "&amp;I160</f>
        <v>Fase A: Conductor 12 AWG THHN</v>
      </c>
      <c r="H160" s="366" t="s">
        <v>181</v>
      </c>
      <c r="I160" s="366" t="s">
        <v>189</v>
      </c>
      <c r="J160" s="366">
        <f>J151</f>
        <v>30.62</v>
      </c>
      <c r="K160" s="345" t="str">
        <f>IF(OR(H160="Conductores Americanos",H160="Conductores Europeos"),"Pies","Unid.")</f>
        <v>Pies</v>
      </c>
      <c r="L160" s="28">
        <f>ROUNDUP(J160*3.28,0)</f>
        <v>101</v>
      </c>
      <c r="M160" s="140" t="str">
        <f>VLOOKUP(I160,[1]MATERIALES!$D$5:$I$1368,2,FALSE)</f>
        <v xml:space="preserve">Suplidores electricos </v>
      </c>
      <c r="N160" s="367" t="e">
        <f t="shared" si="92"/>
        <v>#VALUE!</v>
      </c>
      <c r="O160" s="140" t="e">
        <f t="shared" si="97"/>
        <v>#VALUE!</v>
      </c>
      <c r="P160" s="367" t="e">
        <f t="shared" si="98"/>
        <v>#VALUE!</v>
      </c>
      <c r="Q160" s="140" t="e">
        <f t="shared" si="93"/>
        <v>#VALUE!</v>
      </c>
      <c r="R160" s="368" t="e">
        <f t="shared" si="94"/>
        <v>#VALUE!</v>
      </c>
      <c r="S160" s="140">
        <f t="shared" si="99"/>
        <v>0</v>
      </c>
      <c r="T160" s="139">
        <f t="shared" si="100"/>
        <v>0</v>
      </c>
      <c r="U160" s="357"/>
      <c r="V160" s="358"/>
      <c r="W160" s="144"/>
    </row>
    <row r="161" spans="1:23" ht="15" hidden="1" customHeight="1" outlineLevel="1" thickBot="1">
      <c r="A161" s="353"/>
      <c r="B161" s="359">
        <f t="shared" si="80"/>
        <v>8.1099999999999977</v>
      </c>
      <c r="C161" s="360" t="s">
        <v>792</v>
      </c>
      <c r="D161" s="360" t="s">
        <v>788</v>
      </c>
      <c r="E161" s="360">
        <v>13</v>
      </c>
      <c r="F161" s="347" t="str">
        <f t="shared" si="95"/>
        <v>120V 1Ø</v>
      </c>
      <c r="G161" s="371" t="str">
        <f>IF(F161="120V 1Ø","-",("Fase B"&amp;": "&amp;I161))</f>
        <v>-</v>
      </c>
      <c r="H161" s="366" t="str">
        <f t="shared" ref="H161:I163" si="101">H160</f>
        <v>Conductores Americanos</v>
      </c>
      <c r="I161" s="366" t="str">
        <f t="shared" si="101"/>
        <v>Conductor 12 AWG THHN</v>
      </c>
      <c r="J161" s="366">
        <f>IF(G161="-",0,J151)</f>
        <v>0</v>
      </c>
      <c r="K161" s="345" t="str">
        <f t="shared" ref="K161:K169" si="102">IF(OR(H161="Conductores Americanos",H161="Conductores Europeos"),"Pies","Unid.")</f>
        <v>Pies</v>
      </c>
      <c r="L161" s="28">
        <f>ROUNDUP(J161*3.28,0)</f>
        <v>0</v>
      </c>
      <c r="M161" s="140" t="str">
        <f>VLOOKUP(I161,[1]MATERIALES!$D$5:$I$1368,2,FALSE)</f>
        <v xml:space="preserve">Suplidores electricos </v>
      </c>
      <c r="N161" s="367" t="e">
        <f t="shared" si="92"/>
        <v>#VALUE!</v>
      </c>
      <c r="O161" s="140" t="e">
        <f t="shared" si="97"/>
        <v>#VALUE!</v>
      </c>
      <c r="P161" s="367" t="e">
        <f t="shared" si="98"/>
        <v>#VALUE!</v>
      </c>
      <c r="Q161" s="140" t="e">
        <f t="shared" si="93"/>
        <v>#VALUE!</v>
      </c>
      <c r="R161" s="368" t="e">
        <f t="shared" si="94"/>
        <v>#VALUE!</v>
      </c>
      <c r="S161" s="140">
        <f t="shared" si="99"/>
        <v>0</v>
      </c>
      <c r="T161" s="139">
        <f t="shared" si="100"/>
        <v>0</v>
      </c>
      <c r="U161" s="357"/>
      <c r="V161" s="358"/>
      <c r="W161" s="144"/>
    </row>
    <row r="162" spans="1:23" ht="15" hidden="1" customHeight="1" outlineLevel="1" thickBot="1">
      <c r="A162" s="353"/>
      <c r="B162" s="359">
        <f t="shared" si="80"/>
        <v>8.1199999999999974</v>
      </c>
      <c r="C162" s="360" t="s">
        <v>792</v>
      </c>
      <c r="D162" s="360" t="s">
        <v>788</v>
      </c>
      <c r="E162" s="360">
        <v>13</v>
      </c>
      <c r="F162" s="347" t="str">
        <f t="shared" si="95"/>
        <v>120V 1Ø</v>
      </c>
      <c r="G162" s="371" t="str">
        <f>IF(F162="120V 1Ø","-",IF(F162="240V 1Ø","-",("Fase C"&amp;": "&amp;I160)))</f>
        <v>-</v>
      </c>
      <c r="H162" s="366" t="str">
        <f t="shared" si="101"/>
        <v>Conductores Americanos</v>
      </c>
      <c r="I162" s="366" t="str">
        <f t="shared" si="101"/>
        <v>Conductor 12 AWG THHN</v>
      </c>
      <c r="J162" s="366">
        <f>IF(G162="-",0,J151)</f>
        <v>0</v>
      </c>
      <c r="K162" s="345" t="str">
        <f t="shared" si="102"/>
        <v>Pies</v>
      </c>
      <c r="L162" s="28">
        <f>ROUNDUP(J162*3.28,0)</f>
        <v>0</v>
      </c>
      <c r="M162" s="140" t="str">
        <f>VLOOKUP(I162,[1]MATERIALES!$D$5:$I$1368,2,FALSE)</f>
        <v xml:space="preserve">Suplidores electricos </v>
      </c>
      <c r="N162" s="367" t="e">
        <f t="shared" si="92"/>
        <v>#VALUE!</v>
      </c>
      <c r="O162" s="140" t="e">
        <f t="shared" si="97"/>
        <v>#VALUE!</v>
      </c>
      <c r="P162" s="367" t="e">
        <f t="shared" si="98"/>
        <v>#VALUE!</v>
      </c>
      <c r="Q162" s="140" t="e">
        <f t="shared" si="93"/>
        <v>#VALUE!</v>
      </c>
      <c r="R162" s="368" t="e">
        <f t="shared" si="94"/>
        <v>#VALUE!</v>
      </c>
      <c r="S162" s="140">
        <f t="shared" si="99"/>
        <v>0</v>
      </c>
      <c r="T162" s="139">
        <f t="shared" si="100"/>
        <v>0</v>
      </c>
      <c r="U162" s="357"/>
      <c r="V162" s="358"/>
      <c r="W162" s="144"/>
    </row>
    <row r="163" spans="1:23" ht="15" hidden="1" customHeight="1" outlineLevel="1" thickBot="1">
      <c r="A163" s="353"/>
      <c r="B163" s="359">
        <f t="shared" si="80"/>
        <v>8.1299999999999972</v>
      </c>
      <c r="C163" s="360" t="s">
        <v>792</v>
      </c>
      <c r="D163" s="360" t="s">
        <v>788</v>
      </c>
      <c r="E163" s="360">
        <v>13</v>
      </c>
      <c r="F163" s="347" t="str">
        <f t="shared" si="95"/>
        <v>120V 1Ø</v>
      </c>
      <c r="G163" s="372" t="str">
        <f>IF(F163="240V 1Ø","-",IF(F163="480V 3Ø","-",("Neutro"&amp;": "&amp;I160)))</f>
        <v>Neutro: Conductor 12 AWG THHN</v>
      </c>
      <c r="H163" s="366" t="str">
        <f t="shared" si="101"/>
        <v>Conductores Americanos</v>
      </c>
      <c r="I163" s="366" t="str">
        <f t="shared" si="101"/>
        <v>Conductor 12 AWG THHN</v>
      </c>
      <c r="J163" s="366">
        <f>IF(G163="-",0,J151)</f>
        <v>30.62</v>
      </c>
      <c r="K163" s="345" t="str">
        <f t="shared" si="102"/>
        <v>Pies</v>
      </c>
      <c r="L163" s="28">
        <f>ROUNDUP(J163*3.28,0)</f>
        <v>101</v>
      </c>
      <c r="M163" s="140" t="str">
        <f>VLOOKUP(I163,[1]MATERIALES!$D$5:$I$1368,2,FALSE)</f>
        <v xml:space="preserve">Suplidores electricos </v>
      </c>
      <c r="N163" s="367" t="e">
        <f t="shared" si="92"/>
        <v>#VALUE!</v>
      </c>
      <c r="O163" s="140" t="e">
        <f t="shared" si="97"/>
        <v>#VALUE!</v>
      </c>
      <c r="P163" s="367" t="e">
        <f t="shared" si="98"/>
        <v>#VALUE!</v>
      </c>
      <c r="Q163" s="140" t="e">
        <f t="shared" si="93"/>
        <v>#VALUE!</v>
      </c>
      <c r="R163" s="368" t="e">
        <f t="shared" si="94"/>
        <v>#VALUE!</v>
      </c>
      <c r="S163" s="140">
        <f t="shared" si="99"/>
        <v>0</v>
      </c>
      <c r="T163" s="139">
        <f t="shared" si="100"/>
        <v>0</v>
      </c>
      <c r="U163" s="357"/>
      <c r="V163" s="358"/>
      <c r="W163" s="144"/>
    </row>
    <row r="164" spans="1:23" ht="15" hidden="1" customHeight="1" outlineLevel="1" thickBot="1">
      <c r="A164" s="353"/>
      <c r="B164" s="359">
        <f t="shared" si="80"/>
        <v>8.139999999999997</v>
      </c>
      <c r="C164" s="360" t="s">
        <v>792</v>
      </c>
      <c r="D164" s="360" t="s">
        <v>788</v>
      </c>
      <c r="E164" s="360">
        <v>13</v>
      </c>
      <c r="F164" s="347" t="str">
        <f t="shared" si="95"/>
        <v>120V 1Ø</v>
      </c>
      <c r="G164" s="372" t="str">
        <f>"Tierra"&amp;": "&amp;I164</f>
        <v>Tierra: Conductor 12 AWG THHN</v>
      </c>
      <c r="H164" s="366" t="str">
        <f>H163</f>
        <v>Conductores Americanos</v>
      </c>
      <c r="I164" s="366" t="str">
        <f>I163</f>
        <v>Conductor 12 AWG THHN</v>
      </c>
      <c r="J164" s="366">
        <f>J151</f>
        <v>30.62</v>
      </c>
      <c r="K164" s="345" t="str">
        <f t="shared" si="102"/>
        <v>Pies</v>
      </c>
      <c r="L164" s="28">
        <f>ROUNDUP(J164*3.28,0)</f>
        <v>101</v>
      </c>
      <c r="M164" s="140" t="str">
        <f>VLOOKUP(I164,[1]MATERIALES!$D$5:$I$1368,2,FALSE)</f>
        <v xml:space="preserve">Suplidores electricos </v>
      </c>
      <c r="N164" s="367" t="e">
        <f t="shared" si="92"/>
        <v>#VALUE!</v>
      </c>
      <c r="O164" s="140" t="e">
        <f t="shared" si="97"/>
        <v>#VALUE!</v>
      </c>
      <c r="P164" s="367" t="e">
        <f t="shared" si="98"/>
        <v>#VALUE!</v>
      </c>
      <c r="Q164" s="140" t="e">
        <f t="shared" si="93"/>
        <v>#VALUE!</v>
      </c>
      <c r="R164" s="368" t="e">
        <f t="shared" si="94"/>
        <v>#VALUE!</v>
      </c>
      <c r="S164" s="140">
        <f t="shared" si="99"/>
        <v>0</v>
      </c>
      <c r="T164" s="139">
        <f t="shared" si="100"/>
        <v>0</v>
      </c>
      <c r="U164" s="357"/>
      <c r="V164" s="358"/>
      <c r="W164" s="144"/>
    </row>
    <row r="165" spans="1:23" ht="15" hidden="1" customHeight="1" outlineLevel="1" thickBot="1">
      <c r="A165" s="353"/>
      <c r="B165" s="359">
        <f t="shared" si="80"/>
        <v>8.1499999999999968</v>
      </c>
      <c r="C165" s="360" t="s">
        <v>792</v>
      </c>
      <c r="D165" s="360" t="s">
        <v>788</v>
      </c>
      <c r="E165" s="360">
        <v>13</v>
      </c>
      <c r="F165" s="347" t="str">
        <f t="shared" si="95"/>
        <v>120V 1Ø</v>
      </c>
      <c r="G165" s="361" t="str" cm="1">
        <f t="array" ref="G165">IFERROR(VLOOKUP(H165&amp;"|"&amp;I165,CHOOSE({1,2},[1]MATERIALES!$B$168:$B$175&amp;"|"&amp;[1]MATERIALES!$C$168:$C$175,[1]MATERIALES!$D$168:$D$175),2,0),"-")</f>
        <v>Tomacorriente 15A Matix (AM5115D + 503SB/SA)</v>
      </c>
      <c r="H165" s="373" t="s">
        <v>382</v>
      </c>
      <c r="I165" s="373" t="s">
        <v>380</v>
      </c>
      <c r="J165" s="316"/>
      <c r="K165" s="345" t="str">
        <f t="shared" si="102"/>
        <v>Unid.</v>
      </c>
      <c r="L165" s="218">
        <v>5</v>
      </c>
      <c r="M165" s="248">
        <f>IFERROR(VLOOKUP(G165,[1]MATERIALES!$D$5:$I$1368,2,FALSE),0)</f>
        <v>0</v>
      </c>
      <c r="N165" s="367">
        <f t="shared" si="92"/>
        <v>0</v>
      </c>
      <c r="O165" s="140">
        <f t="shared" si="97"/>
        <v>0</v>
      </c>
      <c r="P165" s="367">
        <f t="shared" si="98"/>
        <v>0</v>
      </c>
      <c r="Q165" s="140">
        <f t="shared" si="93"/>
        <v>0</v>
      </c>
      <c r="R165" s="368">
        <f t="shared" si="94"/>
        <v>0</v>
      </c>
      <c r="S165" s="140">
        <f t="shared" si="99"/>
        <v>0</v>
      </c>
      <c r="T165" s="139">
        <f t="shared" si="100"/>
        <v>0</v>
      </c>
      <c r="U165" s="357"/>
      <c r="V165" s="358"/>
      <c r="W165" s="144"/>
    </row>
    <row r="166" spans="1:23" ht="15" hidden="1" customHeight="1" outlineLevel="1" thickBot="1">
      <c r="A166" s="353"/>
      <c r="B166" s="359">
        <f t="shared" si="80"/>
        <v>8.1599999999999966</v>
      </c>
      <c r="C166" s="360" t="s">
        <v>792</v>
      </c>
      <c r="D166" s="360" t="s">
        <v>788</v>
      </c>
      <c r="E166" s="360">
        <v>13</v>
      </c>
      <c r="F166" s="347" t="str">
        <f t="shared" si="95"/>
        <v>120V 1Ø</v>
      </c>
      <c r="G166" s="361" t="str" cm="1">
        <f t="array" ref="G166">IFERROR(VLOOKUP(H166&amp;"|"&amp;I166,CHOOSE({1,2},[1]MATERIALES!$B$176:$B$185&amp;"|"&amp;[1]MATERIALES!$C$176:$C$185,[1]MATERIALES!$D$176:$D$185),2,0),"-")</f>
        <v>Tapa para tomacorriente MATIX (AM503/3N)</v>
      </c>
      <c r="H166" s="366" t="str">
        <f>H165</f>
        <v>MATIX</v>
      </c>
      <c r="I166" s="373" t="s">
        <v>392</v>
      </c>
      <c r="J166" s="316"/>
      <c r="K166" s="345" t="str">
        <f t="shared" si="102"/>
        <v>Unid.</v>
      </c>
      <c r="L166" s="345">
        <f>L165</f>
        <v>5</v>
      </c>
      <c r="M166" s="248">
        <f>IFERROR(VLOOKUP(G166,[1]MATERIALES!$D$5:$I$1368,2,FALSE),0)</f>
        <v>0</v>
      </c>
      <c r="N166" s="367">
        <f t="shared" si="92"/>
        <v>0</v>
      </c>
      <c r="O166" s="140">
        <f t="shared" si="97"/>
        <v>0</v>
      </c>
      <c r="P166" s="367">
        <f t="shared" si="98"/>
        <v>0</v>
      </c>
      <c r="Q166" s="140">
        <f t="shared" si="93"/>
        <v>0</v>
      </c>
      <c r="R166" s="368">
        <f t="shared" si="94"/>
        <v>0</v>
      </c>
      <c r="S166" s="140">
        <f t="shared" si="99"/>
        <v>0</v>
      </c>
      <c r="T166" s="139">
        <f t="shared" si="100"/>
        <v>0</v>
      </c>
      <c r="U166" s="357"/>
      <c r="V166" s="358"/>
      <c r="W166" s="144"/>
    </row>
    <row r="167" spans="1:23" ht="15" hidden="1" customHeight="1" outlineLevel="1" thickBot="1">
      <c r="A167" s="353"/>
      <c r="B167" s="359">
        <f t="shared" si="80"/>
        <v>8.1699999999999964</v>
      </c>
      <c r="C167" s="360" t="s">
        <v>792</v>
      </c>
      <c r="D167" s="360" t="s">
        <v>788</v>
      </c>
      <c r="E167" s="360">
        <v>13</v>
      </c>
      <c r="F167" s="347" t="str">
        <f t="shared" si="95"/>
        <v>120V 1Ø</v>
      </c>
      <c r="G167" s="361" t="str" cm="1">
        <f t="array" ref="G167">IFERROR(VLOOKUP(H167&amp;"|"&amp;I167,CHOOSE({1,2},[1]MATERIALES!$B$168:$B$175&amp;"|"&amp;[1]MATERIALES!$C$168:$C$175,[1]MATERIALES!$D$168:$D$175),2,0),"-")</f>
        <v>Tomacorriente GFCI 20A Matix (AM5028GFR)</v>
      </c>
      <c r="H167" s="373" t="s">
        <v>382</v>
      </c>
      <c r="I167" s="373" t="s">
        <v>384</v>
      </c>
      <c r="J167" s="316"/>
      <c r="K167" s="345" t="str">
        <f t="shared" si="102"/>
        <v>Unid.</v>
      </c>
      <c r="L167" s="218">
        <v>2</v>
      </c>
      <c r="M167" s="248">
        <f>IFERROR(VLOOKUP(G167,[1]MATERIALES!$D$5:$I$1368,2,FALSE),0)</f>
        <v>0</v>
      </c>
      <c r="N167" s="367">
        <f t="shared" si="92"/>
        <v>0</v>
      </c>
      <c r="O167" s="140">
        <f t="shared" si="97"/>
        <v>0</v>
      </c>
      <c r="P167" s="367">
        <f t="shared" si="98"/>
        <v>0</v>
      </c>
      <c r="Q167" s="140">
        <f t="shared" si="93"/>
        <v>0</v>
      </c>
      <c r="R167" s="368">
        <f t="shared" si="94"/>
        <v>0</v>
      </c>
      <c r="S167" s="140">
        <f t="shared" si="99"/>
        <v>0</v>
      </c>
      <c r="T167" s="139">
        <f t="shared" si="100"/>
        <v>0</v>
      </c>
      <c r="U167" s="357"/>
      <c r="V167" s="358"/>
      <c r="W167" s="144"/>
    </row>
    <row r="168" spans="1:23" ht="15" hidden="1" customHeight="1" outlineLevel="1" thickBot="1">
      <c r="A168" s="353"/>
      <c r="B168" s="359">
        <f t="shared" si="80"/>
        <v>8.1799999999999962</v>
      </c>
      <c r="C168" s="360" t="s">
        <v>792</v>
      </c>
      <c r="D168" s="360" t="s">
        <v>788</v>
      </c>
      <c r="E168" s="360">
        <v>13</v>
      </c>
      <c r="F168" s="347" t="str">
        <f t="shared" si="95"/>
        <v>120V 1Ø</v>
      </c>
      <c r="G168" s="361" t="str" cm="1">
        <f t="array" ref="G168">IFERROR(VLOOKUP(H168&amp;"|"&amp;I168,CHOOSE({1,2},[1]MATERIALES!$B$168:$B$175&amp;"|"&amp;[1]MATERIALES!$C$168:$C$175,[1]MATERIALES!$D$168:$D$175),2,0),"-")</f>
        <v>-</v>
      </c>
      <c r="H168" s="366" t="str">
        <f>H167</f>
        <v>MATIX</v>
      </c>
      <c r="I168" s="373"/>
      <c r="J168" s="316"/>
      <c r="K168" s="345" t="str">
        <f t="shared" si="102"/>
        <v>Unid.</v>
      </c>
      <c r="L168" s="345">
        <f>L167</f>
        <v>2</v>
      </c>
      <c r="M168" s="248">
        <f>IFERROR(VLOOKUP(G168,[1]MATERIALES!$D$5:$I$1368,2,FALSE),0)</f>
        <v>0</v>
      </c>
      <c r="N168" s="367">
        <f t="shared" si="92"/>
        <v>0</v>
      </c>
      <c r="O168" s="140">
        <f t="shared" si="97"/>
        <v>0</v>
      </c>
      <c r="P168" s="367">
        <f t="shared" si="98"/>
        <v>0</v>
      </c>
      <c r="Q168" s="140">
        <f t="shared" si="93"/>
        <v>0</v>
      </c>
      <c r="R168" s="368">
        <f t="shared" si="94"/>
        <v>0</v>
      </c>
      <c r="S168" s="140">
        <f t="shared" si="99"/>
        <v>0</v>
      </c>
      <c r="T168" s="139">
        <f t="shared" si="100"/>
        <v>0</v>
      </c>
      <c r="U168" s="357"/>
      <c r="V168" s="358"/>
      <c r="W168" s="144"/>
    </row>
    <row r="169" spans="1:23" ht="15" hidden="1" customHeight="1" outlineLevel="1" thickBot="1">
      <c r="A169" s="353"/>
      <c r="B169" s="359">
        <f t="shared" si="80"/>
        <v>8.1899999999999959</v>
      </c>
      <c r="C169" s="360" t="s">
        <v>792</v>
      </c>
      <c r="D169" s="360" t="s">
        <v>788</v>
      </c>
      <c r="E169" s="360">
        <v>13</v>
      </c>
      <c r="F169" s="347" t="str">
        <f>F166</f>
        <v>120V 1Ø</v>
      </c>
      <c r="G169" s="371" t="s">
        <v>422</v>
      </c>
      <c r="H169" s="316"/>
      <c r="I169" s="316"/>
      <c r="J169" s="316"/>
      <c r="K169" s="345" t="str">
        <f t="shared" si="102"/>
        <v>Unid.</v>
      </c>
      <c r="L169" s="345">
        <f>3*(L156)</f>
        <v>24</v>
      </c>
      <c r="M169" s="248">
        <f>IFERROR(VLOOKUP(G169,[1]MATERIALES!$D$5:$I$1368,2,FALSE),0)</f>
        <v>0</v>
      </c>
      <c r="N169" s="367">
        <f t="shared" si="92"/>
        <v>0</v>
      </c>
      <c r="O169" s="140">
        <f t="shared" si="97"/>
        <v>0</v>
      </c>
      <c r="P169" s="367">
        <f t="shared" si="98"/>
        <v>0</v>
      </c>
      <c r="Q169" s="140">
        <f t="shared" si="93"/>
        <v>0</v>
      </c>
      <c r="R169" s="368">
        <f t="shared" si="94"/>
        <v>0</v>
      </c>
      <c r="S169" s="140">
        <f t="shared" si="99"/>
        <v>0</v>
      </c>
      <c r="T169" s="139">
        <f t="shared" si="100"/>
        <v>0</v>
      </c>
      <c r="U169" s="357" t="e">
        <f>SUM(R169:R171)</f>
        <v>#VALUE!</v>
      </c>
      <c r="V169" s="358" t="e">
        <f>'[1]1. OFERTA'!#REF!</f>
        <v>#REF!</v>
      </c>
      <c r="W169" s="144" t="e">
        <f>U169-V169</f>
        <v>#VALUE!</v>
      </c>
    </row>
    <row r="170" spans="1:23" ht="15" hidden="1" customHeight="1" outlineLevel="1" thickBot="1">
      <c r="A170" s="353"/>
      <c r="B170" s="359">
        <f t="shared" si="80"/>
        <v>8.1999999999999957</v>
      </c>
      <c r="C170" s="360" t="s">
        <v>792</v>
      </c>
      <c r="D170" s="360" t="s">
        <v>788</v>
      </c>
      <c r="E170" s="360">
        <v>13</v>
      </c>
      <c r="F170" s="347" t="str">
        <f>F169</f>
        <v>120V 1Ø</v>
      </c>
      <c r="G170" s="374" t="s">
        <v>424</v>
      </c>
      <c r="H170" s="316"/>
      <c r="I170" s="316"/>
      <c r="J170" s="316"/>
      <c r="K170" s="345" t="s">
        <v>784</v>
      </c>
      <c r="L170" s="28">
        <f>ROUNDUP(L155+L156+L158,0)</f>
        <v>46</v>
      </c>
      <c r="M170" s="248">
        <f>IFERROR(VLOOKUP(G170,[1]MATERIALES!$D$5:$I$1368,2,FALSE),0)</f>
        <v>0</v>
      </c>
      <c r="N170" s="367">
        <f t="shared" si="92"/>
        <v>0</v>
      </c>
      <c r="O170" s="140">
        <f t="shared" si="97"/>
        <v>0</v>
      </c>
      <c r="P170" s="367">
        <f t="shared" si="98"/>
        <v>0</v>
      </c>
      <c r="Q170" s="140">
        <f t="shared" si="93"/>
        <v>0</v>
      </c>
      <c r="R170" s="368">
        <f t="shared" si="94"/>
        <v>0</v>
      </c>
      <c r="S170" s="140">
        <f t="shared" si="99"/>
        <v>0</v>
      </c>
      <c r="T170" s="139">
        <f t="shared" si="100"/>
        <v>0</v>
      </c>
      <c r="U170" s="357"/>
      <c r="V170" s="358"/>
      <c r="W170" s="144"/>
    </row>
    <row r="171" spans="1:23" ht="15" hidden="1" customHeight="1" outlineLevel="1" thickBot="1">
      <c r="A171" s="353"/>
      <c r="B171" s="359">
        <f t="shared" si="80"/>
        <v>8.2099999999999955</v>
      </c>
      <c r="C171" s="360" t="s">
        <v>792</v>
      </c>
      <c r="D171" s="360" t="s">
        <v>788</v>
      </c>
      <c r="E171" s="360">
        <v>13</v>
      </c>
      <c r="F171" s="347" t="str">
        <f>F170</f>
        <v>120V 1Ø</v>
      </c>
      <c r="G171" s="374" t="s">
        <v>168</v>
      </c>
      <c r="H171" s="316"/>
      <c r="I171" s="316"/>
      <c r="J171" s="316"/>
      <c r="K171" s="345" t="s">
        <v>784</v>
      </c>
      <c r="L171" s="28">
        <f>L170</f>
        <v>46</v>
      </c>
      <c r="M171" s="248" t="str">
        <f>IFERROR(VLOOKUP(G171,[1]MATERIALES!$D$5:$I$1368,2,FALSE),0)</f>
        <v xml:space="preserve">Marba Dominicana </v>
      </c>
      <c r="N171" s="367" t="e">
        <f t="shared" si="92"/>
        <v>#VALUE!</v>
      </c>
      <c r="O171" s="140" t="e">
        <f t="shared" si="97"/>
        <v>#VALUE!</v>
      </c>
      <c r="P171" s="367" t="e">
        <f t="shared" si="98"/>
        <v>#VALUE!</v>
      </c>
      <c r="Q171" s="140" t="e">
        <f t="shared" si="93"/>
        <v>#VALUE!</v>
      </c>
      <c r="R171" s="368" t="e">
        <f t="shared" si="94"/>
        <v>#VALUE!</v>
      </c>
      <c r="S171" s="140">
        <f t="shared" si="99"/>
        <v>0</v>
      </c>
      <c r="T171" s="139">
        <f t="shared" si="100"/>
        <v>0</v>
      </c>
      <c r="U171" s="357"/>
      <c r="V171" s="358"/>
      <c r="W171" s="144"/>
    </row>
    <row r="172" spans="1:23" ht="15" customHeight="1" collapsed="1" thickBot="1">
      <c r="A172" s="353"/>
      <c r="B172" s="354">
        <v>9</v>
      </c>
      <c r="C172" s="355" t="s">
        <v>793</v>
      </c>
      <c r="D172" s="269" t="s">
        <v>788</v>
      </c>
      <c r="E172" s="269">
        <v>1</v>
      </c>
      <c r="F172" s="270" t="s">
        <v>783</v>
      </c>
      <c r="G172" s="271"/>
      <c r="H172" s="272"/>
      <c r="I172" s="272"/>
      <c r="J172" s="272"/>
      <c r="K172" s="268"/>
      <c r="L172" s="268"/>
      <c r="M172" s="273"/>
      <c r="N172" s="274"/>
      <c r="O172" s="273"/>
      <c r="P172" s="274"/>
      <c r="Q172" s="273"/>
      <c r="R172" s="275"/>
      <c r="S172" s="273"/>
      <c r="T172" s="276"/>
      <c r="U172" s="357" t="e">
        <f>SUM(R173:R193)</f>
        <v>#VALUE!</v>
      </c>
      <c r="V172" s="358" t="e">
        <f>'[1]1. OFERTA'!#REF!</f>
        <v>#REF!</v>
      </c>
      <c r="W172" s="144" t="e">
        <f>U172-V172</f>
        <v>#VALUE!</v>
      </c>
    </row>
    <row r="173" spans="1:23" ht="15" hidden="1" customHeight="1" outlineLevel="1" thickBot="1">
      <c r="A173" s="353"/>
      <c r="B173" s="359">
        <f t="shared" si="80"/>
        <v>9.01</v>
      </c>
      <c r="C173" s="360" t="s">
        <v>793</v>
      </c>
      <c r="D173" s="360" t="s">
        <v>788</v>
      </c>
      <c r="E173" s="360">
        <v>1</v>
      </c>
      <c r="F173" s="347" t="s">
        <v>783</v>
      </c>
      <c r="G173" s="361" t="str">
        <f>IF(H173="PVC",VLOOKUP(I173,[1]MATERIALES!$C$5:$D$11,2,FALSE),IF(H173="EMT",VLOOKUP(I173,[1]MATERIALES!$C$40:$D$46,2,FALSE),IF(H173="IMC",VLOOKUP(I173,[1]MATERIALES!$C$82:$D$88,2,FALSE),IF(H173="LFNC",VLOOKUP(I173,[1]MATERIALES!$C$110:$D$116,2,FALSE),0))))</f>
        <v>Tubería PVC SDR-26 1/2"</v>
      </c>
      <c r="H173" s="362" t="s">
        <v>184</v>
      </c>
      <c r="I173" s="362" t="s">
        <v>216</v>
      </c>
      <c r="J173" s="362">
        <v>26.48</v>
      </c>
      <c r="K173" s="134" t="str">
        <f>IF(OR(H173="Conductores Americanos",H173="Conductores Europeos"),"Pies","Unid.")</f>
        <v>Unid.</v>
      </c>
      <c r="L173" s="363">
        <f>IF(H173="PVC",ROUNDUP(J173/6,0),IF(H173="EMT",ROUNDUP(J173/3,0),IF(H173="IMC",ROUNDUP(J173/3,0),IF(H173="LFNC",ROUNDUP(3.28*J173,0),0))))</f>
        <v>5</v>
      </c>
      <c r="M173" s="248" t="str">
        <f>IFERROR(VLOOKUP(G173,[1]MATERIALES!$D$5:$I$1368,2,FALSE),0)</f>
        <v xml:space="preserve">Suplidores electricos </v>
      </c>
      <c r="N173" s="364" t="e">
        <f t="shared" ref="N173:N191" si="103">M173/$N$2</f>
        <v>#VALUE!</v>
      </c>
      <c r="O173" s="248" t="e">
        <f>+L173*M173</f>
        <v>#VALUE!</v>
      </c>
      <c r="P173" s="364" t="e">
        <f>L173*N173</f>
        <v>#VALUE!</v>
      </c>
      <c r="Q173" s="248" t="e">
        <f t="shared" ref="Q173:Q193" si="104">+$O173+($O173*$R$2)</f>
        <v>#VALUE!</v>
      </c>
      <c r="R173" s="365" t="e">
        <f t="shared" ref="R173:R193" si="105">+$P173+($P173*$R$2)</f>
        <v>#VALUE!</v>
      </c>
      <c r="S173" s="248">
        <f>+IFERROR(Q173/L173,0)</f>
        <v>0</v>
      </c>
      <c r="T173" s="146">
        <f>+IFERROR(R173/L173,0)</f>
        <v>0</v>
      </c>
      <c r="U173" s="357"/>
      <c r="V173" s="358"/>
      <c r="W173" s="144"/>
    </row>
    <row r="174" spans="1:23" ht="15" hidden="1" customHeight="1" outlineLevel="1" thickBot="1">
      <c r="A174" s="353"/>
      <c r="B174" s="359">
        <f t="shared" si="80"/>
        <v>9.02</v>
      </c>
      <c r="C174" s="360" t="s">
        <v>793</v>
      </c>
      <c r="D174" s="360" t="s">
        <v>788</v>
      </c>
      <c r="E174" s="360">
        <v>1</v>
      </c>
      <c r="F174" s="347" t="str">
        <f t="shared" ref="F174:F193" si="106">F173</f>
        <v>120V 1Ø</v>
      </c>
      <c r="G174" s="361" t="str">
        <f>IF(H174="PVC",VLOOKUP(I174,[1]MATERIALES!$C$12:$D$18,2,FALSE),IF(H174="EMT",VLOOKUP(I174,[1]MATERIALES!$C$47:$D$53,2,FALSE),IF(H174="IMC",VLOOKUP(I174,[1]MATERIALES!$C$89:$D$96,2,FALSE),"-")))</f>
        <v>Coupling PVC 1/2"</v>
      </c>
      <c r="H174" s="366" t="str">
        <f>H173</f>
        <v>PVC</v>
      </c>
      <c r="I174" s="366" t="str">
        <f>I173</f>
        <v>13mm</v>
      </c>
      <c r="J174" s="316"/>
      <c r="K174" s="345" t="str">
        <f t="shared" ref="K174:K181" si="107">IF(OR(H174="Conductores Americanos",H174="Conductores Europeos"),"Pies","Unid.")</f>
        <v>Unid.</v>
      </c>
      <c r="L174" s="28">
        <f>IF(H174="LFNC",0,L173)</f>
        <v>5</v>
      </c>
      <c r="M174" s="140" t="str">
        <f>IF(H174="LFNC",0,VLOOKUP(G174,[1]MATERIALES!$D$5:$I$1368,2,FALSE))</f>
        <v xml:space="preserve">Suplidores electricos </v>
      </c>
      <c r="N174" s="367" t="e">
        <f t="shared" si="103"/>
        <v>#VALUE!</v>
      </c>
      <c r="O174" s="140" t="e">
        <f t="shared" ref="O174:O188" si="108">+L174*M174</f>
        <v>#VALUE!</v>
      </c>
      <c r="P174" s="367" t="e">
        <f t="shared" ref="P174:P188" si="109">L174*N174</f>
        <v>#VALUE!</v>
      </c>
      <c r="Q174" s="140" t="e">
        <f t="shared" si="104"/>
        <v>#VALUE!</v>
      </c>
      <c r="R174" s="368" t="e">
        <f t="shared" si="105"/>
        <v>#VALUE!</v>
      </c>
      <c r="S174" s="140">
        <f t="shared" ref="S174:S188" si="110">+IFERROR(Q174/L174,0)</f>
        <v>0</v>
      </c>
      <c r="T174" s="139">
        <f t="shared" ref="T174:T188" si="111">+IFERROR(R174/L174,0)</f>
        <v>0</v>
      </c>
      <c r="U174" s="357"/>
      <c r="V174" s="358"/>
      <c r="W174" s="144"/>
    </row>
    <row r="175" spans="1:23" ht="15" hidden="1" customHeight="1" outlineLevel="1" thickBot="1">
      <c r="A175" s="353"/>
      <c r="B175" s="359">
        <f t="shared" si="80"/>
        <v>9.0299999999999994</v>
      </c>
      <c r="C175" s="360" t="s">
        <v>793</v>
      </c>
      <c r="D175" s="360" t="s">
        <v>788</v>
      </c>
      <c r="E175" s="360">
        <v>1</v>
      </c>
      <c r="F175" s="347" t="str">
        <f t="shared" si="106"/>
        <v>120V 1Ø</v>
      </c>
      <c r="G175" s="361" t="str">
        <f>IF(H175="PVC",VLOOKUP(I175,[1]MATERIALES!$C$19:$D$25,2,FALSE),IF(H175="EMT",VLOOKUP(I175,[1]MATERIALES!$C$54:$D$60,2,FALSE),IF(H175="IMC",VLOOKUP(I175,[1]MATERIALES!$C$96:$D$102,2,FALSE),IF(H175="LFNC",VLOOKUP(I175,[1]MATERIALES!$C$117:$D$123,2,FALSE),0))))</f>
        <v>Adaptador Macho PVC 1/2"</v>
      </c>
      <c r="H175" s="366" t="str">
        <f>H173</f>
        <v>PVC</v>
      </c>
      <c r="I175" s="366" t="str">
        <f>I173</f>
        <v>13mm</v>
      </c>
      <c r="J175" s="316"/>
      <c r="K175" s="345" t="str">
        <f t="shared" si="107"/>
        <v>Unid.</v>
      </c>
      <c r="L175" s="28">
        <f>1+L178*2+L180</f>
        <v>63</v>
      </c>
      <c r="M175" s="248" t="str">
        <f>IFERROR(VLOOKUP(G175,[1]MATERIALES!$D$5:$I$1368,2,FALSE),0)</f>
        <v xml:space="preserve">Suplidores electricos </v>
      </c>
      <c r="N175" s="367" t="e">
        <f t="shared" si="103"/>
        <v>#VALUE!</v>
      </c>
      <c r="O175" s="140" t="e">
        <f t="shared" si="108"/>
        <v>#VALUE!</v>
      </c>
      <c r="P175" s="367" t="e">
        <f t="shared" si="109"/>
        <v>#VALUE!</v>
      </c>
      <c r="Q175" s="140" t="e">
        <f t="shared" si="104"/>
        <v>#VALUE!</v>
      </c>
      <c r="R175" s="368" t="e">
        <f t="shared" si="105"/>
        <v>#VALUE!</v>
      </c>
      <c r="S175" s="140">
        <f t="shared" si="110"/>
        <v>0</v>
      </c>
      <c r="T175" s="139">
        <f t="shared" si="111"/>
        <v>0</v>
      </c>
      <c r="U175" s="357"/>
      <c r="V175" s="358"/>
      <c r="W175" s="144"/>
    </row>
    <row r="176" spans="1:23" ht="15" hidden="1" customHeight="1" outlineLevel="1" thickBot="1">
      <c r="A176" s="353"/>
      <c r="B176" s="359">
        <f t="shared" si="80"/>
        <v>9.0399999999999991</v>
      </c>
      <c r="C176" s="360" t="s">
        <v>793</v>
      </c>
      <c r="D176" s="360" t="s">
        <v>788</v>
      </c>
      <c r="E176" s="360">
        <v>1</v>
      </c>
      <c r="F176" s="347" t="str">
        <f t="shared" si="106"/>
        <v>120V 1Ø</v>
      </c>
      <c r="G176" s="361" t="str">
        <f>IF(H176="PVC",VLOOKUP(I176,[1]MATERIALES!$C$33:$D$39,2,FALSE),IF(H176="EMT",VLOOKUP(I176,[1]MATERIALES!$C$61:$D$67,2,FALSE),IF(H176="IMC",VLOOKUP(I176,[1]MATERIALES!$C$103:$D$109,2,FALSE),"-")))</f>
        <v>Curva 90 PVC SDR 1/2"</v>
      </c>
      <c r="H176" s="366" t="str">
        <f>H173</f>
        <v>PVC</v>
      </c>
      <c r="I176" s="366" t="str">
        <f>I173</f>
        <v>13mm</v>
      </c>
      <c r="J176" s="316"/>
      <c r="K176" s="345" t="str">
        <f t="shared" si="107"/>
        <v>Unid.</v>
      </c>
      <c r="L176" s="28">
        <f>IF(H176="LFNC",0,(1+L188))</f>
        <v>8</v>
      </c>
      <c r="M176" s="140" t="str">
        <f>IF(H176="LFNC",0,VLOOKUP(G176,[1]MATERIALES!$D$5:$I$1368,2,FALSE))</f>
        <v xml:space="preserve">Suplidores electricos </v>
      </c>
      <c r="N176" s="367" t="e">
        <f t="shared" si="103"/>
        <v>#VALUE!</v>
      </c>
      <c r="O176" s="140" t="e">
        <f t="shared" si="108"/>
        <v>#VALUE!</v>
      </c>
      <c r="P176" s="367" t="e">
        <f t="shared" si="109"/>
        <v>#VALUE!</v>
      </c>
      <c r="Q176" s="140" t="e">
        <f t="shared" si="104"/>
        <v>#VALUE!</v>
      </c>
      <c r="R176" s="368" t="e">
        <f t="shared" si="105"/>
        <v>#VALUE!</v>
      </c>
      <c r="S176" s="140">
        <f t="shared" si="110"/>
        <v>0</v>
      </c>
      <c r="T176" s="139">
        <f t="shared" si="111"/>
        <v>0</v>
      </c>
      <c r="U176" s="357"/>
      <c r="V176" s="358"/>
      <c r="W176" s="144"/>
    </row>
    <row r="177" spans="1:23" ht="15" hidden="1" customHeight="1" outlineLevel="1" thickBot="1">
      <c r="A177" s="353"/>
      <c r="B177" s="359">
        <f t="shared" si="80"/>
        <v>9.0499999999999989</v>
      </c>
      <c r="C177" s="360" t="s">
        <v>793</v>
      </c>
      <c r="D177" s="360" t="s">
        <v>788</v>
      </c>
      <c r="E177" s="360">
        <v>1</v>
      </c>
      <c r="F177" s="347" t="str">
        <f t="shared" si="106"/>
        <v>120V 1Ø</v>
      </c>
      <c r="G177" s="361" t="str">
        <f>VLOOKUP(I177,[1]MATERIALES!$C$68:$D$74,2,FALSE)</f>
        <v>Abrazadera EMT 1/2'' </v>
      </c>
      <c r="H177" s="316"/>
      <c r="I177" s="366" t="str">
        <f>I173</f>
        <v>13mm</v>
      </c>
      <c r="J177" s="316"/>
      <c r="K177" s="345" t="str">
        <f t="shared" si="107"/>
        <v>Unid.</v>
      </c>
      <c r="L177" s="28">
        <f>ROUNDUP(J173,0)</f>
        <v>27</v>
      </c>
      <c r="M177" s="248" t="str">
        <f>IFERROR(VLOOKUP(G177,[1]MATERIALES!$D$5:$I$1368,2,FALSE),0)</f>
        <v xml:space="preserve">Suplidores electricos </v>
      </c>
      <c r="N177" s="367" t="e">
        <f t="shared" si="103"/>
        <v>#VALUE!</v>
      </c>
      <c r="O177" s="140" t="e">
        <f t="shared" si="108"/>
        <v>#VALUE!</v>
      </c>
      <c r="P177" s="367" t="e">
        <f t="shared" si="109"/>
        <v>#VALUE!</v>
      </c>
      <c r="Q177" s="140" t="e">
        <f t="shared" si="104"/>
        <v>#VALUE!</v>
      </c>
      <c r="R177" s="368" t="e">
        <f t="shared" si="105"/>
        <v>#VALUE!</v>
      </c>
      <c r="S177" s="140">
        <f t="shared" si="110"/>
        <v>0</v>
      </c>
      <c r="T177" s="139">
        <f t="shared" si="111"/>
        <v>0</v>
      </c>
      <c r="U177" s="357"/>
      <c r="V177" s="358"/>
      <c r="W177" s="144"/>
    </row>
    <row r="178" spans="1:23" ht="15" hidden="1" customHeight="1" outlineLevel="1" thickBot="1">
      <c r="A178" s="353"/>
      <c r="B178" s="359">
        <f t="shared" si="80"/>
        <v>9.0599999999999987</v>
      </c>
      <c r="C178" s="360" t="s">
        <v>793</v>
      </c>
      <c r="D178" s="360" t="s">
        <v>788</v>
      </c>
      <c r="E178" s="360">
        <v>1</v>
      </c>
      <c r="F178" s="347" t="str">
        <f t="shared" si="106"/>
        <v>120V 1Ø</v>
      </c>
      <c r="G178" s="361" t="str" cm="1">
        <f t="array" ref="G178">_xlfn.SWITCH(I178,"13mm",(IF(H178="Rectangular",VLOOKUP(I178,[1]MATERIALES!$C$124:$D$125,2,FALSE),IF(H178="Octagonal",VLOOKUP(I178,[1]MATERIALES!$C$126:$D$127,2,FALSE),IF(H178="WP",VLOOKUP(I178,[1]MATERIALES!$C$128:$D$129,2,FALSE),IF(H178="5x5",VLOOKUP(I178,[1]MATERIALES!$C$130:$D$132,2,FALSE)))))),"19mm",(IF(H178="Rectangular",VLOOKUP(I178,[1]MATERIALES!$C$124:$D$125,2,FALSE),IF(H178="Octagonal",VLOOKUP(I178,[1]MATERIALES!$C$126:$D$127,2,FALSE),IF(H178="WP",VLOOKUP(I178,[1]MATERIALES!$C$128:$D$129,2,FALSE),IF(H178="5x5",VLOOKUP(I178,[1]MATERIALES!$C$130:$D$132,2,FALSE)))))),"25mm",IF(H178="Rectangular","-",IF(H178="Octagonal","--",IF(H178="WP","---",IF(H178="5x5",VLOOKUP(I178,[1]MATERIALES!$C$130:$D$132,2,FALSE),0)))),"38mm","-","50mm","-","75mm","-","100mm","-")</f>
        <v>Caja octagonal EMT 1/2" USA UL</v>
      </c>
      <c r="H178" s="369" t="s">
        <v>194</v>
      </c>
      <c r="I178" s="366" t="str">
        <f>I173</f>
        <v>13mm</v>
      </c>
      <c r="J178" s="316"/>
      <c r="K178" s="345" t="str">
        <f t="shared" si="107"/>
        <v>Unid.</v>
      </c>
      <c r="L178" s="28">
        <f>1+L188+L189+L190</f>
        <v>27</v>
      </c>
      <c r="M178" s="248" t="str">
        <f>IFERROR(VLOOKUP(G178,[1]MATERIALES!$D$5:$I$1368,2,FALSE),0)</f>
        <v xml:space="preserve">Suplidores electricos </v>
      </c>
      <c r="N178" s="367" t="e">
        <f t="shared" si="103"/>
        <v>#VALUE!</v>
      </c>
      <c r="O178" s="140" t="e">
        <f t="shared" si="108"/>
        <v>#VALUE!</v>
      </c>
      <c r="P178" s="367" t="e">
        <f t="shared" si="109"/>
        <v>#VALUE!</v>
      </c>
      <c r="Q178" s="140" t="e">
        <f t="shared" si="104"/>
        <v>#VALUE!</v>
      </c>
      <c r="R178" s="368" t="e">
        <f t="shared" si="105"/>
        <v>#VALUE!</v>
      </c>
      <c r="S178" s="140">
        <f t="shared" si="110"/>
        <v>0</v>
      </c>
      <c r="T178" s="139">
        <f t="shared" si="111"/>
        <v>0</v>
      </c>
      <c r="U178" s="357"/>
      <c r="V178" s="358"/>
      <c r="W178" s="144"/>
    </row>
    <row r="179" spans="1:23" ht="15" hidden="1" customHeight="1" outlineLevel="1" thickBot="1">
      <c r="A179" s="353"/>
      <c r="B179" s="359">
        <f t="shared" si="80"/>
        <v>9.0699999999999985</v>
      </c>
      <c r="C179" s="360" t="s">
        <v>793</v>
      </c>
      <c r="D179" s="360" t="s">
        <v>788</v>
      </c>
      <c r="E179" s="360">
        <v>1</v>
      </c>
      <c r="F179" s="347" t="str">
        <f t="shared" si="106"/>
        <v>120V 1Ø</v>
      </c>
      <c r="G179" s="370" t="str">
        <f>IF(H179="Rectangular",[1]MATERIALES!$D$133,IF(H178="Octagonal",[1]MATERIALES!$D$134,IF(H178="WP",[1]MATERIALES!$D$135,IF(H178="5x5",[1]MATERIALES!$D$136,0))))</f>
        <v>Tapa caja EMT 2x4 Inoxidable.</v>
      </c>
      <c r="H179" s="369" t="str">
        <f>H178</f>
        <v>Octagonal</v>
      </c>
      <c r="I179" s="366" t="str">
        <f>I173</f>
        <v>13mm</v>
      </c>
      <c r="J179" s="316"/>
      <c r="K179" s="345" t="str">
        <f t="shared" si="107"/>
        <v>Unid.</v>
      </c>
      <c r="L179" s="28">
        <f>L178</f>
        <v>27</v>
      </c>
      <c r="M179" s="248" t="str">
        <f>IFERROR(VLOOKUP(G179,[1]MATERIALES!$D$5:$I$1368,2,FALSE),0)</f>
        <v xml:space="preserve">Suplidores electricos </v>
      </c>
      <c r="N179" s="367" t="e">
        <f t="shared" si="103"/>
        <v>#VALUE!</v>
      </c>
      <c r="O179" s="140" t="e">
        <f t="shared" si="108"/>
        <v>#VALUE!</v>
      </c>
      <c r="P179" s="367" t="e">
        <f t="shared" si="109"/>
        <v>#VALUE!</v>
      </c>
      <c r="Q179" s="140" t="e">
        <f t="shared" si="104"/>
        <v>#VALUE!</v>
      </c>
      <c r="R179" s="368" t="e">
        <f t="shared" si="105"/>
        <v>#VALUE!</v>
      </c>
      <c r="S179" s="140">
        <f t="shared" si="110"/>
        <v>0</v>
      </c>
      <c r="T179" s="139">
        <f t="shared" si="111"/>
        <v>0</v>
      </c>
      <c r="U179" s="357"/>
      <c r="V179" s="358"/>
      <c r="W179" s="144"/>
    </row>
    <row r="180" spans="1:23" ht="15" hidden="1" customHeight="1" outlineLevel="1" thickBot="1">
      <c r="A180" s="353"/>
      <c r="B180" s="359">
        <f t="shared" si="80"/>
        <v>9.0799999999999983</v>
      </c>
      <c r="C180" s="360" t="s">
        <v>793</v>
      </c>
      <c r="D180" s="360" t="s">
        <v>788</v>
      </c>
      <c r="E180" s="360">
        <v>1</v>
      </c>
      <c r="F180" s="347" t="str">
        <f t="shared" si="106"/>
        <v>120V 1Ø</v>
      </c>
      <c r="G180" s="361" t="str" cm="1">
        <f t="array" ref="G180">_xlfn.SWITCH(I180,"13mm",(IF(H180="Rectangular",VLOOKUP(I180,[1]MATERIALES!$C$124:$D$125,2,FALSE),IF(H180="Octagonal",VLOOKUP(I180,[1]MATERIALES!$C$126:$D$127,2,FALSE),IF(H180="WP",VLOOKUP(I180,[1]MATERIALES!$C$128:$D$129,2,FALSE),IF(H180="5x5",VLOOKUP(I180,[1]MATERIALES!$C$130:$D$132,2,FALSE)))))),"19mm",(IF(H180="Rectangular",VLOOKUP(I180,[1]MATERIALES!$C$124:$D$125,2,FALSE),IF(H180="Octagonal",VLOOKUP(I180,[1]MATERIALES!$C$126:$D$127,2,FALSE),IF(H180="WP",VLOOKUP(I180,[1]MATERIALES!$C$128:$D$129,2,FALSE),IF(H180="5x5",VLOOKUP(I180,[1]MATERIALES!$C$130:$D$132,2,FALSE)))))),"25mm",IF(H180="Rectangular","-",IF(H180="Octagonal","--",IF(H180="WP","---",IF(H180="5x5",VLOOKUP(I180,[1]MATERIALES!$C$130:$D$132,2,FALSE),0)))),"38mm","-","50mm","-","75mm","-","100mm","-")</f>
        <v>Caja EMT 2x4 1/2" USA UL</v>
      </c>
      <c r="H180" s="369" t="s">
        <v>188</v>
      </c>
      <c r="I180" s="366" t="str">
        <f>I175</f>
        <v>13mm</v>
      </c>
      <c r="J180" s="316"/>
      <c r="K180" s="345" t="str">
        <f t="shared" si="107"/>
        <v>Unid.</v>
      </c>
      <c r="L180" s="28">
        <f>L188+L189</f>
        <v>8</v>
      </c>
      <c r="M180" s="248" t="str">
        <f>IFERROR(VLOOKUP(G180,[1]MATERIALES!$D$5:$I$1368,2,FALSE),0)</f>
        <v xml:space="preserve">Suplidores electricos </v>
      </c>
      <c r="N180" s="367" t="e">
        <f t="shared" si="103"/>
        <v>#VALUE!</v>
      </c>
      <c r="O180" s="140" t="e">
        <f t="shared" si="108"/>
        <v>#VALUE!</v>
      </c>
      <c r="P180" s="367" t="e">
        <f t="shared" si="109"/>
        <v>#VALUE!</v>
      </c>
      <c r="Q180" s="140" t="e">
        <f t="shared" si="104"/>
        <v>#VALUE!</v>
      </c>
      <c r="R180" s="368" t="e">
        <f t="shared" si="105"/>
        <v>#VALUE!</v>
      </c>
      <c r="S180" s="140">
        <f t="shared" si="110"/>
        <v>0</v>
      </c>
      <c r="T180" s="139">
        <f t="shared" si="111"/>
        <v>0</v>
      </c>
      <c r="U180" s="357"/>
      <c r="V180" s="358"/>
      <c r="W180" s="144"/>
    </row>
    <row r="181" spans="1:23" ht="15" hidden="1" customHeight="1" outlineLevel="1" thickBot="1">
      <c r="A181" s="353"/>
      <c r="B181" s="359">
        <f t="shared" si="80"/>
        <v>9.0899999999999981</v>
      </c>
      <c r="C181" s="360" t="s">
        <v>793</v>
      </c>
      <c r="D181" s="360" t="s">
        <v>788</v>
      </c>
      <c r="E181" s="360">
        <v>1</v>
      </c>
      <c r="F181" s="347" t="str">
        <f t="shared" si="106"/>
        <v>120V 1Ø</v>
      </c>
      <c r="G181" s="370" t="str">
        <f>IF(H181="Rectangular",[1]MATERIALES!$D$133,IF(H180="Octagonal",[1]MATERIALES!$D$134,IF(H180="WP",[1]MATERIALES!#REF!,IF(H180="5x5",[1]MATERIALES!$D$136,0))))</f>
        <v>CAJA REG. 12X12X4 N3R</v>
      </c>
      <c r="H181" s="369" t="str">
        <f>H180</f>
        <v>Rectangular</v>
      </c>
      <c r="I181" s="366" t="str">
        <f>I175</f>
        <v>13mm</v>
      </c>
      <c r="J181" s="316"/>
      <c r="K181" s="345" t="str">
        <f t="shared" si="107"/>
        <v>Unid.</v>
      </c>
      <c r="L181" s="28">
        <f>L180</f>
        <v>8</v>
      </c>
      <c r="M181" s="248" t="str">
        <f>IFERROR(VLOOKUP(G181,[1]MATERIALES!$D$5:$I$1368,2,FALSE),0)</f>
        <v xml:space="preserve">Suplidores electricos </v>
      </c>
      <c r="N181" s="367" t="e">
        <f t="shared" si="103"/>
        <v>#VALUE!</v>
      </c>
      <c r="O181" s="140" t="e">
        <f t="shared" si="108"/>
        <v>#VALUE!</v>
      </c>
      <c r="P181" s="367" t="e">
        <f t="shared" si="109"/>
        <v>#VALUE!</v>
      </c>
      <c r="Q181" s="140" t="e">
        <f t="shared" si="104"/>
        <v>#VALUE!</v>
      </c>
      <c r="R181" s="368" t="e">
        <f t="shared" si="105"/>
        <v>#VALUE!</v>
      </c>
      <c r="S181" s="140">
        <f t="shared" si="110"/>
        <v>0</v>
      </c>
      <c r="T181" s="139">
        <f t="shared" si="111"/>
        <v>0</v>
      </c>
      <c r="U181" s="357"/>
      <c r="V181" s="358"/>
      <c r="W181" s="144"/>
    </row>
    <row r="182" spans="1:23" ht="15" hidden="1" customHeight="1" outlineLevel="1" thickBot="1">
      <c r="A182" s="353"/>
      <c r="B182" s="359">
        <f t="shared" si="80"/>
        <v>9.0999999999999979</v>
      </c>
      <c r="C182" s="360" t="s">
        <v>793</v>
      </c>
      <c r="D182" s="360" t="s">
        <v>788</v>
      </c>
      <c r="E182" s="360">
        <v>1</v>
      </c>
      <c r="F182" s="347" t="str">
        <f t="shared" si="106"/>
        <v>120V 1Ø</v>
      </c>
      <c r="G182" s="371" t="str">
        <f>"Fase A"&amp;": "&amp;I182</f>
        <v>Fase A: Conductor 12 AWG THHN</v>
      </c>
      <c r="H182" s="366" t="s">
        <v>181</v>
      </c>
      <c r="I182" s="366" t="s">
        <v>189</v>
      </c>
      <c r="J182" s="366">
        <f>J173</f>
        <v>26.48</v>
      </c>
      <c r="K182" s="345" t="str">
        <f>IF(OR(H182="Conductores Americanos",H182="Conductores Europeos"),"Pies","Unid.")</f>
        <v>Pies</v>
      </c>
      <c r="L182" s="28">
        <f t="shared" ref="L182:L187" si="112">ROUNDUP(J182*3.28,0)</f>
        <v>87</v>
      </c>
      <c r="M182" s="140" t="str">
        <f>VLOOKUP(I182,[1]MATERIALES!$D$5:$I$1368,2,FALSE)</f>
        <v xml:space="preserve">Suplidores electricos </v>
      </c>
      <c r="N182" s="367" t="e">
        <f t="shared" si="103"/>
        <v>#VALUE!</v>
      </c>
      <c r="O182" s="140" t="e">
        <f t="shared" si="108"/>
        <v>#VALUE!</v>
      </c>
      <c r="P182" s="367" t="e">
        <f t="shared" si="109"/>
        <v>#VALUE!</v>
      </c>
      <c r="Q182" s="140" t="e">
        <f t="shared" si="104"/>
        <v>#VALUE!</v>
      </c>
      <c r="R182" s="368" t="e">
        <f t="shared" si="105"/>
        <v>#VALUE!</v>
      </c>
      <c r="S182" s="140">
        <f t="shared" si="110"/>
        <v>0</v>
      </c>
      <c r="T182" s="139">
        <f t="shared" si="111"/>
        <v>0</v>
      </c>
      <c r="U182" s="357"/>
      <c r="V182" s="358"/>
      <c r="W182" s="144"/>
    </row>
    <row r="183" spans="1:23" ht="15" hidden="1" customHeight="1" outlineLevel="1" thickBot="1">
      <c r="A183" s="353"/>
      <c r="B183" s="359">
        <f t="shared" si="80"/>
        <v>9.1099999999999977</v>
      </c>
      <c r="C183" s="360" t="s">
        <v>793</v>
      </c>
      <c r="D183" s="360" t="s">
        <v>788</v>
      </c>
      <c r="E183" s="360">
        <v>1</v>
      </c>
      <c r="F183" s="347" t="str">
        <f t="shared" si="106"/>
        <v>120V 1Ø</v>
      </c>
      <c r="G183" s="371" t="str">
        <f>IF(F183="120V 1Ø","-",("Fase B"&amp;": "&amp;I183))</f>
        <v>-</v>
      </c>
      <c r="H183" s="366" t="str">
        <f t="shared" ref="H183:I186" si="113">H182</f>
        <v>Conductores Americanos</v>
      </c>
      <c r="I183" s="366" t="str">
        <f t="shared" si="113"/>
        <v>Conductor 12 AWG THHN</v>
      </c>
      <c r="J183" s="366">
        <f>IF(G183="-",0,J173)</f>
        <v>0</v>
      </c>
      <c r="K183" s="345" t="str">
        <f t="shared" ref="K183:K188" si="114">IF(OR(H183="Conductores Americanos",H183="Conductores Europeos"),"Pies","Unid.")</f>
        <v>Pies</v>
      </c>
      <c r="L183" s="28">
        <f t="shared" si="112"/>
        <v>0</v>
      </c>
      <c r="M183" s="140" t="str">
        <f>VLOOKUP(I183,[1]MATERIALES!$D$5:$I$1368,2,FALSE)</f>
        <v xml:space="preserve">Suplidores electricos </v>
      </c>
      <c r="N183" s="367" t="e">
        <f t="shared" si="103"/>
        <v>#VALUE!</v>
      </c>
      <c r="O183" s="140" t="e">
        <f t="shared" si="108"/>
        <v>#VALUE!</v>
      </c>
      <c r="P183" s="367" t="e">
        <f t="shared" si="109"/>
        <v>#VALUE!</v>
      </c>
      <c r="Q183" s="140" t="e">
        <f t="shared" si="104"/>
        <v>#VALUE!</v>
      </c>
      <c r="R183" s="368" t="e">
        <f t="shared" si="105"/>
        <v>#VALUE!</v>
      </c>
      <c r="S183" s="140">
        <f t="shared" si="110"/>
        <v>0</v>
      </c>
      <c r="T183" s="139">
        <f t="shared" si="111"/>
        <v>0</v>
      </c>
      <c r="U183" s="357"/>
      <c r="V183" s="358"/>
      <c r="W183" s="144"/>
    </row>
    <row r="184" spans="1:23" ht="15" hidden="1" customHeight="1" outlineLevel="1" thickBot="1">
      <c r="A184" s="353"/>
      <c r="B184" s="359">
        <f t="shared" si="80"/>
        <v>9.1199999999999974</v>
      </c>
      <c r="C184" s="360" t="s">
        <v>793</v>
      </c>
      <c r="D184" s="360" t="s">
        <v>788</v>
      </c>
      <c r="E184" s="360">
        <v>1</v>
      </c>
      <c r="F184" s="347" t="str">
        <f t="shared" si="106"/>
        <v>120V 1Ø</v>
      </c>
      <c r="G184" s="371" t="str">
        <f>IF(F184="120V 1Ø","-",IF(F184="240V 1Ø","-",("Fase C"&amp;": "&amp;I182)))</f>
        <v>-</v>
      </c>
      <c r="H184" s="366" t="str">
        <f t="shared" si="113"/>
        <v>Conductores Americanos</v>
      </c>
      <c r="I184" s="366" t="str">
        <f t="shared" si="113"/>
        <v>Conductor 12 AWG THHN</v>
      </c>
      <c r="J184" s="366">
        <f>IF(G184="-",0,J174)</f>
        <v>0</v>
      </c>
      <c r="K184" s="345" t="str">
        <f t="shared" si="114"/>
        <v>Pies</v>
      </c>
      <c r="L184" s="28">
        <f t="shared" si="112"/>
        <v>0</v>
      </c>
      <c r="M184" s="140" t="str">
        <f>VLOOKUP(I184,[1]MATERIALES!$D$5:$I$1368,2,FALSE)</f>
        <v xml:space="preserve">Suplidores electricos </v>
      </c>
      <c r="N184" s="367" t="e">
        <f t="shared" si="103"/>
        <v>#VALUE!</v>
      </c>
      <c r="O184" s="140" t="e">
        <f t="shared" si="108"/>
        <v>#VALUE!</v>
      </c>
      <c r="P184" s="367" t="e">
        <f t="shared" si="109"/>
        <v>#VALUE!</v>
      </c>
      <c r="Q184" s="140" t="e">
        <f t="shared" si="104"/>
        <v>#VALUE!</v>
      </c>
      <c r="R184" s="368" t="e">
        <f t="shared" si="105"/>
        <v>#VALUE!</v>
      </c>
      <c r="S184" s="140">
        <f t="shared" si="110"/>
        <v>0</v>
      </c>
      <c r="T184" s="139">
        <f t="shared" si="111"/>
        <v>0</v>
      </c>
      <c r="U184" s="357"/>
      <c r="V184" s="358"/>
      <c r="W184" s="144"/>
    </row>
    <row r="185" spans="1:23" ht="15" hidden="1" customHeight="1" outlineLevel="1" thickBot="1">
      <c r="A185" s="353"/>
      <c r="B185" s="359">
        <f t="shared" si="80"/>
        <v>9.1299999999999972</v>
      </c>
      <c r="C185" s="360" t="s">
        <v>793</v>
      </c>
      <c r="D185" s="360" t="s">
        <v>788</v>
      </c>
      <c r="E185" s="360">
        <v>1</v>
      </c>
      <c r="F185" s="347" t="str">
        <f t="shared" si="106"/>
        <v>120V 1Ø</v>
      </c>
      <c r="G185" s="372" t="str">
        <f>"Retorno"&amp;": "&amp;I185</f>
        <v>Retorno: Conductor 12 AWG THHN</v>
      </c>
      <c r="H185" s="366" t="str">
        <f t="shared" si="113"/>
        <v>Conductores Americanos</v>
      </c>
      <c r="I185" s="366" t="str">
        <f t="shared" si="113"/>
        <v>Conductor 12 AWG THHN</v>
      </c>
      <c r="J185" s="366">
        <f>J182/3+J182*L189/3</f>
        <v>17.653333333333332</v>
      </c>
      <c r="K185" s="345" t="str">
        <f>IF(OR(H185="Conductores Americanos",H185="Conductores Europeos"),"Pies","Unid.")</f>
        <v>Pies</v>
      </c>
      <c r="L185" s="28">
        <f t="shared" si="112"/>
        <v>58</v>
      </c>
      <c r="M185" s="140" t="str">
        <f>VLOOKUP(I185,[1]MATERIALES!$D$5:$I$1368,2,FALSE)</f>
        <v xml:space="preserve">Suplidores electricos </v>
      </c>
      <c r="N185" s="367" t="e">
        <f t="shared" si="103"/>
        <v>#VALUE!</v>
      </c>
      <c r="O185" s="140" t="e">
        <f>+L185*M185</f>
        <v>#VALUE!</v>
      </c>
      <c r="P185" s="367" t="e">
        <f>L185*N185</f>
        <v>#VALUE!</v>
      </c>
      <c r="Q185" s="140" t="e">
        <f t="shared" si="104"/>
        <v>#VALUE!</v>
      </c>
      <c r="R185" s="368" t="e">
        <f t="shared" si="105"/>
        <v>#VALUE!</v>
      </c>
      <c r="S185" s="140">
        <f>+IFERROR(Q185/L185,0)</f>
        <v>0</v>
      </c>
      <c r="T185" s="139">
        <f>+IFERROR(R185/L185,0)</f>
        <v>0</v>
      </c>
      <c r="U185" s="357"/>
      <c r="V185" s="358"/>
      <c r="W185" s="144"/>
    </row>
    <row r="186" spans="1:23" ht="15" hidden="1" customHeight="1" outlineLevel="1" thickBot="1">
      <c r="A186" s="353"/>
      <c r="B186" s="359">
        <f t="shared" si="80"/>
        <v>9.139999999999997</v>
      </c>
      <c r="C186" s="360" t="s">
        <v>793</v>
      </c>
      <c r="D186" s="360" t="s">
        <v>788</v>
      </c>
      <c r="E186" s="360">
        <v>1</v>
      </c>
      <c r="F186" s="347" t="str">
        <f t="shared" si="106"/>
        <v>120V 1Ø</v>
      </c>
      <c r="G186" s="372" t="str">
        <f>IF(F186="240V 1Ø","-",IF(F186="480V 3Ø","-",("Neutro"&amp;": "&amp;I183)))</f>
        <v>Neutro: Conductor 12 AWG THHN</v>
      </c>
      <c r="H186" s="366" t="str">
        <f>H184</f>
        <v>Conductores Americanos</v>
      </c>
      <c r="I186" s="366" t="str">
        <f t="shared" si="113"/>
        <v>Conductor 12 AWG THHN</v>
      </c>
      <c r="J186" s="366">
        <f>IF(G186="-",0,J173)</f>
        <v>26.48</v>
      </c>
      <c r="K186" s="345" t="str">
        <f t="shared" si="114"/>
        <v>Pies</v>
      </c>
      <c r="L186" s="28">
        <f t="shared" si="112"/>
        <v>87</v>
      </c>
      <c r="M186" s="140" t="str">
        <f>VLOOKUP(I186,[1]MATERIALES!$D$5:$I$1368,2,FALSE)</f>
        <v xml:space="preserve">Suplidores electricos </v>
      </c>
      <c r="N186" s="367" t="e">
        <f t="shared" si="103"/>
        <v>#VALUE!</v>
      </c>
      <c r="O186" s="140" t="e">
        <f t="shared" si="108"/>
        <v>#VALUE!</v>
      </c>
      <c r="P186" s="367" t="e">
        <f t="shared" si="109"/>
        <v>#VALUE!</v>
      </c>
      <c r="Q186" s="140" t="e">
        <f t="shared" si="104"/>
        <v>#VALUE!</v>
      </c>
      <c r="R186" s="368" t="e">
        <f t="shared" si="105"/>
        <v>#VALUE!</v>
      </c>
      <c r="S186" s="140">
        <f t="shared" si="110"/>
        <v>0</v>
      </c>
      <c r="T186" s="139">
        <f t="shared" si="111"/>
        <v>0</v>
      </c>
      <c r="U186" s="357"/>
      <c r="V186" s="358"/>
      <c r="W186" s="144"/>
    </row>
    <row r="187" spans="1:23" ht="15" hidden="1" customHeight="1" outlineLevel="1" thickBot="1">
      <c r="A187" s="353"/>
      <c r="B187" s="359">
        <f t="shared" si="80"/>
        <v>9.1499999999999968</v>
      </c>
      <c r="C187" s="360" t="s">
        <v>793</v>
      </c>
      <c r="D187" s="360" t="s">
        <v>788</v>
      </c>
      <c r="E187" s="360">
        <v>1</v>
      </c>
      <c r="F187" s="347" t="str">
        <f t="shared" si="106"/>
        <v>120V 1Ø</v>
      </c>
      <c r="G187" s="372" t="str">
        <f>"Tierra"&amp;": "&amp;I187</f>
        <v>Tierra: Conductor 12 AWG THHN</v>
      </c>
      <c r="H187" s="366" t="str">
        <f>H186</f>
        <v>Conductores Americanos</v>
      </c>
      <c r="I187" s="366" t="str">
        <f>I186</f>
        <v>Conductor 12 AWG THHN</v>
      </c>
      <c r="J187" s="366">
        <f>J173</f>
        <v>26.48</v>
      </c>
      <c r="K187" s="345" t="str">
        <f t="shared" si="114"/>
        <v>Pies</v>
      </c>
      <c r="L187" s="28">
        <f t="shared" si="112"/>
        <v>87</v>
      </c>
      <c r="M187" s="140" t="str">
        <f>VLOOKUP(I187,[1]MATERIALES!$D$5:$I$1368,2,FALSE)</f>
        <v xml:space="preserve">Suplidores electricos </v>
      </c>
      <c r="N187" s="367" t="e">
        <f t="shared" si="103"/>
        <v>#VALUE!</v>
      </c>
      <c r="O187" s="140" t="e">
        <f t="shared" si="108"/>
        <v>#VALUE!</v>
      </c>
      <c r="P187" s="367" t="e">
        <f t="shared" si="109"/>
        <v>#VALUE!</v>
      </c>
      <c r="Q187" s="140" t="e">
        <f t="shared" si="104"/>
        <v>#VALUE!</v>
      </c>
      <c r="R187" s="368" t="e">
        <f t="shared" si="105"/>
        <v>#VALUE!</v>
      </c>
      <c r="S187" s="140">
        <f t="shared" si="110"/>
        <v>0</v>
      </c>
      <c r="T187" s="139">
        <f t="shared" si="111"/>
        <v>0</v>
      </c>
      <c r="U187" s="357"/>
      <c r="V187" s="358"/>
      <c r="W187" s="144"/>
    </row>
    <row r="188" spans="1:23" ht="15" hidden="1" customHeight="1" outlineLevel="1" thickBot="1">
      <c r="A188" s="353"/>
      <c r="B188" s="359">
        <f t="shared" si="80"/>
        <v>9.1599999999999966</v>
      </c>
      <c r="C188" s="360" t="s">
        <v>793</v>
      </c>
      <c r="D188" s="360" t="s">
        <v>788</v>
      </c>
      <c r="E188" s="360">
        <v>1</v>
      </c>
      <c r="F188" s="347" t="str">
        <f t="shared" si="106"/>
        <v>120V 1Ø</v>
      </c>
      <c r="G188" s="361" t="str" cm="1">
        <f t="array" ref="G188">IFERROR(VLOOKUP(H188&amp;"|"&amp;I188,CHOOSE({1,2},[1]MATERIALES!$B$186:B1959&amp;"|"&amp;[1]MATERIALES!$C$186:$C$198,[1]MATERIALES!$D$186:$D$198),2,0),"-")</f>
        <v>Apagador Sencillo 20A Matix (AM5001 + 503SB/SA+ AM503/1N)</v>
      </c>
      <c r="H188" s="373" t="s">
        <v>382</v>
      </c>
      <c r="I188" s="373" t="s">
        <v>402</v>
      </c>
      <c r="J188" s="316"/>
      <c r="K188" s="345" t="str">
        <f t="shared" si="114"/>
        <v>Unid.</v>
      </c>
      <c r="L188" s="218">
        <v>7</v>
      </c>
      <c r="M188" s="248">
        <f>IFERROR(VLOOKUP(G188,[1]MATERIALES!$D$5:$I$1368,2,FALSE),0)</f>
        <v>0</v>
      </c>
      <c r="N188" s="367">
        <f t="shared" si="103"/>
        <v>0</v>
      </c>
      <c r="O188" s="140">
        <f t="shared" si="108"/>
        <v>0</v>
      </c>
      <c r="P188" s="367">
        <f t="shared" si="109"/>
        <v>0</v>
      </c>
      <c r="Q188" s="140">
        <f t="shared" si="104"/>
        <v>0</v>
      </c>
      <c r="R188" s="368">
        <f t="shared" si="105"/>
        <v>0</v>
      </c>
      <c r="S188" s="140">
        <f t="shared" si="110"/>
        <v>0</v>
      </c>
      <c r="T188" s="139">
        <f t="shared" si="111"/>
        <v>0</v>
      </c>
      <c r="U188" s="357"/>
      <c r="V188" s="358"/>
      <c r="W188" s="144"/>
    </row>
    <row r="189" spans="1:23" ht="15" hidden="1" customHeight="1" outlineLevel="1" thickBot="1">
      <c r="A189" s="353"/>
      <c r="B189" s="359">
        <f t="shared" si="80"/>
        <v>9.1699999999999964</v>
      </c>
      <c r="C189" s="360" t="s">
        <v>793</v>
      </c>
      <c r="D189" s="360" t="s">
        <v>788</v>
      </c>
      <c r="E189" s="360">
        <v>1</v>
      </c>
      <c r="F189" s="347" t="str">
        <f t="shared" si="106"/>
        <v>120V 1Ø</v>
      </c>
      <c r="G189" s="361" t="str" cm="1">
        <f t="array" ref="G189">IFERROR(VLOOKUP(H189&amp;"|"&amp;I189,CHOOSE({1,2},[1]MATERIALES!$B$186:B1960&amp;"|"&amp;[1]MATERIALES!$C$186:$C$198,[1]MATERIALES!$D$186:$D$198),2,0),"-")</f>
        <v>Apagador Triple 20A Matix  (3xAM5001 + 503SB/SA+ AM503/3N)</v>
      </c>
      <c r="H189" s="373" t="s">
        <v>382</v>
      </c>
      <c r="I189" s="373" t="s">
        <v>406</v>
      </c>
      <c r="J189" s="316"/>
      <c r="K189" s="345" t="str">
        <f>IF(OR(H189="Conductores Americanos",H189="Conductores Europeos"),"Pies","Unid.")</f>
        <v>Unid.</v>
      </c>
      <c r="L189" s="218">
        <v>1</v>
      </c>
      <c r="M189" s="248">
        <f>IFERROR(VLOOKUP(G189,[1]MATERIALES!$D$5:$I$1368,2,FALSE),0)</f>
        <v>0</v>
      </c>
      <c r="N189" s="367">
        <f t="shared" si="103"/>
        <v>0</v>
      </c>
      <c r="O189" s="140">
        <f>+L189*M189</f>
        <v>0</v>
      </c>
      <c r="P189" s="367">
        <f>L189*N189</f>
        <v>0</v>
      </c>
      <c r="Q189" s="140">
        <f t="shared" si="104"/>
        <v>0</v>
      </c>
      <c r="R189" s="368">
        <f t="shared" si="105"/>
        <v>0</v>
      </c>
      <c r="S189" s="140">
        <f>+IFERROR(Q189/L189,0)</f>
        <v>0</v>
      </c>
      <c r="T189" s="139">
        <f>+IFERROR(R189/L189,0)</f>
        <v>0</v>
      </c>
      <c r="U189" s="357"/>
      <c r="V189" s="358"/>
      <c r="W189" s="144"/>
    </row>
    <row r="190" spans="1:23" ht="15" hidden="1" customHeight="1" outlineLevel="1" thickBot="1">
      <c r="A190" s="353"/>
      <c r="B190" s="359">
        <f t="shared" si="80"/>
        <v>9.1799999999999962</v>
      </c>
      <c r="C190" s="360" t="s">
        <v>793</v>
      </c>
      <c r="D190" s="360" t="s">
        <v>788</v>
      </c>
      <c r="E190" s="360">
        <v>1</v>
      </c>
      <c r="F190" s="347" t="str">
        <f t="shared" si="106"/>
        <v>120V 1Ø</v>
      </c>
      <c r="G190" s="361" t="s">
        <v>794</v>
      </c>
      <c r="H190" s="316"/>
      <c r="I190" s="316"/>
      <c r="J190" s="316"/>
      <c r="K190" s="345" t="str">
        <f t="shared" ref="K190:K191" si="115">IF(OR(H190="Conductores Americanos",H190="Conductores Europeos"),"Pies","Unid.")</f>
        <v>Unid.</v>
      </c>
      <c r="L190" s="218">
        <v>18</v>
      </c>
      <c r="M190" s="248">
        <f>IFERROR(VLOOKUP(G190,[1]MATERIALES!$D$5:$I$1368,2,FALSE),0)</f>
        <v>0</v>
      </c>
      <c r="N190" s="367">
        <f t="shared" si="103"/>
        <v>0</v>
      </c>
      <c r="O190" s="140">
        <f t="shared" ref="O190:O193" si="116">+L190*M190</f>
        <v>0</v>
      </c>
      <c r="P190" s="367">
        <f t="shared" ref="P190:P193" si="117">L190*N190</f>
        <v>0</v>
      </c>
      <c r="Q190" s="140">
        <f t="shared" si="104"/>
        <v>0</v>
      </c>
      <c r="R190" s="368">
        <f t="shared" si="105"/>
        <v>0</v>
      </c>
      <c r="S190" s="140">
        <f t="shared" ref="S190:S193" si="118">+IFERROR(Q190/L190,0)</f>
        <v>0</v>
      </c>
      <c r="T190" s="139">
        <f t="shared" ref="T190:T193" si="119">+IFERROR(R190/L190,0)</f>
        <v>0</v>
      </c>
      <c r="U190" s="357" t="e">
        <f>SUM(R191:R193)</f>
        <v>#VALUE!</v>
      </c>
      <c r="V190" s="358" t="e">
        <f>'[1]1. OFERTA'!#REF!</f>
        <v>#REF!</v>
      </c>
      <c r="W190" s="144" t="e">
        <f>U190-V190</f>
        <v>#VALUE!</v>
      </c>
    </row>
    <row r="191" spans="1:23" ht="15" hidden="1" customHeight="1" outlineLevel="1" thickBot="1">
      <c r="A191" s="353"/>
      <c r="B191" s="359">
        <f t="shared" si="80"/>
        <v>9.1899999999999959</v>
      </c>
      <c r="C191" s="360" t="s">
        <v>793</v>
      </c>
      <c r="D191" s="360" t="s">
        <v>788</v>
      </c>
      <c r="E191" s="360">
        <v>1</v>
      </c>
      <c r="F191" s="347" t="str">
        <f t="shared" si="106"/>
        <v>120V 1Ø</v>
      </c>
      <c r="G191" s="361" t="s">
        <v>422</v>
      </c>
      <c r="H191" s="316"/>
      <c r="I191" s="316"/>
      <c r="J191" s="316"/>
      <c r="K191" s="345" t="str">
        <f t="shared" si="115"/>
        <v>Unid.</v>
      </c>
      <c r="L191" s="345">
        <f>3*(L178)</f>
        <v>81</v>
      </c>
      <c r="M191" s="248">
        <f>IFERROR(VLOOKUP(G191,[1]MATERIALES!$D$5:$I$1368,2,FALSE),0)</f>
        <v>0</v>
      </c>
      <c r="N191" s="367">
        <f t="shared" si="103"/>
        <v>0</v>
      </c>
      <c r="O191" s="140">
        <f t="shared" si="116"/>
        <v>0</v>
      </c>
      <c r="P191" s="367">
        <f t="shared" si="117"/>
        <v>0</v>
      </c>
      <c r="Q191" s="140">
        <f t="shared" si="104"/>
        <v>0</v>
      </c>
      <c r="R191" s="368">
        <f t="shared" si="105"/>
        <v>0</v>
      </c>
      <c r="S191" s="140">
        <f t="shared" si="118"/>
        <v>0</v>
      </c>
      <c r="T191" s="139">
        <f t="shared" si="119"/>
        <v>0</v>
      </c>
      <c r="U191" s="357"/>
      <c r="V191" s="358"/>
      <c r="W191" s="144"/>
    </row>
    <row r="192" spans="1:23" ht="15" hidden="1" customHeight="1" outlineLevel="1" thickBot="1">
      <c r="A192" s="353"/>
      <c r="B192" s="359">
        <f t="shared" si="80"/>
        <v>9.1999999999999957</v>
      </c>
      <c r="C192" s="360" t="s">
        <v>793</v>
      </c>
      <c r="D192" s="360" t="s">
        <v>788</v>
      </c>
      <c r="E192" s="360">
        <v>1</v>
      </c>
      <c r="F192" s="347" t="str">
        <f t="shared" si="106"/>
        <v>120V 1Ø</v>
      </c>
      <c r="G192" s="361" t="s">
        <v>424</v>
      </c>
      <c r="H192" s="316"/>
      <c r="I192" s="316"/>
      <c r="J192" s="316"/>
      <c r="K192" s="345" t="s">
        <v>784</v>
      </c>
      <c r="L192" s="28">
        <f>ROUNDUP(L177+L178+L180,0)</f>
        <v>62</v>
      </c>
      <c r="M192" s="248">
        <f>IFERROR(VLOOKUP(G192,[1]MATERIALES!$D$5:$I$1368,2,FALSE),0)</f>
        <v>0</v>
      </c>
      <c r="N192" s="367">
        <f>M192/$N$2</f>
        <v>0</v>
      </c>
      <c r="O192" s="140">
        <f t="shared" si="116"/>
        <v>0</v>
      </c>
      <c r="P192" s="367">
        <f t="shared" si="117"/>
        <v>0</v>
      </c>
      <c r="Q192" s="140">
        <f t="shared" si="104"/>
        <v>0</v>
      </c>
      <c r="R192" s="368">
        <f t="shared" si="105"/>
        <v>0</v>
      </c>
      <c r="S192" s="140">
        <f t="shared" si="118"/>
        <v>0</v>
      </c>
      <c r="T192" s="139">
        <f t="shared" si="119"/>
        <v>0</v>
      </c>
      <c r="U192" s="357"/>
      <c r="V192" s="358"/>
      <c r="W192" s="144"/>
    </row>
    <row r="193" spans="1:23" ht="15" hidden="1" customHeight="1" outlineLevel="1" thickBot="1">
      <c r="A193" s="353"/>
      <c r="B193" s="359">
        <f t="shared" si="80"/>
        <v>9.2099999999999955</v>
      </c>
      <c r="C193" s="360" t="s">
        <v>793</v>
      </c>
      <c r="D193" s="360" t="s">
        <v>788</v>
      </c>
      <c r="E193" s="360">
        <v>1</v>
      </c>
      <c r="F193" s="347" t="str">
        <f t="shared" si="106"/>
        <v>120V 1Ø</v>
      </c>
      <c r="G193" s="361" t="s">
        <v>168</v>
      </c>
      <c r="H193" s="316"/>
      <c r="I193" s="316"/>
      <c r="J193" s="316"/>
      <c r="K193" s="345" t="s">
        <v>784</v>
      </c>
      <c r="L193" s="28">
        <f>L192</f>
        <v>62</v>
      </c>
      <c r="M193" s="248" t="str">
        <f>IFERROR(VLOOKUP(G193,[1]MATERIALES!$D$5:$I$1368,2,FALSE),0)</f>
        <v xml:space="preserve">Marba Dominicana </v>
      </c>
      <c r="N193" s="367" t="e">
        <f>M193/$N$2</f>
        <v>#VALUE!</v>
      </c>
      <c r="O193" s="140" t="e">
        <f t="shared" si="116"/>
        <v>#VALUE!</v>
      </c>
      <c r="P193" s="367" t="e">
        <f t="shared" si="117"/>
        <v>#VALUE!</v>
      </c>
      <c r="Q193" s="140" t="e">
        <f t="shared" si="104"/>
        <v>#VALUE!</v>
      </c>
      <c r="R193" s="368" t="e">
        <f t="shared" si="105"/>
        <v>#VALUE!</v>
      </c>
      <c r="S193" s="140">
        <f t="shared" si="118"/>
        <v>0</v>
      </c>
      <c r="T193" s="139">
        <f t="shared" si="119"/>
        <v>0</v>
      </c>
      <c r="U193" s="357"/>
      <c r="V193" s="358"/>
      <c r="W193" s="144"/>
    </row>
    <row r="194" spans="1:23" ht="15" customHeight="1" collapsed="1" thickBot="1">
      <c r="A194" s="353"/>
      <c r="B194" s="354">
        <v>10</v>
      </c>
      <c r="C194" s="355" t="s">
        <v>795</v>
      </c>
      <c r="D194" s="269" t="s">
        <v>788</v>
      </c>
      <c r="E194" s="269">
        <v>3</v>
      </c>
      <c r="F194" s="270" t="s">
        <v>783</v>
      </c>
      <c r="G194" s="271"/>
      <c r="H194" s="272"/>
      <c r="I194" s="272"/>
      <c r="J194" s="272"/>
      <c r="K194" s="268"/>
      <c r="L194" s="268"/>
      <c r="M194" s="273"/>
      <c r="N194" s="274"/>
      <c r="O194" s="273"/>
      <c r="P194" s="274"/>
      <c r="Q194" s="273"/>
      <c r="R194" s="275"/>
      <c r="S194" s="273"/>
      <c r="T194" s="276"/>
      <c r="U194" s="357" t="e">
        <f>SUM(R195:R215)</f>
        <v>#VALUE!</v>
      </c>
      <c r="V194" s="358" t="e">
        <f>'[1]1. OFERTA'!#REF!</f>
        <v>#REF!</v>
      </c>
      <c r="W194" s="144" t="e">
        <f>U194-V194</f>
        <v>#VALUE!</v>
      </c>
    </row>
    <row r="195" spans="1:23" ht="15" hidden="1" customHeight="1" outlineLevel="1" thickBot="1">
      <c r="A195" s="353"/>
      <c r="B195" s="359">
        <f>B194+0.01</f>
        <v>10.01</v>
      </c>
      <c r="C195" s="375" t="s">
        <v>795</v>
      </c>
      <c r="D195" s="360" t="s">
        <v>788</v>
      </c>
      <c r="E195" s="360">
        <v>3</v>
      </c>
      <c r="F195" s="347" t="s">
        <v>783</v>
      </c>
      <c r="G195" s="361" t="str">
        <f>IF(H195="PVC",VLOOKUP(I195,[1]MATERIALES!$C$5:$D$11,2,FALSE),IF(H195="EMT",VLOOKUP(I195,[1]MATERIALES!$C$40:$D$46,2,FALSE),IF(H195="IMC",VLOOKUP(I195,[1]MATERIALES!$C$82:$D$88,2,FALSE),IF(H195="LFNC",VLOOKUP(I195,[1]MATERIALES!$C$110:$D$116,2,FALSE),0))))</f>
        <v>Tubería PVC SDR-26 1/2"</v>
      </c>
      <c r="H195" s="362" t="s">
        <v>184</v>
      </c>
      <c r="I195" s="362" t="s">
        <v>216</v>
      </c>
      <c r="J195" s="362">
        <v>13.57</v>
      </c>
      <c r="K195" s="134" t="str">
        <f>IF(OR(H195="Conductores Americanos",H195="Conductores Europeos"),"Pies","Unid.")</f>
        <v>Unid.</v>
      </c>
      <c r="L195" s="363">
        <f>IF(H195="PVC",ROUNDUP(J195/6,0),IF(H195="EMT",ROUNDUP(J195/3,0),IF(H195="IMC",ROUNDUP(J195/3,0),IF(H195="LFNC",ROUNDUP(3.28*J195,0),0))))</f>
        <v>3</v>
      </c>
      <c r="M195" s="248" t="str">
        <f>IFERROR(VLOOKUP(G195,[1]MATERIALES!$D$5:$I$1368,2,FALSE),0)</f>
        <v xml:space="preserve">Suplidores electricos </v>
      </c>
      <c r="N195" s="364" t="e">
        <f t="shared" ref="N195:N215" si="120">M195/$N$2</f>
        <v>#VALUE!</v>
      </c>
      <c r="O195" s="248" t="e">
        <f>+L195*M195</f>
        <v>#VALUE!</v>
      </c>
      <c r="P195" s="364" t="e">
        <f>L195*N195</f>
        <v>#VALUE!</v>
      </c>
      <c r="Q195" s="248" t="e">
        <f t="shared" ref="Q195:Q215" si="121">+$O195+($O195*$R$2)</f>
        <v>#VALUE!</v>
      </c>
      <c r="R195" s="365" t="e">
        <f t="shared" ref="R195:R215" si="122">+$P195+($P195*$R$2)</f>
        <v>#VALUE!</v>
      </c>
      <c r="S195" s="248">
        <f>+IFERROR(Q195/L195,0)</f>
        <v>0</v>
      </c>
      <c r="T195" s="146">
        <f>+IFERROR(R195/L195,0)</f>
        <v>0</v>
      </c>
      <c r="U195" s="357"/>
      <c r="V195" s="358"/>
      <c r="W195" s="144"/>
    </row>
    <row r="196" spans="1:23" ht="15" hidden="1" customHeight="1" outlineLevel="1" thickBot="1">
      <c r="A196" s="353"/>
      <c r="B196" s="359">
        <f t="shared" ref="B196:B215" si="123">B195+0.01</f>
        <v>10.02</v>
      </c>
      <c r="C196" s="375" t="s">
        <v>795</v>
      </c>
      <c r="D196" s="360" t="s">
        <v>788</v>
      </c>
      <c r="E196" s="360">
        <v>3</v>
      </c>
      <c r="F196" s="347" t="str">
        <f t="shared" ref="F196:F215" si="124">F195</f>
        <v>120V 1Ø</v>
      </c>
      <c r="G196" s="361" t="str">
        <f>IF(H196="PVC",VLOOKUP(I196,[1]MATERIALES!$C$12:$D$18,2,FALSE),IF(H196="EMT",VLOOKUP(I196,[1]MATERIALES!$C$47:$D$53,2,FALSE),IF(H196="IMC",VLOOKUP(I196,[1]MATERIALES!$C$89:$D$96,2,FALSE),"-")))</f>
        <v>Coupling PVC 1/2"</v>
      </c>
      <c r="H196" s="366" t="str">
        <f>H195</f>
        <v>PVC</v>
      </c>
      <c r="I196" s="366" t="str">
        <f>I195</f>
        <v>13mm</v>
      </c>
      <c r="J196" s="316"/>
      <c r="K196" s="345" t="str">
        <f t="shared" ref="K196:K203" si="125">IF(OR(H196="Conductores Americanos",H196="Conductores Europeos"),"Pies","Unid.")</f>
        <v>Unid.</v>
      </c>
      <c r="L196" s="28">
        <f>IF(H196="LFNC",0,L195)</f>
        <v>3</v>
      </c>
      <c r="M196" s="140" t="str">
        <f>IF(H196="LFNC",0,VLOOKUP(G196,[1]MATERIALES!$D$5:$I$1368,2,FALSE))</f>
        <v xml:space="preserve">Suplidores electricos </v>
      </c>
      <c r="N196" s="367" t="e">
        <f t="shared" si="120"/>
        <v>#VALUE!</v>
      </c>
      <c r="O196" s="140" t="e">
        <f t="shared" ref="O196:O215" si="126">+L196*M196</f>
        <v>#VALUE!</v>
      </c>
      <c r="P196" s="367" t="e">
        <f t="shared" ref="P196:P215" si="127">L196*N196</f>
        <v>#VALUE!</v>
      </c>
      <c r="Q196" s="140" t="e">
        <f t="shared" si="121"/>
        <v>#VALUE!</v>
      </c>
      <c r="R196" s="368" t="e">
        <f t="shared" si="122"/>
        <v>#VALUE!</v>
      </c>
      <c r="S196" s="140">
        <f t="shared" ref="S196:S215" si="128">+IFERROR(Q196/L196,0)</f>
        <v>0</v>
      </c>
      <c r="T196" s="139">
        <f t="shared" ref="T196:T215" si="129">+IFERROR(R196/L196,0)</f>
        <v>0</v>
      </c>
      <c r="U196" s="357"/>
      <c r="V196" s="358"/>
      <c r="W196" s="144"/>
    </row>
    <row r="197" spans="1:23" ht="15" hidden="1" customHeight="1" outlineLevel="1" thickBot="1">
      <c r="A197" s="353"/>
      <c r="B197" s="359">
        <f t="shared" si="123"/>
        <v>10.029999999999999</v>
      </c>
      <c r="C197" s="375" t="s">
        <v>795</v>
      </c>
      <c r="D197" s="360" t="s">
        <v>788</v>
      </c>
      <c r="E197" s="360">
        <v>3</v>
      </c>
      <c r="F197" s="347" t="str">
        <f t="shared" si="124"/>
        <v>120V 1Ø</v>
      </c>
      <c r="G197" s="361" t="str">
        <f>IF(H197="PVC",VLOOKUP(I197,[1]MATERIALES!$C$19:$D$25,2,FALSE),IF(H197="EMT",VLOOKUP(I197,[1]MATERIALES!$C$54:$D$60,2,FALSE),IF(H197="IMC",VLOOKUP(I197,[1]MATERIALES!$C$96:$D$102,2,FALSE),IF(H197="LFNC",VLOOKUP(I197,[1]MATERIALES!$C$117:$D$123,2,FALSE),0))))</f>
        <v>Adaptador Macho PVC 1/2"</v>
      </c>
      <c r="H197" s="366" t="str">
        <f>H195</f>
        <v>PVC</v>
      </c>
      <c r="I197" s="366" t="str">
        <f>I195</f>
        <v>13mm</v>
      </c>
      <c r="J197" s="316"/>
      <c r="K197" s="345" t="str">
        <f t="shared" si="125"/>
        <v>Unid.</v>
      </c>
      <c r="L197" s="28">
        <f>1+L200*2+L202</f>
        <v>53</v>
      </c>
      <c r="M197" s="248" t="str">
        <f>IFERROR(VLOOKUP(G197,[1]MATERIALES!$D$5:$I$1368,2,FALSE),0)</f>
        <v xml:space="preserve">Suplidores electricos </v>
      </c>
      <c r="N197" s="367" t="e">
        <f t="shared" si="120"/>
        <v>#VALUE!</v>
      </c>
      <c r="O197" s="140" t="e">
        <f t="shared" si="126"/>
        <v>#VALUE!</v>
      </c>
      <c r="P197" s="367" t="e">
        <f t="shared" si="127"/>
        <v>#VALUE!</v>
      </c>
      <c r="Q197" s="140" t="e">
        <f t="shared" si="121"/>
        <v>#VALUE!</v>
      </c>
      <c r="R197" s="368" t="e">
        <f t="shared" si="122"/>
        <v>#VALUE!</v>
      </c>
      <c r="S197" s="140">
        <f t="shared" si="128"/>
        <v>0</v>
      </c>
      <c r="T197" s="139">
        <f t="shared" si="129"/>
        <v>0</v>
      </c>
      <c r="U197" s="357"/>
      <c r="V197" s="358"/>
      <c r="W197" s="144"/>
    </row>
    <row r="198" spans="1:23" ht="15" hidden="1" customHeight="1" outlineLevel="1" thickBot="1">
      <c r="A198" s="353"/>
      <c r="B198" s="359">
        <f t="shared" si="123"/>
        <v>10.039999999999999</v>
      </c>
      <c r="C198" s="375" t="s">
        <v>795</v>
      </c>
      <c r="D198" s="360" t="s">
        <v>788</v>
      </c>
      <c r="E198" s="360">
        <v>3</v>
      </c>
      <c r="F198" s="347" t="str">
        <f t="shared" si="124"/>
        <v>120V 1Ø</v>
      </c>
      <c r="G198" s="361" t="str">
        <f>IF(H198="PVC",VLOOKUP(I198,[1]MATERIALES!$C$33:$D$39,2,FALSE),IF(H198="EMT",VLOOKUP(I198,[1]MATERIALES!$C$61:$D$67,2,FALSE),IF(H198="IMC",VLOOKUP(I198,[1]MATERIALES!$C$103:$D$109,2,FALSE),"-")))</f>
        <v>Curva 90 PVC SDR 1/2"</v>
      </c>
      <c r="H198" s="366" t="str">
        <f>H195</f>
        <v>PVC</v>
      </c>
      <c r="I198" s="366" t="str">
        <f>I195</f>
        <v>13mm</v>
      </c>
      <c r="J198" s="316"/>
      <c r="K198" s="345" t="str">
        <f t="shared" si="125"/>
        <v>Unid.</v>
      </c>
      <c r="L198" s="28">
        <f>IF(H198="LFNC",0,(1+L210))</f>
        <v>9</v>
      </c>
      <c r="M198" s="140" t="str">
        <f>IF(H198="LFNC",0,VLOOKUP(G198,[1]MATERIALES!$D$5:$I$1368,2,FALSE))</f>
        <v xml:space="preserve">Suplidores electricos </v>
      </c>
      <c r="N198" s="367" t="e">
        <f t="shared" si="120"/>
        <v>#VALUE!</v>
      </c>
      <c r="O198" s="140" t="e">
        <f t="shared" si="126"/>
        <v>#VALUE!</v>
      </c>
      <c r="P198" s="367" t="e">
        <f t="shared" si="127"/>
        <v>#VALUE!</v>
      </c>
      <c r="Q198" s="140" t="e">
        <f t="shared" si="121"/>
        <v>#VALUE!</v>
      </c>
      <c r="R198" s="368" t="e">
        <f t="shared" si="122"/>
        <v>#VALUE!</v>
      </c>
      <c r="S198" s="140">
        <f t="shared" si="128"/>
        <v>0</v>
      </c>
      <c r="T198" s="139">
        <f t="shared" si="129"/>
        <v>0</v>
      </c>
      <c r="U198" s="357"/>
      <c r="V198" s="358"/>
      <c r="W198" s="144"/>
    </row>
    <row r="199" spans="1:23" ht="15" hidden="1" customHeight="1" outlineLevel="1" thickBot="1">
      <c r="A199" s="353"/>
      <c r="B199" s="359">
        <f t="shared" si="123"/>
        <v>10.049999999999999</v>
      </c>
      <c r="C199" s="375" t="s">
        <v>795</v>
      </c>
      <c r="D199" s="360" t="s">
        <v>788</v>
      </c>
      <c r="E199" s="360">
        <v>3</v>
      </c>
      <c r="F199" s="347" t="str">
        <f t="shared" si="124"/>
        <v>120V 1Ø</v>
      </c>
      <c r="G199" s="361" t="str">
        <f>VLOOKUP(I199,[1]MATERIALES!$C$68:$D$74,2,FALSE)</f>
        <v>Abrazadera EMT 1/2'' </v>
      </c>
      <c r="H199" s="316"/>
      <c r="I199" s="366" t="str">
        <f>I195</f>
        <v>13mm</v>
      </c>
      <c r="J199" s="316"/>
      <c r="K199" s="345" t="str">
        <f t="shared" si="125"/>
        <v>Unid.</v>
      </c>
      <c r="L199" s="28">
        <f>ROUNDUP(J195,0)</f>
        <v>14</v>
      </c>
      <c r="M199" s="248" t="str">
        <f>IFERROR(VLOOKUP(G199,[1]MATERIALES!$D$5:$I$1368,2,FALSE),0)</f>
        <v xml:space="preserve">Suplidores electricos </v>
      </c>
      <c r="N199" s="367" t="e">
        <f t="shared" si="120"/>
        <v>#VALUE!</v>
      </c>
      <c r="O199" s="140" t="e">
        <f t="shared" si="126"/>
        <v>#VALUE!</v>
      </c>
      <c r="P199" s="367" t="e">
        <f t="shared" si="127"/>
        <v>#VALUE!</v>
      </c>
      <c r="Q199" s="140" t="e">
        <f t="shared" si="121"/>
        <v>#VALUE!</v>
      </c>
      <c r="R199" s="368" t="e">
        <f t="shared" si="122"/>
        <v>#VALUE!</v>
      </c>
      <c r="S199" s="140">
        <f t="shared" si="128"/>
        <v>0</v>
      </c>
      <c r="T199" s="139">
        <f t="shared" si="129"/>
        <v>0</v>
      </c>
      <c r="U199" s="357"/>
      <c r="V199" s="358"/>
      <c r="W199" s="144"/>
    </row>
    <row r="200" spans="1:23" ht="15" hidden="1" customHeight="1" outlineLevel="1" thickBot="1">
      <c r="A200" s="353"/>
      <c r="B200" s="359">
        <f t="shared" si="123"/>
        <v>10.059999999999999</v>
      </c>
      <c r="C200" s="375" t="s">
        <v>795</v>
      </c>
      <c r="D200" s="360" t="s">
        <v>788</v>
      </c>
      <c r="E200" s="360">
        <v>3</v>
      </c>
      <c r="F200" s="347" t="str">
        <f t="shared" si="124"/>
        <v>120V 1Ø</v>
      </c>
      <c r="G200" s="361" t="str" cm="1">
        <f t="array" ref="G200">_xlfn.SWITCH(I200,"13mm",(IF(H200="Rectangular",VLOOKUP(I200,[1]MATERIALES!$C$124:$D$125,2,FALSE),IF(H200="Octagonal",VLOOKUP(I200,[1]MATERIALES!$C$126:$D$127,2,FALSE),IF(H200="WP",VLOOKUP(I200,[1]MATERIALES!$C$128:$D$129,2,FALSE),IF(H200="5x5",VLOOKUP(I200,[1]MATERIALES!$C$130:$D$132,2,FALSE)))))),"19mm",(IF(H200="Rectangular",VLOOKUP(I200,[1]MATERIALES!$C$124:$D$125,2,FALSE),IF(H200="Octagonal",VLOOKUP(I200,[1]MATERIALES!$C$126:$D$127,2,FALSE),IF(H200="WP",VLOOKUP(I200,[1]MATERIALES!$C$128:$D$129,2,FALSE),IF(H200="5x5",VLOOKUP(I200,[1]MATERIALES!$C$130:$D$132,2,FALSE)))))),"25mm",IF(H200="Rectangular","-",IF(H200="Octagonal","--",IF(H200="WP","---",IF(H200="5x5",VLOOKUP(I200,[1]MATERIALES!$C$130:$D$132,2,FALSE),0)))),"38mm","-","50mm","-","75mm","-","100mm","-")</f>
        <v>Caja octagonal EMT 1/2" USA UL</v>
      </c>
      <c r="H200" s="369" t="s">
        <v>194</v>
      </c>
      <c r="I200" s="366" t="str">
        <f>I195</f>
        <v>13mm</v>
      </c>
      <c r="J200" s="316"/>
      <c r="K200" s="345" t="str">
        <f t="shared" si="125"/>
        <v>Unid.</v>
      </c>
      <c r="L200" s="28">
        <f>1+L210+L211+L212</f>
        <v>21</v>
      </c>
      <c r="M200" s="248" t="str">
        <f>IFERROR(VLOOKUP(G200,[1]MATERIALES!$D$5:$I$1368,2,FALSE),0)</f>
        <v xml:space="preserve">Suplidores electricos </v>
      </c>
      <c r="N200" s="367" t="e">
        <f t="shared" si="120"/>
        <v>#VALUE!</v>
      </c>
      <c r="O200" s="140" t="e">
        <f t="shared" si="126"/>
        <v>#VALUE!</v>
      </c>
      <c r="P200" s="367" t="e">
        <f t="shared" si="127"/>
        <v>#VALUE!</v>
      </c>
      <c r="Q200" s="140" t="e">
        <f t="shared" si="121"/>
        <v>#VALUE!</v>
      </c>
      <c r="R200" s="368" t="e">
        <f t="shared" si="122"/>
        <v>#VALUE!</v>
      </c>
      <c r="S200" s="140">
        <f t="shared" si="128"/>
        <v>0</v>
      </c>
      <c r="T200" s="139">
        <f t="shared" si="129"/>
        <v>0</v>
      </c>
      <c r="U200" s="357"/>
      <c r="V200" s="358"/>
      <c r="W200" s="144"/>
    </row>
    <row r="201" spans="1:23" ht="15" hidden="1" customHeight="1" outlineLevel="1" thickBot="1">
      <c r="A201" s="353"/>
      <c r="B201" s="359">
        <f t="shared" si="123"/>
        <v>10.069999999999999</v>
      </c>
      <c r="C201" s="375" t="s">
        <v>795</v>
      </c>
      <c r="D201" s="360" t="s">
        <v>788</v>
      </c>
      <c r="E201" s="360">
        <v>3</v>
      </c>
      <c r="F201" s="347" t="str">
        <f t="shared" si="124"/>
        <v>120V 1Ø</v>
      </c>
      <c r="G201" s="370" t="str">
        <f>IF(H201="Rectangular",[1]MATERIALES!$D$133,IF(H200="Octagonal",[1]MATERIALES!$D$134,IF(H200="WP",[1]MATERIALES!$D$135,IF(H200="5x5",[1]MATERIALES!$D$136,0))))</f>
        <v>Tapa caja EMT 2x4 Inoxidable.</v>
      </c>
      <c r="H201" s="369" t="str">
        <f>H200</f>
        <v>Octagonal</v>
      </c>
      <c r="I201" s="366" t="str">
        <f>I195</f>
        <v>13mm</v>
      </c>
      <c r="J201" s="316"/>
      <c r="K201" s="345" t="str">
        <f t="shared" si="125"/>
        <v>Unid.</v>
      </c>
      <c r="L201" s="28">
        <f>L200</f>
        <v>21</v>
      </c>
      <c r="M201" s="248" t="str">
        <f>IFERROR(VLOOKUP(G201,[1]MATERIALES!$D$5:$I$1368,2,FALSE),0)</f>
        <v xml:space="preserve">Suplidores electricos </v>
      </c>
      <c r="N201" s="367" t="e">
        <f t="shared" si="120"/>
        <v>#VALUE!</v>
      </c>
      <c r="O201" s="140" t="e">
        <f t="shared" si="126"/>
        <v>#VALUE!</v>
      </c>
      <c r="P201" s="367" t="e">
        <f t="shared" si="127"/>
        <v>#VALUE!</v>
      </c>
      <c r="Q201" s="140" t="e">
        <f t="shared" si="121"/>
        <v>#VALUE!</v>
      </c>
      <c r="R201" s="368" t="e">
        <f t="shared" si="122"/>
        <v>#VALUE!</v>
      </c>
      <c r="S201" s="140">
        <f t="shared" si="128"/>
        <v>0</v>
      </c>
      <c r="T201" s="139">
        <f t="shared" si="129"/>
        <v>0</v>
      </c>
      <c r="U201" s="357"/>
      <c r="V201" s="358"/>
      <c r="W201" s="144"/>
    </row>
    <row r="202" spans="1:23" ht="15" hidden="1" customHeight="1" outlineLevel="1" thickBot="1">
      <c r="A202" s="353"/>
      <c r="B202" s="359">
        <f t="shared" si="123"/>
        <v>10.079999999999998</v>
      </c>
      <c r="C202" s="375" t="s">
        <v>795</v>
      </c>
      <c r="D202" s="360" t="s">
        <v>788</v>
      </c>
      <c r="E202" s="360">
        <v>3</v>
      </c>
      <c r="F202" s="347" t="str">
        <f t="shared" si="124"/>
        <v>120V 1Ø</v>
      </c>
      <c r="G202" s="361" t="str" cm="1">
        <f t="array" ref="G202">_xlfn.SWITCH(I202,"13mm",(IF(H202="Rectangular",VLOOKUP(I202,[1]MATERIALES!$C$124:$D$125,2,FALSE),IF(H202="Octagonal",VLOOKUP(I202,[1]MATERIALES!$C$126:$D$127,2,FALSE),IF(H202="WP",VLOOKUP(I202,[1]MATERIALES!$C$128:$D$129,2,FALSE),IF(H202="5x5",VLOOKUP(I202,[1]MATERIALES!$C$130:$D$132,2,FALSE)))))),"19mm",(IF(H202="Rectangular",VLOOKUP(I202,[1]MATERIALES!$C$124:$D$125,2,FALSE),IF(H202="Octagonal",VLOOKUP(I202,[1]MATERIALES!$C$126:$D$127,2,FALSE),IF(H202="WP",VLOOKUP(I202,[1]MATERIALES!$C$128:$D$129,2,FALSE),IF(H202="5x5",VLOOKUP(I202,[1]MATERIALES!$C$130:$D$132,2,FALSE)))))),"25mm",IF(H202="Rectangular","-",IF(H202="Octagonal","--",IF(H202="WP","---",IF(H202="5x5",VLOOKUP(I202,[1]MATERIALES!$C$130:$D$132,2,FALSE),0)))),"38mm","-","50mm","-","75mm","-","100mm","-")</f>
        <v>Caja EMT 2x4 1/2" USA UL</v>
      </c>
      <c r="H202" s="369" t="s">
        <v>188</v>
      </c>
      <c r="I202" s="366" t="str">
        <f>I197</f>
        <v>13mm</v>
      </c>
      <c r="J202" s="316"/>
      <c r="K202" s="345" t="str">
        <f t="shared" si="125"/>
        <v>Unid.</v>
      </c>
      <c r="L202" s="28">
        <f>L210+L211</f>
        <v>10</v>
      </c>
      <c r="M202" s="248" t="str">
        <f>IFERROR(VLOOKUP(G202,[1]MATERIALES!$D$5:$I$1368,2,FALSE),0)</f>
        <v xml:space="preserve">Suplidores electricos </v>
      </c>
      <c r="N202" s="367" t="e">
        <f t="shared" si="120"/>
        <v>#VALUE!</v>
      </c>
      <c r="O202" s="140" t="e">
        <f t="shared" si="126"/>
        <v>#VALUE!</v>
      </c>
      <c r="P202" s="367" t="e">
        <f t="shared" si="127"/>
        <v>#VALUE!</v>
      </c>
      <c r="Q202" s="140" t="e">
        <f t="shared" si="121"/>
        <v>#VALUE!</v>
      </c>
      <c r="R202" s="368" t="e">
        <f t="shared" si="122"/>
        <v>#VALUE!</v>
      </c>
      <c r="S202" s="140">
        <f t="shared" si="128"/>
        <v>0</v>
      </c>
      <c r="T202" s="139">
        <f t="shared" si="129"/>
        <v>0</v>
      </c>
      <c r="U202" s="357"/>
      <c r="V202" s="358"/>
      <c r="W202" s="144"/>
    </row>
    <row r="203" spans="1:23" ht="15" hidden="1" customHeight="1" outlineLevel="1" thickBot="1">
      <c r="A203" s="353"/>
      <c r="B203" s="359">
        <f t="shared" si="123"/>
        <v>10.089999999999998</v>
      </c>
      <c r="C203" s="375" t="s">
        <v>795</v>
      </c>
      <c r="D203" s="360" t="s">
        <v>788</v>
      </c>
      <c r="E203" s="360">
        <v>3</v>
      </c>
      <c r="F203" s="347" t="str">
        <f t="shared" si="124"/>
        <v>120V 1Ø</v>
      </c>
      <c r="G203" s="370" t="str">
        <f>IF(H203="Rectangular",[1]MATERIALES!$D$133,IF(H202="Octagonal",[1]MATERIALES!$D$134,IF(H202="WP",[1]MATERIALES!#REF!,IF(H202="5x5",[1]MATERIALES!$D$136,0))))</f>
        <v>CAJA REG. 12X12X4 N3R</v>
      </c>
      <c r="H203" s="369" t="str">
        <f>H202</f>
        <v>Rectangular</v>
      </c>
      <c r="I203" s="366" t="str">
        <f>I197</f>
        <v>13mm</v>
      </c>
      <c r="J203" s="316"/>
      <c r="K203" s="345" t="str">
        <f t="shared" si="125"/>
        <v>Unid.</v>
      </c>
      <c r="L203" s="28">
        <f>L202</f>
        <v>10</v>
      </c>
      <c r="M203" s="248" t="str">
        <f>IFERROR(VLOOKUP(G203,[1]MATERIALES!$D$5:$I$1368,2,FALSE),0)</f>
        <v xml:space="preserve">Suplidores electricos </v>
      </c>
      <c r="N203" s="367" t="e">
        <f t="shared" si="120"/>
        <v>#VALUE!</v>
      </c>
      <c r="O203" s="140" t="e">
        <f t="shared" si="126"/>
        <v>#VALUE!</v>
      </c>
      <c r="P203" s="367" t="e">
        <f t="shared" si="127"/>
        <v>#VALUE!</v>
      </c>
      <c r="Q203" s="140" t="e">
        <f t="shared" si="121"/>
        <v>#VALUE!</v>
      </c>
      <c r="R203" s="368" t="e">
        <f t="shared" si="122"/>
        <v>#VALUE!</v>
      </c>
      <c r="S203" s="140">
        <f t="shared" si="128"/>
        <v>0</v>
      </c>
      <c r="T203" s="139">
        <f t="shared" si="129"/>
        <v>0</v>
      </c>
      <c r="U203" s="357"/>
      <c r="V203" s="358"/>
      <c r="W203" s="144"/>
    </row>
    <row r="204" spans="1:23" ht="15" hidden="1" customHeight="1" outlineLevel="1" thickBot="1">
      <c r="A204" s="353"/>
      <c r="B204" s="359">
        <f t="shared" si="123"/>
        <v>10.099999999999998</v>
      </c>
      <c r="C204" s="375" t="s">
        <v>795</v>
      </c>
      <c r="D204" s="360" t="s">
        <v>788</v>
      </c>
      <c r="E204" s="360">
        <v>3</v>
      </c>
      <c r="F204" s="347" t="str">
        <f t="shared" si="124"/>
        <v>120V 1Ø</v>
      </c>
      <c r="G204" s="371" t="str">
        <f>"Fase A"&amp;": "&amp;I204</f>
        <v>Fase A: Conductor 12 AWG THHN</v>
      </c>
      <c r="H204" s="366" t="s">
        <v>181</v>
      </c>
      <c r="I204" s="366" t="s">
        <v>189</v>
      </c>
      <c r="J204" s="366">
        <f>J195</f>
        <v>13.57</v>
      </c>
      <c r="K204" s="345" t="str">
        <f>IF(OR(H204="Conductores Americanos",H204="Conductores Europeos"),"Pies","Unid.")</f>
        <v>Pies</v>
      </c>
      <c r="L204" s="28">
        <f t="shared" ref="L204:L209" si="130">ROUNDUP(J204*3.28,0)</f>
        <v>45</v>
      </c>
      <c r="M204" s="140" t="str">
        <f>VLOOKUP(I204,[1]MATERIALES!$D$5:$I$1368,2,FALSE)</f>
        <v xml:space="preserve">Suplidores electricos </v>
      </c>
      <c r="N204" s="367" t="e">
        <f t="shared" si="120"/>
        <v>#VALUE!</v>
      </c>
      <c r="O204" s="140" t="e">
        <f t="shared" si="126"/>
        <v>#VALUE!</v>
      </c>
      <c r="P204" s="367" t="e">
        <f t="shared" si="127"/>
        <v>#VALUE!</v>
      </c>
      <c r="Q204" s="140" t="e">
        <f t="shared" si="121"/>
        <v>#VALUE!</v>
      </c>
      <c r="R204" s="368" t="e">
        <f t="shared" si="122"/>
        <v>#VALUE!</v>
      </c>
      <c r="S204" s="140">
        <f t="shared" si="128"/>
        <v>0</v>
      </c>
      <c r="T204" s="139">
        <f t="shared" si="129"/>
        <v>0</v>
      </c>
      <c r="U204" s="357"/>
      <c r="V204" s="358"/>
      <c r="W204" s="144"/>
    </row>
    <row r="205" spans="1:23" ht="15" hidden="1" customHeight="1" outlineLevel="1" thickBot="1">
      <c r="A205" s="353"/>
      <c r="B205" s="359">
        <f t="shared" si="123"/>
        <v>10.109999999999998</v>
      </c>
      <c r="C205" s="375" t="s">
        <v>795</v>
      </c>
      <c r="D205" s="360" t="s">
        <v>788</v>
      </c>
      <c r="E205" s="360">
        <v>3</v>
      </c>
      <c r="F205" s="347" t="str">
        <f t="shared" si="124"/>
        <v>120V 1Ø</v>
      </c>
      <c r="G205" s="371" t="str">
        <f>IF(F205="120V 1Ø","-",("Fase B"&amp;": "&amp;I205))</f>
        <v>-</v>
      </c>
      <c r="H205" s="366" t="str">
        <f t="shared" ref="H205:I208" si="131">H204</f>
        <v>Conductores Americanos</v>
      </c>
      <c r="I205" s="366" t="str">
        <f t="shared" si="131"/>
        <v>Conductor 12 AWG THHN</v>
      </c>
      <c r="J205" s="366">
        <f>IF(G205="-",0,J195)</f>
        <v>0</v>
      </c>
      <c r="K205" s="345" t="str">
        <f t="shared" ref="K205:K213" si="132">IF(OR(H205="Conductores Americanos",H205="Conductores Europeos"),"Pies","Unid.")</f>
        <v>Pies</v>
      </c>
      <c r="L205" s="28">
        <f t="shared" si="130"/>
        <v>0</v>
      </c>
      <c r="M205" s="140" t="str">
        <f>VLOOKUP(I205,[1]MATERIALES!$D$5:$I$1368,2,FALSE)</f>
        <v xml:space="preserve">Suplidores electricos </v>
      </c>
      <c r="N205" s="367" t="e">
        <f t="shared" si="120"/>
        <v>#VALUE!</v>
      </c>
      <c r="O205" s="140" t="e">
        <f t="shared" si="126"/>
        <v>#VALUE!</v>
      </c>
      <c r="P205" s="367" t="e">
        <f t="shared" si="127"/>
        <v>#VALUE!</v>
      </c>
      <c r="Q205" s="140" t="e">
        <f t="shared" si="121"/>
        <v>#VALUE!</v>
      </c>
      <c r="R205" s="368" t="e">
        <f t="shared" si="122"/>
        <v>#VALUE!</v>
      </c>
      <c r="S205" s="140">
        <f t="shared" si="128"/>
        <v>0</v>
      </c>
      <c r="T205" s="139">
        <f t="shared" si="129"/>
        <v>0</v>
      </c>
      <c r="U205" s="357"/>
      <c r="V205" s="358"/>
      <c r="W205" s="144"/>
    </row>
    <row r="206" spans="1:23" ht="15" hidden="1" customHeight="1" outlineLevel="1" thickBot="1">
      <c r="A206" s="353"/>
      <c r="B206" s="359">
        <f t="shared" si="123"/>
        <v>10.119999999999997</v>
      </c>
      <c r="C206" s="375" t="s">
        <v>795</v>
      </c>
      <c r="D206" s="360" t="s">
        <v>788</v>
      </c>
      <c r="E206" s="360">
        <v>3</v>
      </c>
      <c r="F206" s="347" t="str">
        <f t="shared" si="124"/>
        <v>120V 1Ø</v>
      </c>
      <c r="G206" s="371" t="str">
        <f>IF(F206="120V 1Ø","-",IF(F206="240V 1Ø","-",("Fase C"&amp;": "&amp;I204)))</f>
        <v>-</v>
      </c>
      <c r="H206" s="366" t="str">
        <f t="shared" si="131"/>
        <v>Conductores Americanos</v>
      </c>
      <c r="I206" s="366" t="str">
        <f t="shared" si="131"/>
        <v>Conductor 12 AWG THHN</v>
      </c>
      <c r="J206" s="366">
        <f>IF(G206="-",0,J196)</f>
        <v>0</v>
      </c>
      <c r="K206" s="345" t="str">
        <f t="shared" si="132"/>
        <v>Pies</v>
      </c>
      <c r="L206" s="28">
        <f t="shared" si="130"/>
        <v>0</v>
      </c>
      <c r="M206" s="140" t="str">
        <f>VLOOKUP(I206,[1]MATERIALES!$D$5:$I$1368,2,FALSE)</f>
        <v xml:space="preserve">Suplidores electricos </v>
      </c>
      <c r="N206" s="367" t="e">
        <f t="shared" si="120"/>
        <v>#VALUE!</v>
      </c>
      <c r="O206" s="140" t="e">
        <f t="shared" si="126"/>
        <v>#VALUE!</v>
      </c>
      <c r="P206" s="367" t="e">
        <f t="shared" si="127"/>
        <v>#VALUE!</v>
      </c>
      <c r="Q206" s="140" t="e">
        <f t="shared" si="121"/>
        <v>#VALUE!</v>
      </c>
      <c r="R206" s="368" t="e">
        <f t="shared" si="122"/>
        <v>#VALUE!</v>
      </c>
      <c r="S206" s="140">
        <f t="shared" si="128"/>
        <v>0</v>
      </c>
      <c r="T206" s="139">
        <f t="shared" si="129"/>
        <v>0</v>
      </c>
      <c r="U206" s="357"/>
      <c r="V206" s="358"/>
      <c r="W206" s="144"/>
    </row>
    <row r="207" spans="1:23" ht="15" hidden="1" customHeight="1" outlineLevel="1" thickBot="1">
      <c r="A207" s="353"/>
      <c r="B207" s="359">
        <f t="shared" si="123"/>
        <v>10.129999999999997</v>
      </c>
      <c r="C207" s="375" t="s">
        <v>795</v>
      </c>
      <c r="D207" s="360" t="s">
        <v>788</v>
      </c>
      <c r="E207" s="360">
        <v>3</v>
      </c>
      <c r="F207" s="347" t="str">
        <f t="shared" si="124"/>
        <v>120V 1Ø</v>
      </c>
      <c r="G207" s="372" t="str">
        <f>"Retorno"&amp;": "&amp;I207</f>
        <v>Retorno: Conductor 12 AWG THHN</v>
      </c>
      <c r="H207" s="366" t="str">
        <f t="shared" si="131"/>
        <v>Conductores Americanos</v>
      </c>
      <c r="I207" s="366" t="str">
        <f t="shared" si="131"/>
        <v>Conductor 12 AWG THHN</v>
      </c>
      <c r="J207" s="366">
        <f>J204/3+J204*L211/3</f>
        <v>13.57</v>
      </c>
      <c r="K207" s="345" t="str">
        <f t="shared" si="132"/>
        <v>Pies</v>
      </c>
      <c r="L207" s="28">
        <f t="shared" si="130"/>
        <v>45</v>
      </c>
      <c r="M207" s="140" t="str">
        <f>VLOOKUP(I207,[1]MATERIALES!$D$5:$I$1368,2,FALSE)</f>
        <v xml:space="preserve">Suplidores electricos </v>
      </c>
      <c r="N207" s="367" t="e">
        <f t="shared" si="120"/>
        <v>#VALUE!</v>
      </c>
      <c r="O207" s="140" t="e">
        <f t="shared" si="126"/>
        <v>#VALUE!</v>
      </c>
      <c r="P207" s="367" t="e">
        <f t="shared" si="127"/>
        <v>#VALUE!</v>
      </c>
      <c r="Q207" s="140" t="e">
        <f t="shared" si="121"/>
        <v>#VALUE!</v>
      </c>
      <c r="R207" s="368" t="e">
        <f t="shared" si="122"/>
        <v>#VALUE!</v>
      </c>
      <c r="S207" s="140">
        <f t="shared" si="128"/>
        <v>0</v>
      </c>
      <c r="T207" s="139">
        <f t="shared" si="129"/>
        <v>0</v>
      </c>
      <c r="U207" s="357"/>
      <c r="V207" s="358"/>
      <c r="W207" s="144"/>
    </row>
    <row r="208" spans="1:23" ht="15" hidden="1" customHeight="1" outlineLevel="1" thickBot="1">
      <c r="A208" s="353"/>
      <c r="B208" s="359">
        <f t="shared" si="123"/>
        <v>10.139999999999997</v>
      </c>
      <c r="C208" s="375" t="s">
        <v>795</v>
      </c>
      <c r="D208" s="360" t="s">
        <v>788</v>
      </c>
      <c r="E208" s="360">
        <v>3</v>
      </c>
      <c r="F208" s="347" t="str">
        <f t="shared" si="124"/>
        <v>120V 1Ø</v>
      </c>
      <c r="G208" s="372" t="str">
        <f>IF(F208="240V 1Ø","-",IF(F208="480V 3Ø","-",("Neutro"&amp;": "&amp;I205)))</f>
        <v>Neutro: Conductor 12 AWG THHN</v>
      </c>
      <c r="H208" s="366" t="str">
        <f>H206</f>
        <v>Conductores Americanos</v>
      </c>
      <c r="I208" s="366" t="str">
        <f t="shared" si="131"/>
        <v>Conductor 12 AWG THHN</v>
      </c>
      <c r="J208" s="366">
        <f>IF(G208="-",0,J195)</f>
        <v>13.57</v>
      </c>
      <c r="K208" s="345" t="str">
        <f t="shared" si="132"/>
        <v>Pies</v>
      </c>
      <c r="L208" s="28">
        <f t="shared" si="130"/>
        <v>45</v>
      </c>
      <c r="M208" s="140" t="str">
        <f>VLOOKUP(I208,[1]MATERIALES!$D$5:$I$1368,2,FALSE)</f>
        <v xml:space="preserve">Suplidores electricos </v>
      </c>
      <c r="N208" s="367" t="e">
        <f t="shared" si="120"/>
        <v>#VALUE!</v>
      </c>
      <c r="O208" s="140" t="e">
        <f t="shared" si="126"/>
        <v>#VALUE!</v>
      </c>
      <c r="P208" s="367" t="e">
        <f t="shared" si="127"/>
        <v>#VALUE!</v>
      </c>
      <c r="Q208" s="140" t="e">
        <f t="shared" si="121"/>
        <v>#VALUE!</v>
      </c>
      <c r="R208" s="368" t="e">
        <f t="shared" si="122"/>
        <v>#VALUE!</v>
      </c>
      <c r="S208" s="140">
        <f t="shared" si="128"/>
        <v>0</v>
      </c>
      <c r="T208" s="139">
        <f t="shared" si="129"/>
        <v>0</v>
      </c>
      <c r="U208" s="357"/>
      <c r="V208" s="358"/>
      <c r="W208" s="144"/>
    </row>
    <row r="209" spans="1:23" ht="15" hidden="1" customHeight="1" outlineLevel="1" thickBot="1">
      <c r="A209" s="353"/>
      <c r="B209" s="359">
        <f t="shared" si="123"/>
        <v>10.149999999999997</v>
      </c>
      <c r="C209" s="375" t="s">
        <v>795</v>
      </c>
      <c r="D209" s="360" t="s">
        <v>788</v>
      </c>
      <c r="E209" s="360">
        <v>3</v>
      </c>
      <c r="F209" s="347" t="str">
        <f t="shared" si="124"/>
        <v>120V 1Ø</v>
      </c>
      <c r="G209" s="372" t="str">
        <f>"Tierra"&amp;": "&amp;I209</f>
        <v>Tierra: Conductor 12 AWG THHN</v>
      </c>
      <c r="H209" s="366" t="str">
        <f>H208</f>
        <v>Conductores Americanos</v>
      </c>
      <c r="I209" s="366" t="str">
        <f>I208</f>
        <v>Conductor 12 AWG THHN</v>
      </c>
      <c r="J209" s="366">
        <f>J195</f>
        <v>13.57</v>
      </c>
      <c r="K209" s="345" t="str">
        <f t="shared" si="132"/>
        <v>Pies</v>
      </c>
      <c r="L209" s="28">
        <f t="shared" si="130"/>
        <v>45</v>
      </c>
      <c r="M209" s="140" t="str">
        <f>VLOOKUP(I209,[1]MATERIALES!$D$5:$I$1368,2,FALSE)</f>
        <v xml:space="preserve">Suplidores electricos </v>
      </c>
      <c r="N209" s="367" t="e">
        <f t="shared" si="120"/>
        <v>#VALUE!</v>
      </c>
      <c r="O209" s="140" t="e">
        <f t="shared" si="126"/>
        <v>#VALUE!</v>
      </c>
      <c r="P209" s="367" t="e">
        <f t="shared" si="127"/>
        <v>#VALUE!</v>
      </c>
      <c r="Q209" s="140" t="e">
        <f t="shared" si="121"/>
        <v>#VALUE!</v>
      </c>
      <c r="R209" s="368" t="e">
        <f t="shared" si="122"/>
        <v>#VALUE!</v>
      </c>
      <c r="S209" s="140">
        <f t="shared" si="128"/>
        <v>0</v>
      </c>
      <c r="T209" s="139">
        <f t="shared" si="129"/>
        <v>0</v>
      </c>
      <c r="U209" s="357"/>
      <c r="V209" s="358"/>
      <c r="W209" s="144"/>
    </row>
    <row r="210" spans="1:23" ht="15" hidden="1" customHeight="1" outlineLevel="1" thickBot="1">
      <c r="A210" s="353"/>
      <c r="B210" s="359">
        <f t="shared" si="123"/>
        <v>10.159999999999997</v>
      </c>
      <c r="C210" s="375" t="s">
        <v>795</v>
      </c>
      <c r="D210" s="360" t="s">
        <v>788</v>
      </c>
      <c r="E210" s="360">
        <v>3</v>
      </c>
      <c r="F210" s="347" t="str">
        <f t="shared" si="124"/>
        <v>120V 1Ø</v>
      </c>
      <c r="G210" s="361" t="str" cm="1">
        <f t="array" ref="G210">IFERROR(VLOOKUP(H210&amp;"|"&amp;I210,CHOOSE({1,2},[1]MATERIALES!$B$186:B1981&amp;"|"&amp;[1]MATERIALES!$C$186:$C$198,[1]MATERIALES!$D$186:$D$198),2,0),"-")</f>
        <v>Apagador Sencillo 20A Matix (AM5001 + 503SB/SA+ AM503/1N)</v>
      </c>
      <c r="H210" s="373" t="s">
        <v>382</v>
      </c>
      <c r="I210" s="373" t="s">
        <v>402</v>
      </c>
      <c r="J210" s="316"/>
      <c r="K210" s="345" t="str">
        <f t="shared" si="132"/>
        <v>Unid.</v>
      </c>
      <c r="L210" s="218">
        <v>8</v>
      </c>
      <c r="M210" s="248">
        <f>IFERROR(VLOOKUP(G210,[1]MATERIALES!$D$5:$I$1368,2,FALSE),0)</f>
        <v>0</v>
      </c>
      <c r="N210" s="367">
        <f t="shared" si="120"/>
        <v>0</v>
      </c>
      <c r="O210" s="140">
        <f t="shared" si="126"/>
        <v>0</v>
      </c>
      <c r="P210" s="367">
        <f t="shared" si="127"/>
        <v>0</v>
      </c>
      <c r="Q210" s="140">
        <f t="shared" si="121"/>
        <v>0</v>
      </c>
      <c r="R210" s="368">
        <f t="shared" si="122"/>
        <v>0</v>
      </c>
      <c r="S210" s="140">
        <f t="shared" si="128"/>
        <v>0</v>
      </c>
      <c r="T210" s="139">
        <f t="shared" si="129"/>
        <v>0</v>
      </c>
      <c r="U210" s="357"/>
      <c r="V210" s="358"/>
      <c r="W210" s="144"/>
    </row>
    <row r="211" spans="1:23" ht="15" hidden="1" customHeight="1" outlineLevel="1" thickBot="1">
      <c r="A211" s="353"/>
      <c r="B211" s="359">
        <f t="shared" si="123"/>
        <v>10.169999999999996</v>
      </c>
      <c r="C211" s="375" t="s">
        <v>795</v>
      </c>
      <c r="D211" s="360" t="s">
        <v>788</v>
      </c>
      <c r="E211" s="360">
        <v>3</v>
      </c>
      <c r="F211" s="347" t="str">
        <f t="shared" si="124"/>
        <v>120V 1Ø</v>
      </c>
      <c r="G211" s="361" t="str" cm="1">
        <f t="array" ref="G211">IFERROR(VLOOKUP(H211&amp;"|"&amp;I211,CHOOSE({1,2},[1]MATERIALES!$B$186:B1982&amp;"|"&amp;[1]MATERIALES!$C$186:$C$198,[1]MATERIALES!$D$186:$D$198),2,0),"-")</f>
        <v>Apagador Doble 20A Matix (2xAM5001 + 503SB/SA+ AM503/2N)</v>
      </c>
      <c r="H211" s="373" t="s">
        <v>382</v>
      </c>
      <c r="I211" s="373" t="s">
        <v>404</v>
      </c>
      <c r="J211" s="316"/>
      <c r="K211" s="345" t="str">
        <f t="shared" si="132"/>
        <v>Unid.</v>
      </c>
      <c r="L211" s="218">
        <v>2</v>
      </c>
      <c r="M211" s="248">
        <f>IFERROR(VLOOKUP(G211,[1]MATERIALES!$D$5:$I$1368,2,FALSE),0)</f>
        <v>0</v>
      </c>
      <c r="N211" s="367">
        <f t="shared" si="120"/>
        <v>0</v>
      </c>
      <c r="O211" s="140">
        <f t="shared" si="126"/>
        <v>0</v>
      </c>
      <c r="P211" s="367">
        <f t="shared" si="127"/>
        <v>0</v>
      </c>
      <c r="Q211" s="140">
        <f t="shared" si="121"/>
        <v>0</v>
      </c>
      <c r="R211" s="368">
        <f t="shared" si="122"/>
        <v>0</v>
      </c>
      <c r="S211" s="140">
        <f t="shared" si="128"/>
        <v>0</v>
      </c>
      <c r="T211" s="139">
        <f t="shared" si="129"/>
        <v>0</v>
      </c>
      <c r="U211" s="357"/>
      <c r="V211" s="358"/>
      <c r="W211" s="144"/>
    </row>
    <row r="212" spans="1:23" ht="15" hidden="1" customHeight="1" outlineLevel="1" thickBot="1">
      <c r="A212" s="353"/>
      <c r="B212" s="359">
        <f t="shared" si="123"/>
        <v>10.179999999999996</v>
      </c>
      <c r="C212" s="375" t="s">
        <v>795</v>
      </c>
      <c r="D212" s="360" t="s">
        <v>788</v>
      </c>
      <c r="E212" s="360">
        <v>3</v>
      </c>
      <c r="F212" s="347" t="str">
        <f t="shared" si="124"/>
        <v>120V 1Ø</v>
      </c>
      <c r="G212" s="361" t="s">
        <v>794</v>
      </c>
      <c r="H212" s="316"/>
      <c r="I212" s="316"/>
      <c r="J212" s="316"/>
      <c r="K212" s="345" t="str">
        <f t="shared" si="132"/>
        <v>Unid.</v>
      </c>
      <c r="L212" s="218">
        <v>10</v>
      </c>
      <c r="M212" s="248">
        <f>IFERROR(VLOOKUP(G212,[1]MATERIALES!$D$5:$I$1368,2,FALSE),0)</f>
        <v>0</v>
      </c>
      <c r="N212" s="367">
        <f t="shared" si="120"/>
        <v>0</v>
      </c>
      <c r="O212" s="140">
        <f t="shared" si="126"/>
        <v>0</v>
      </c>
      <c r="P212" s="367">
        <f t="shared" si="127"/>
        <v>0</v>
      </c>
      <c r="Q212" s="140">
        <f t="shared" si="121"/>
        <v>0</v>
      </c>
      <c r="R212" s="368">
        <f t="shared" si="122"/>
        <v>0</v>
      </c>
      <c r="S212" s="140">
        <f t="shared" si="128"/>
        <v>0</v>
      </c>
      <c r="T212" s="139">
        <f t="shared" si="129"/>
        <v>0</v>
      </c>
      <c r="U212" s="357"/>
      <c r="V212" s="358"/>
      <c r="W212" s="144"/>
    </row>
    <row r="213" spans="1:23" ht="15" hidden="1" customHeight="1" outlineLevel="1" thickBot="1">
      <c r="A213" s="353"/>
      <c r="B213" s="359">
        <f t="shared" si="123"/>
        <v>10.189999999999996</v>
      </c>
      <c r="C213" s="375" t="s">
        <v>795</v>
      </c>
      <c r="D213" s="360" t="s">
        <v>788</v>
      </c>
      <c r="E213" s="360">
        <v>3</v>
      </c>
      <c r="F213" s="347" t="str">
        <f t="shared" si="124"/>
        <v>120V 1Ø</v>
      </c>
      <c r="G213" s="361" t="s">
        <v>422</v>
      </c>
      <c r="H213" s="316"/>
      <c r="I213" s="316"/>
      <c r="J213" s="316"/>
      <c r="K213" s="345" t="str">
        <f t="shared" si="132"/>
        <v>Unid.</v>
      </c>
      <c r="L213" s="345">
        <f>3*(L200)</f>
        <v>63</v>
      </c>
      <c r="M213" s="248">
        <f>IFERROR(VLOOKUP(G213,[1]MATERIALES!$D$5:$I$1368,2,FALSE),0)</f>
        <v>0</v>
      </c>
      <c r="N213" s="367">
        <f t="shared" si="120"/>
        <v>0</v>
      </c>
      <c r="O213" s="140">
        <f t="shared" si="126"/>
        <v>0</v>
      </c>
      <c r="P213" s="367">
        <f t="shared" si="127"/>
        <v>0</v>
      </c>
      <c r="Q213" s="140">
        <f t="shared" si="121"/>
        <v>0</v>
      </c>
      <c r="R213" s="368">
        <f t="shared" si="122"/>
        <v>0</v>
      </c>
      <c r="S213" s="140">
        <f t="shared" si="128"/>
        <v>0</v>
      </c>
      <c r="T213" s="139">
        <f t="shared" si="129"/>
        <v>0</v>
      </c>
      <c r="U213" s="357" t="e">
        <f>SUM(R213:R215)</f>
        <v>#VALUE!</v>
      </c>
      <c r="V213" s="358" t="e">
        <f>'[1]1. OFERTA'!#REF!</f>
        <v>#REF!</v>
      </c>
      <c r="W213" s="144" t="e">
        <f>U213-V213</f>
        <v>#VALUE!</v>
      </c>
    </row>
    <row r="214" spans="1:23" ht="15" hidden="1" customHeight="1" outlineLevel="1" thickBot="1">
      <c r="A214" s="353"/>
      <c r="B214" s="359">
        <f t="shared" si="123"/>
        <v>10.199999999999996</v>
      </c>
      <c r="C214" s="375" t="s">
        <v>795</v>
      </c>
      <c r="D214" s="360" t="s">
        <v>788</v>
      </c>
      <c r="E214" s="360">
        <v>3</v>
      </c>
      <c r="F214" s="347" t="str">
        <f t="shared" si="124"/>
        <v>120V 1Ø</v>
      </c>
      <c r="G214" s="361" t="s">
        <v>424</v>
      </c>
      <c r="H214" s="316"/>
      <c r="I214" s="316"/>
      <c r="J214" s="316"/>
      <c r="K214" s="345" t="s">
        <v>784</v>
      </c>
      <c r="L214" s="28">
        <f>ROUNDUP(L199+L200+L202,0)</f>
        <v>45</v>
      </c>
      <c r="M214" s="248">
        <f>IFERROR(VLOOKUP(G214,[1]MATERIALES!$D$5:$I$1368,2,FALSE),0)</f>
        <v>0</v>
      </c>
      <c r="N214" s="367">
        <f t="shared" si="120"/>
        <v>0</v>
      </c>
      <c r="O214" s="140">
        <f t="shared" si="126"/>
        <v>0</v>
      </c>
      <c r="P214" s="367">
        <f t="shared" si="127"/>
        <v>0</v>
      </c>
      <c r="Q214" s="140">
        <f t="shared" si="121"/>
        <v>0</v>
      </c>
      <c r="R214" s="368">
        <f t="shared" si="122"/>
        <v>0</v>
      </c>
      <c r="S214" s="140">
        <f t="shared" si="128"/>
        <v>0</v>
      </c>
      <c r="T214" s="139">
        <f t="shared" si="129"/>
        <v>0</v>
      </c>
      <c r="U214" s="357"/>
      <c r="V214" s="358"/>
      <c r="W214" s="144"/>
    </row>
    <row r="215" spans="1:23" ht="15" hidden="1" customHeight="1" outlineLevel="1" thickBot="1">
      <c r="A215" s="353"/>
      <c r="B215" s="359">
        <f t="shared" si="123"/>
        <v>10.209999999999996</v>
      </c>
      <c r="C215" s="375" t="s">
        <v>795</v>
      </c>
      <c r="D215" s="360" t="s">
        <v>788</v>
      </c>
      <c r="E215" s="360">
        <v>3</v>
      </c>
      <c r="F215" s="347" t="str">
        <f t="shared" si="124"/>
        <v>120V 1Ø</v>
      </c>
      <c r="G215" s="361" t="s">
        <v>168</v>
      </c>
      <c r="H215" s="316"/>
      <c r="I215" s="316"/>
      <c r="J215" s="316"/>
      <c r="K215" s="345" t="s">
        <v>784</v>
      </c>
      <c r="L215" s="28">
        <f>L214</f>
        <v>45</v>
      </c>
      <c r="M215" s="248" t="str">
        <f>IFERROR(VLOOKUP(G215,[1]MATERIALES!$D$5:$I$1368,2,FALSE),0)</f>
        <v xml:space="preserve">Marba Dominicana </v>
      </c>
      <c r="N215" s="367" t="e">
        <f t="shared" si="120"/>
        <v>#VALUE!</v>
      </c>
      <c r="O215" s="140" t="e">
        <f t="shared" si="126"/>
        <v>#VALUE!</v>
      </c>
      <c r="P215" s="367" t="e">
        <f t="shared" si="127"/>
        <v>#VALUE!</v>
      </c>
      <c r="Q215" s="140" t="e">
        <f t="shared" si="121"/>
        <v>#VALUE!</v>
      </c>
      <c r="R215" s="368" t="e">
        <f t="shared" si="122"/>
        <v>#VALUE!</v>
      </c>
      <c r="S215" s="140">
        <f t="shared" si="128"/>
        <v>0</v>
      </c>
      <c r="T215" s="139">
        <f t="shared" si="129"/>
        <v>0</v>
      </c>
      <c r="U215" s="357"/>
      <c r="V215" s="358"/>
      <c r="W215" s="144"/>
    </row>
    <row r="216" spans="1:23" ht="15" customHeight="1" collapsed="1" thickBot="1">
      <c r="A216" s="353"/>
      <c r="B216" s="354">
        <v>11</v>
      </c>
      <c r="C216" s="355" t="s">
        <v>796</v>
      </c>
      <c r="D216" s="269" t="s">
        <v>788</v>
      </c>
      <c r="E216" s="269">
        <v>4</v>
      </c>
      <c r="F216" s="270" t="s">
        <v>783</v>
      </c>
      <c r="G216" s="271"/>
      <c r="H216" s="272"/>
      <c r="I216" s="272"/>
      <c r="J216" s="272"/>
      <c r="K216" s="268"/>
      <c r="L216" s="268"/>
      <c r="M216" s="273"/>
      <c r="N216" s="274"/>
      <c r="O216" s="273"/>
      <c r="P216" s="274"/>
      <c r="Q216" s="273"/>
      <c r="R216" s="275"/>
      <c r="S216" s="273"/>
      <c r="T216" s="276"/>
      <c r="U216" s="357" t="e">
        <f>SUM(R217:R240)</f>
        <v>#VALUE!</v>
      </c>
      <c r="V216" s="358" t="e">
        <f>'[1]1. OFERTA'!#REF!</f>
        <v>#REF!</v>
      </c>
      <c r="W216" s="144" t="e">
        <f>U216-V216</f>
        <v>#VALUE!</v>
      </c>
    </row>
    <row r="217" spans="1:23" ht="15" hidden="1" customHeight="1" outlineLevel="1" thickBot="1">
      <c r="A217" s="353"/>
      <c r="B217" s="359">
        <f t="shared" ref="B217:B240" si="133">B216+0.01</f>
        <v>11.01</v>
      </c>
      <c r="C217" s="375" t="s">
        <v>796</v>
      </c>
      <c r="D217" s="360" t="s">
        <v>788</v>
      </c>
      <c r="E217" s="360">
        <v>4</v>
      </c>
      <c r="F217" s="347" t="s">
        <v>783</v>
      </c>
      <c r="G217" s="361" t="str">
        <f>IF(H217="PVC",VLOOKUP(I217,[1]MATERIALES!$C$5:$D$11,2,FALSE),IF(H217="EMT",VLOOKUP(I217,[1]MATERIALES!$C$40:$D$46,2,FALSE),IF(H217="IMC",VLOOKUP(I217,[1]MATERIALES!$C$82:$D$88,2,FALSE),IF(H217="LFNC",VLOOKUP(I217,[1]MATERIALES!$C$110:$D$116,2,FALSE),0))))</f>
        <v>Tubería PVC SDR-26 1/2"</v>
      </c>
      <c r="H217" s="362" t="s">
        <v>184</v>
      </c>
      <c r="I217" s="362" t="s">
        <v>216</v>
      </c>
      <c r="J217" s="362">
        <v>20.239999999999998</v>
      </c>
      <c r="K217" s="134" t="str">
        <f>IF(OR(H217="Conductores Americanos",H217="Conductores Europeos"),"Pies","Unid.")</f>
        <v>Unid.</v>
      </c>
      <c r="L217" s="363">
        <f>IF(H217="PVC",ROUNDUP(J217/6,0),IF(H217="EMT",ROUNDUP(J217/3,0),IF(H217="IMC",ROUNDUP(J217/3,0),IF(H217="LFNC",ROUNDUP(3.28*J217,0),0))))</f>
        <v>4</v>
      </c>
      <c r="M217" s="248" t="str">
        <f>IFERROR(VLOOKUP(G217,[1]MATERIALES!$D$5:$I$1368,2,FALSE),0)</f>
        <v xml:space="preserve">Suplidores electricos </v>
      </c>
      <c r="N217" s="364" t="e">
        <f t="shared" ref="N217:N233" si="134">M217/$N$2</f>
        <v>#VALUE!</v>
      </c>
      <c r="O217" s="248" t="e">
        <f>+L217*M217</f>
        <v>#VALUE!</v>
      </c>
      <c r="P217" s="364" t="e">
        <f>L217*N217</f>
        <v>#VALUE!</v>
      </c>
      <c r="Q217" s="248" t="e">
        <f t="shared" ref="Q217:Q240" si="135">+$O217+($O217*$R$2)</f>
        <v>#VALUE!</v>
      </c>
      <c r="R217" s="365" t="e">
        <f t="shared" ref="R217:R240" si="136">+$P217+($P217*$R$2)</f>
        <v>#VALUE!</v>
      </c>
      <c r="S217" s="248">
        <f>+IFERROR(Q217/L217,0)</f>
        <v>0</v>
      </c>
      <c r="T217" s="146">
        <f>+IFERROR(R217/L217,0)</f>
        <v>0</v>
      </c>
      <c r="U217" s="357"/>
      <c r="V217" s="358"/>
      <c r="W217" s="144"/>
    </row>
    <row r="218" spans="1:23" ht="15" hidden="1" customHeight="1" outlineLevel="1" thickBot="1">
      <c r="A218" s="353"/>
      <c r="B218" s="359">
        <f t="shared" si="133"/>
        <v>11.02</v>
      </c>
      <c r="C218" s="375" t="s">
        <v>796</v>
      </c>
      <c r="D218" s="360" t="s">
        <v>788</v>
      </c>
      <c r="E218" s="360">
        <v>4</v>
      </c>
      <c r="F218" s="347" t="str">
        <f t="shared" ref="F218:F234" si="137">F217</f>
        <v>120V 1Ø</v>
      </c>
      <c r="G218" s="361" t="str">
        <f>IF(H218="PVC",VLOOKUP(I218,[1]MATERIALES!$C$12:$D$18,2,FALSE),IF(H218="EMT",VLOOKUP(I218,[1]MATERIALES!$C$47:$D$53,2,FALSE),IF(H218="IMC",VLOOKUP(I218,[1]MATERIALES!$C$89:$D$96,2,FALSE),"-")))</f>
        <v>Coupling PVC 1/2"</v>
      </c>
      <c r="H218" s="366" t="str">
        <f>H217</f>
        <v>PVC</v>
      </c>
      <c r="I218" s="366" t="str">
        <f>I217</f>
        <v>13mm</v>
      </c>
      <c r="J218" s="316"/>
      <c r="K218" s="345" t="str">
        <f t="shared" ref="K218:K225" si="138">IF(OR(H218="Conductores Americanos",H218="Conductores Europeos"),"Pies","Unid.")</f>
        <v>Unid.</v>
      </c>
      <c r="L218" s="28">
        <f>IF(H218="LFNC",0,L217)</f>
        <v>4</v>
      </c>
      <c r="M218" s="140" t="str">
        <f>IF(H218="LFNC",0,VLOOKUP(G218,[1]MATERIALES!$D$5:$I$1368,2,FALSE))</f>
        <v xml:space="preserve">Suplidores electricos </v>
      </c>
      <c r="N218" s="367" t="e">
        <f t="shared" si="134"/>
        <v>#VALUE!</v>
      </c>
      <c r="O218" s="140" t="e">
        <f t="shared" ref="O218:O233" si="139">+L218*M218</f>
        <v>#VALUE!</v>
      </c>
      <c r="P218" s="367" t="e">
        <f t="shared" ref="P218:P233" si="140">L218*N218</f>
        <v>#VALUE!</v>
      </c>
      <c r="Q218" s="140" t="e">
        <f t="shared" si="135"/>
        <v>#VALUE!</v>
      </c>
      <c r="R218" s="368" t="e">
        <f t="shared" si="136"/>
        <v>#VALUE!</v>
      </c>
      <c r="S218" s="140">
        <f t="shared" ref="S218:S233" si="141">+IFERROR(Q218/L218,0)</f>
        <v>0</v>
      </c>
      <c r="T218" s="139">
        <f t="shared" ref="T218:T233" si="142">+IFERROR(R218/L218,0)</f>
        <v>0</v>
      </c>
      <c r="U218" s="357"/>
      <c r="V218" s="358"/>
      <c r="W218" s="144"/>
    </row>
    <row r="219" spans="1:23" ht="15" hidden="1" customHeight="1" outlineLevel="1" thickBot="1">
      <c r="A219" s="353"/>
      <c r="B219" s="359">
        <f t="shared" si="133"/>
        <v>11.03</v>
      </c>
      <c r="C219" s="375" t="s">
        <v>796</v>
      </c>
      <c r="D219" s="360" t="s">
        <v>788</v>
      </c>
      <c r="E219" s="360">
        <v>4</v>
      </c>
      <c r="F219" s="347" t="str">
        <f t="shared" si="137"/>
        <v>120V 1Ø</v>
      </c>
      <c r="G219" s="361" t="str">
        <f>IF(H219="PVC",VLOOKUP(I219,[1]MATERIALES!$C$19:$D$25,2,FALSE),IF(H219="EMT",VLOOKUP(I219,[1]MATERIALES!$C$54:$D$60,2,FALSE),IF(H219="IMC",VLOOKUP(I219,[1]MATERIALES!$C$96:$D$102,2,FALSE),IF(H219="LFNC",VLOOKUP(I219,[1]MATERIALES!$C$117:$D$123,2,FALSE),0))))</f>
        <v>Adaptador Macho PVC 1/2"</v>
      </c>
      <c r="H219" s="366" t="str">
        <f>H217</f>
        <v>PVC</v>
      </c>
      <c r="I219" s="366" t="str">
        <f>I217</f>
        <v>13mm</v>
      </c>
      <c r="J219" s="316"/>
      <c r="K219" s="345" t="str">
        <f t="shared" si="138"/>
        <v>Unid.</v>
      </c>
      <c r="L219" s="28">
        <f>1+L222*2+L224</f>
        <v>40</v>
      </c>
      <c r="M219" s="248" t="str">
        <f>IFERROR(VLOOKUP(G219,[1]MATERIALES!$D$5:$I$1368,2,FALSE),0)</f>
        <v xml:space="preserve">Suplidores electricos </v>
      </c>
      <c r="N219" s="367" t="e">
        <f t="shared" si="134"/>
        <v>#VALUE!</v>
      </c>
      <c r="O219" s="140" t="e">
        <f t="shared" si="139"/>
        <v>#VALUE!</v>
      </c>
      <c r="P219" s="367" t="e">
        <f t="shared" si="140"/>
        <v>#VALUE!</v>
      </c>
      <c r="Q219" s="140" t="e">
        <f t="shared" si="135"/>
        <v>#VALUE!</v>
      </c>
      <c r="R219" s="368" t="e">
        <f t="shared" si="136"/>
        <v>#VALUE!</v>
      </c>
      <c r="S219" s="140">
        <f t="shared" si="141"/>
        <v>0</v>
      </c>
      <c r="T219" s="139">
        <f t="shared" si="142"/>
        <v>0</v>
      </c>
      <c r="U219" s="357"/>
      <c r="V219" s="358"/>
      <c r="W219" s="144"/>
    </row>
    <row r="220" spans="1:23" ht="15" hidden="1" customHeight="1" outlineLevel="1" thickBot="1">
      <c r="A220" s="353"/>
      <c r="B220" s="359">
        <f t="shared" si="133"/>
        <v>11.04</v>
      </c>
      <c r="C220" s="375" t="s">
        <v>796</v>
      </c>
      <c r="D220" s="360" t="s">
        <v>788</v>
      </c>
      <c r="E220" s="360">
        <v>4</v>
      </c>
      <c r="F220" s="347" t="str">
        <f t="shared" si="137"/>
        <v>120V 1Ø</v>
      </c>
      <c r="G220" s="361" t="str">
        <f>IF(H220="PVC",VLOOKUP(I220,[1]MATERIALES!$C$33:$D$39,2,FALSE),IF(H220="EMT",VLOOKUP(I220,[1]MATERIALES!$C$61:$D$67,2,FALSE),IF(H220="IMC",VLOOKUP(I220,[1]MATERIALES!$C$103:$D$109,2,FALSE),"-")))</f>
        <v>Curva 90 PVC SDR 1/2"</v>
      </c>
      <c r="H220" s="366" t="str">
        <f>H217</f>
        <v>PVC</v>
      </c>
      <c r="I220" s="366" t="str">
        <f>I217</f>
        <v>13mm</v>
      </c>
      <c r="J220" s="316"/>
      <c r="K220" s="345" t="str">
        <f t="shared" si="138"/>
        <v>Unid.</v>
      </c>
      <c r="L220" s="28">
        <f>IF(H220="LFNC",0,(1+L232))</f>
        <v>3</v>
      </c>
      <c r="M220" s="140" t="str">
        <f>IF(H220="LFNC",0,VLOOKUP(G220,[1]MATERIALES!$D$5:$I$1368,2,FALSE))</f>
        <v xml:space="preserve">Suplidores electricos </v>
      </c>
      <c r="N220" s="367" t="e">
        <f t="shared" si="134"/>
        <v>#VALUE!</v>
      </c>
      <c r="O220" s="140" t="e">
        <f t="shared" si="139"/>
        <v>#VALUE!</v>
      </c>
      <c r="P220" s="367" t="e">
        <f t="shared" si="140"/>
        <v>#VALUE!</v>
      </c>
      <c r="Q220" s="140" t="e">
        <f t="shared" si="135"/>
        <v>#VALUE!</v>
      </c>
      <c r="R220" s="368" t="e">
        <f t="shared" si="136"/>
        <v>#VALUE!</v>
      </c>
      <c r="S220" s="140">
        <f t="shared" si="141"/>
        <v>0</v>
      </c>
      <c r="T220" s="139">
        <f t="shared" si="142"/>
        <v>0</v>
      </c>
      <c r="U220" s="357"/>
      <c r="V220" s="358"/>
      <c r="W220" s="144"/>
    </row>
    <row r="221" spans="1:23" ht="15" hidden="1" customHeight="1" outlineLevel="1" thickBot="1">
      <c r="A221" s="353"/>
      <c r="B221" s="359">
        <f t="shared" si="133"/>
        <v>11.049999999999999</v>
      </c>
      <c r="C221" s="375" t="s">
        <v>796</v>
      </c>
      <c r="D221" s="360" t="s">
        <v>788</v>
      </c>
      <c r="E221" s="360">
        <v>4</v>
      </c>
      <c r="F221" s="347" t="str">
        <f t="shared" si="137"/>
        <v>120V 1Ø</v>
      </c>
      <c r="G221" s="361" t="str">
        <f>VLOOKUP(I221,[1]MATERIALES!$C$68:$D$74,2,FALSE)</f>
        <v>Abrazadera EMT 1/2'' </v>
      </c>
      <c r="H221" s="316"/>
      <c r="I221" s="366" t="str">
        <f>I217</f>
        <v>13mm</v>
      </c>
      <c r="J221" s="316"/>
      <c r="K221" s="345" t="str">
        <f t="shared" si="138"/>
        <v>Unid.</v>
      </c>
      <c r="L221" s="28">
        <f>ROUNDUP(J217,0)</f>
        <v>21</v>
      </c>
      <c r="M221" s="248" t="str">
        <f>IFERROR(VLOOKUP(G221,[1]MATERIALES!$D$5:$I$1368,2,FALSE),0)</f>
        <v xml:space="preserve">Suplidores electricos </v>
      </c>
      <c r="N221" s="367" t="e">
        <f t="shared" si="134"/>
        <v>#VALUE!</v>
      </c>
      <c r="O221" s="140" t="e">
        <f t="shared" si="139"/>
        <v>#VALUE!</v>
      </c>
      <c r="P221" s="367" t="e">
        <f t="shared" si="140"/>
        <v>#VALUE!</v>
      </c>
      <c r="Q221" s="140" t="e">
        <f t="shared" si="135"/>
        <v>#VALUE!</v>
      </c>
      <c r="R221" s="368" t="e">
        <f t="shared" si="136"/>
        <v>#VALUE!</v>
      </c>
      <c r="S221" s="140">
        <f t="shared" si="141"/>
        <v>0</v>
      </c>
      <c r="T221" s="139">
        <f t="shared" si="142"/>
        <v>0</v>
      </c>
      <c r="U221" s="357"/>
      <c r="V221" s="358"/>
      <c r="W221" s="144"/>
    </row>
    <row r="222" spans="1:23" ht="15" hidden="1" customHeight="1" outlineLevel="1" thickBot="1">
      <c r="A222" s="353"/>
      <c r="B222" s="359">
        <f t="shared" si="133"/>
        <v>11.059999999999999</v>
      </c>
      <c r="C222" s="375" t="s">
        <v>796</v>
      </c>
      <c r="D222" s="360" t="s">
        <v>788</v>
      </c>
      <c r="E222" s="360">
        <v>4</v>
      </c>
      <c r="F222" s="347" t="str">
        <f t="shared" si="137"/>
        <v>120V 1Ø</v>
      </c>
      <c r="G222" s="361" t="str" cm="1">
        <f t="array" ref="G222">_xlfn.SWITCH(I222,"13mm",(IF(H222="Rectangular",VLOOKUP(I222,[1]MATERIALES!$C$124:$D$125,2,FALSE),IF(H222="Octagonal",VLOOKUP(I222,[1]MATERIALES!$C$126:$D$127,2,FALSE),IF(H222="WP",VLOOKUP(I222,[1]MATERIALES!$C$128:$D$129,2,FALSE),IF(H222="5x5",VLOOKUP(I222,[1]MATERIALES!$C$130:$D$132,2,FALSE)))))),"19mm",(IF(H222="Rectangular",VLOOKUP(I222,[1]MATERIALES!$C$124:$D$125,2,FALSE),IF(H222="Octagonal",VLOOKUP(I222,[1]MATERIALES!$C$126:$D$127,2,FALSE),IF(H222="WP",VLOOKUP(I222,[1]MATERIALES!$C$128:$D$129,2,FALSE),IF(H222="5x5",VLOOKUP(I222,[1]MATERIALES!$C$130:$D$132,2,FALSE)))))),"25mm",IF(H222="Rectangular","-",IF(H222="Octagonal","--",IF(H222="WP","---",IF(H222="5x5",VLOOKUP(I222,[1]MATERIALES!$C$130:$D$132,2,FALSE),0)))),"38mm","-","50mm","-","75mm","-","100mm","-")</f>
        <v>Caja octagonal EMT 1/2" USA UL</v>
      </c>
      <c r="H222" s="369" t="s">
        <v>194</v>
      </c>
      <c r="I222" s="366" t="str">
        <f>I217</f>
        <v>13mm</v>
      </c>
      <c r="J222" s="316"/>
      <c r="K222" s="345" t="str">
        <f t="shared" si="138"/>
        <v>Unid.</v>
      </c>
      <c r="L222" s="28">
        <f>1+L232+L233+L235</f>
        <v>17</v>
      </c>
      <c r="M222" s="248" t="str">
        <f>IFERROR(VLOOKUP(G222,[1]MATERIALES!$D$5:$I$1368,2,FALSE),0)</f>
        <v xml:space="preserve">Suplidores electricos </v>
      </c>
      <c r="N222" s="367" t="e">
        <f t="shared" si="134"/>
        <v>#VALUE!</v>
      </c>
      <c r="O222" s="140" t="e">
        <f t="shared" si="139"/>
        <v>#VALUE!</v>
      </c>
      <c r="P222" s="367" t="e">
        <f t="shared" si="140"/>
        <v>#VALUE!</v>
      </c>
      <c r="Q222" s="140" t="e">
        <f t="shared" si="135"/>
        <v>#VALUE!</v>
      </c>
      <c r="R222" s="368" t="e">
        <f t="shared" si="136"/>
        <v>#VALUE!</v>
      </c>
      <c r="S222" s="140">
        <f t="shared" si="141"/>
        <v>0</v>
      </c>
      <c r="T222" s="139">
        <f t="shared" si="142"/>
        <v>0</v>
      </c>
      <c r="U222" s="357"/>
      <c r="V222" s="358"/>
      <c r="W222" s="144"/>
    </row>
    <row r="223" spans="1:23" ht="15" hidden="1" customHeight="1" outlineLevel="1" thickBot="1">
      <c r="A223" s="353"/>
      <c r="B223" s="359">
        <f t="shared" si="133"/>
        <v>11.069999999999999</v>
      </c>
      <c r="C223" s="375" t="s">
        <v>796</v>
      </c>
      <c r="D223" s="360" t="s">
        <v>788</v>
      </c>
      <c r="E223" s="360">
        <v>4</v>
      </c>
      <c r="F223" s="347" t="str">
        <f t="shared" si="137"/>
        <v>120V 1Ø</v>
      </c>
      <c r="G223" s="361" t="str">
        <f>IF(H223="Rectangular",[1]MATERIALES!$D$133,IF(H222="Octagonal",[1]MATERIALES!$D$134,IF(H222="WP",[1]MATERIALES!$D$135,IF(H222="5x5",[1]MATERIALES!$D$136,0))))</f>
        <v>Tapa caja EMT 2x4 Inoxidable.</v>
      </c>
      <c r="H223" s="369" t="str">
        <f>H222</f>
        <v>Octagonal</v>
      </c>
      <c r="I223" s="366" t="str">
        <f>I217</f>
        <v>13mm</v>
      </c>
      <c r="J223" s="316"/>
      <c r="K223" s="345" t="str">
        <f t="shared" si="138"/>
        <v>Unid.</v>
      </c>
      <c r="L223" s="28">
        <f>L222</f>
        <v>17</v>
      </c>
      <c r="M223" s="248" t="str">
        <f>IFERROR(VLOOKUP(G223,[1]MATERIALES!$D$5:$I$1368,2,FALSE),0)</f>
        <v xml:space="preserve">Suplidores electricos </v>
      </c>
      <c r="N223" s="367" t="e">
        <f t="shared" si="134"/>
        <v>#VALUE!</v>
      </c>
      <c r="O223" s="140" t="e">
        <f t="shared" si="139"/>
        <v>#VALUE!</v>
      </c>
      <c r="P223" s="367" t="e">
        <f t="shared" si="140"/>
        <v>#VALUE!</v>
      </c>
      <c r="Q223" s="140" t="e">
        <f t="shared" si="135"/>
        <v>#VALUE!</v>
      </c>
      <c r="R223" s="368" t="e">
        <f t="shared" si="136"/>
        <v>#VALUE!</v>
      </c>
      <c r="S223" s="140">
        <f t="shared" si="141"/>
        <v>0</v>
      </c>
      <c r="T223" s="139">
        <f t="shared" si="142"/>
        <v>0</v>
      </c>
      <c r="U223" s="357"/>
      <c r="V223" s="358"/>
      <c r="W223" s="144"/>
    </row>
    <row r="224" spans="1:23" ht="15" hidden="1" customHeight="1" outlineLevel="1" thickBot="1">
      <c r="A224" s="353"/>
      <c r="B224" s="359">
        <f t="shared" si="133"/>
        <v>11.079999999999998</v>
      </c>
      <c r="C224" s="375" t="s">
        <v>796</v>
      </c>
      <c r="D224" s="360" t="s">
        <v>788</v>
      </c>
      <c r="E224" s="360">
        <v>4</v>
      </c>
      <c r="F224" s="347" t="str">
        <f t="shared" si="137"/>
        <v>120V 1Ø</v>
      </c>
      <c r="G224" s="361" t="str" cm="1">
        <f t="array" ref="G224">_xlfn.SWITCH(I224,"13mm",(IF(H224="Rectangular",VLOOKUP(I224,[1]MATERIALES!$C$124:$D$125,2,FALSE),IF(H224="Octagonal",VLOOKUP(I224,[1]MATERIALES!$C$126:$D$127,2,FALSE),IF(H224="WP",VLOOKUP(I224,[1]MATERIALES!$C$128:$D$129,2,FALSE),IF(H224="5x5",VLOOKUP(I224,[1]MATERIALES!$C$130:$D$132,2,FALSE)))))),"19mm",(IF(H224="Rectangular",VLOOKUP(I224,[1]MATERIALES!$C$124:$D$125,2,FALSE),IF(H224="Octagonal",VLOOKUP(I224,[1]MATERIALES!$C$126:$D$127,2,FALSE),IF(H224="WP",VLOOKUP(I224,[1]MATERIALES!$C$128:$D$129,2,FALSE),IF(H224="5x5",VLOOKUP(I224,[1]MATERIALES!$C$130:$D$132,2,FALSE)))))),"25mm",IF(H224="Rectangular","-",IF(H224="Octagonal","--",IF(H224="WP","---",IF(H224="5x5",VLOOKUP(I224,[1]MATERIALES!$C$130:$D$132,2,FALSE),0)))),"38mm","-","50mm","-","75mm","-","100mm","-")</f>
        <v>Caja EMT 2x4 1/2" USA UL</v>
      </c>
      <c r="H224" s="369" t="s">
        <v>188</v>
      </c>
      <c r="I224" s="366" t="str">
        <f>I219</f>
        <v>13mm</v>
      </c>
      <c r="J224" s="316"/>
      <c r="K224" s="345" t="str">
        <f t="shared" si="138"/>
        <v>Unid.</v>
      </c>
      <c r="L224" s="28">
        <f>L232+L233</f>
        <v>5</v>
      </c>
      <c r="M224" s="248" t="str">
        <f>IFERROR(VLOOKUP(G224,[1]MATERIALES!$D$5:$I$1368,2,FALSE),0)</f>
        <v xml:space="preserve">Suplidores electricos </v>
      </c>
      <c r="N224" s="367" t="e">
        <f t="shared" si="134"/>
        <v>#VALUE!</v>
      </c>
      <c r="O224" s="140" t="e">
        <f t="shared" si="139"/>
        <v>#VALUE!</v>
      </c>
      <c r="P224" s="367" t="e">
        <f t="shared" si="140"/>
        <v>#VALUE!</v>
      </c>
      <c r="Q224" s="140" t="e">
        <f t="shared" si="135"/>
        <v>#VALUE!</v>
      </c>
      <c r="R224" s="368" t="e">
        <f t="shared" si="136"/>
        <v>#VALUE!</v>
      </c>
      <c r="S224" s="140">
        <f t="shared" si="141"/>
        <v>0</v>
      </c>
      <c r="T224" s="139">
        <f t="shared" si="142"/>
        <v>0</v>
      </c>
      <c r="U224" s="357"/>
      <c r="V224" s="358"/>
      <c r="W224" s="144"/>
    </row>
    <row r="225" spans="1:23" ht="15" hidden="1" customHeight="1" outlineLevel="1" thickBot="1">
      <c r="A225" s="353"/>
      <c r="B225" s="359">
        <f t="shared" si="133"/>
        <v>11.089999999999998</v>
      </c>
      <c r="C225" s="375" t="s">
        <v>796</v>
      </c>
      <c r="D225" s="360" t="s">
        <v>788</v>
      </c>
      <c r="E225" s="360">
        <v>4</v>
      </c>
      <c r="F225" s="347" t="str">
        <f t="shared" si="137"/>
        <v>120V 1Ø</v>
      </c>
      <c r="G225" s="361" t="str">
        <f>IF(H225="Rectangular",[1]MATERIALES!$D$133,IF(H224="Octagonal",[1]MATERIALES!$D$134,IF(H224="WP",[1]MATERIALES!#REF!,IF(H224="5x5",[1]MATERIALES!$D$136,0))))</f>
        <v>CAJA REG. 12X12X4 N3R</v>
      </c>
      <c r="H225" s="369" t="str">
        <f>H224</f>
        <v>Rectangular</v>
      </c>
      <c r="I225" s="366" t="str">
        <f>I219</f>
        <v>13mm</v>
      </c>
      <c r="J225" s="316"/>
      <c r="K225" s="345" t="str">
        <f t="shared" si="138"/>
        <v>Unid.</v>
      </c>
      <c r="L225" s="28">
        <f>L224</f>
        <v>5</v>
      </c>
      <c r="M225" s="248" t="str">
        <f>IFERROR(VLOOKUP(G225,[1]MATERIALES!$D$5:$I$1368,2,FALSE),0)</f>
        <v xml:space="preserve">Suplidores electricos </v>
      </c>
      <c r="N225" s="367" t="e">
        <f t="shared" si="134"/>
        <v>#VALUE!</v>
      </c>
      <c r="O225" s="140" t="e">
        <f t="shared" si="139"/>
        <v>#VALUE!</v>
      </c>
      <c r="P225" s="367" t="e">
        <f t="shared" si="140"/>
        <v>#VALUE!</v>
      </c>
      <c r="Q225" s="140" t="e">
        <f t="shared" si="135"/>
        <v>#VALUE!</v>
      </c>
      <c r="R225" s="368" t="e">
        <f t="shared" si="136"/>
        <v>#VALUE!</v>
      </c>
      <c r="S225" s="140">
        <f t="shared" si="141"/>
        <v>0</v>
      </c>
      <c r="T225" s="139">
        <f t="shared" si="142"/>
        <v>0</v>
      </c>
      <c r="U225" s="357"/>
      <c r="V225" s="358"/>
      <c r="W225" s="144"/>
    </row>
    <row r="226" spans="1:23" ht="15" hidden="1" customHeight="1" outlineLevel="1" thickBot="1">
      <c r="A226" s="353"/>
      <c r="B226" s="359">
        <f t="shared" si="133"/>
        <v>11.099999999999998</v>
      </c>
      <c r="C226" s="375" t="s">
        <v>796</v>
      </c>
      <c r="D226" s="360" t="s">
        <v>788</v>
      </c>
      <c r="E226" s="360">
        <v>4</v>
      </c>
      <c r="F226" s="347" t="str">
        <f t="shared" si="137"/>
        <v>120V 1Ø</v>
      </c>
      <c r="G226" s="371" t="str">
        <f>"Fase A"&amp;": "&amp;I226</f>
        <v>Fase A: Conductor 12 AWG THHN</v>
      </c>
      <c r="H226" s="366" t="s">
        <v>181</v>
      </c>
      <c r="I226" s="366" t="s">
        <v>189</v>
      </c>
      <c r="J226" s="366">
        <f>J217</f>
        <v>20.239999999999998</v>
      </c>
      <c r="K226" s="345" t="str">
        <f>IF(OR(H226="Conductores Americanos",H226="Conductores Europeos"),"Pies","Unid.")</f>
        <v>Pies</v>
      </c>
      <c r="L226" s="28">
        <f t="shared" ref="L226:L231" si="143">ROUNDUP(J226*3.28,0)</f>
        <v>67</v>
      </c>
      <c r="M226" s="140" t="str">
        <f>VLOOKUP(I226,[1]MATERIALES!$D$5:$I$1368,2,FALSE)</f>
        <v xml:space="preserve">Suplidores electricos </v>
      </c>
      <c r="N226" s="367" t="e">
        <f t="shared" si="134"/>
        <v>#VALUE!</v>
      </c>
      <c r="O226" s="140" t="e">
        <f t="shared" si="139"/>
        <v>#VALUE!</v>
      </c>
      <c r="P226" s="367" t="e">
        <f t="shared" si="140"/>
        <v>#VALUE!</v>
      </c>
      <c r="Q226" s="140" t="e">
        <f t="shared" si="135"/>
        <v>#VALUE!</v>
      </c>
      <c r="R226" s="368" t="e">
        <f t="shared" si="136"/>
        <v>#VALUE!</v>
      </c>
      <c r="S226" s="140">
        <f t="shared" si="141"/>
        <v>0</v>
      </c>
      <c r="T226" s="139">
        <f t="shared" si="142"/>
        <v>0</v>
      </c>
      <c r="U226" s="357"/>
      <c r="V226" s="358"/>
      <c r="W226" s="144"/>
    </row>
    <row r="227" spans="1:23" ht="15" hidden="1" customHeight="1" outlineLevel="1" thickBot="1">
      <c r="A227" s="353"/>
      <c r="B227" s="359">
        <f t="shared" si="133"/>
        <v>11.109999999999998</v>
      </c>
      <c r="C227" s="375" t="s">
        <v>796</v>
      </c>
      <c r="D227" s="360" t="s">
        <v>788</v>
      </c>
      <c r="E227" s="360">
        <v>4</v>
      </c>
      <c r="F227" s="347" t="str">
        <f t="shared" si="137"/>
        <v>120V 1Ø</v>
      </c>
      <c r="G227" s="371" t="str">
        <f>IF(F227="120V 1Ø","-",("Fase B"&amp;": "&amp;I227))</f>
        <v>-</v>
      </c>
      <c r="H227" s="366" t="str">
        <f t="shared" ref="H227:I230" si="144">H226</f>
        <v>Conductores Americanos</v>
      </c>
      <c r="I227" s="366" t="str">
        <f t="shared" si="144"/>
        <v>Conductor 12 AWG THHN</v>
      </c>
      <c r="J227" s="366">
        <f>IF(G227="-",0,J217)</f>
        <v>0</v>
      </c>
      <c r="K227" s="345" t="str">
        <f t="shared" ref="K227:K233" si="145">IF(OR(H227="Conductores Americanos",H227="Conductores Europeos"),"Pies","Unid.")</f>
        <v>Pies</v>
      </c>
      <c r="L227" s="28">
        <f t="shared" si="143"/>
        <v>0</v>
      </c>
      <c r="M227" s="140" t="str">
        <f>VLOOKUP(I227,[1]MATERIALES!$D$5:$I$1368,2,FALSE)</f>
        <v xml:space="preserve">Suplidores electricos </v>
      </c>
      <c r="N227" s="367" t="e">
        <f t="shared" si="134"/>
        <v>#VALUE!</v>
      </c>
      <c r="O227" s="140" t="e">
        <f t="shared" si="139"/>
        <v>#VALUE!</v>
      </c>
      <c r="P227" s="367" t="e">
        <f t="shared" si="140"/>
        <v>#VALUE!</v>
      </c>
      <c r="Q227" s="140" t="e">
        <f t="shared" si="135"/>
        <v>#VALUE!</v>
      </c>
      <c r="R227" s="368" t="e">
        <f t="shared" si="136"/>
        <v>#VALUE!</v>
      </c>
      <c r="S227" s="140">
        <f t="shared" si="141"/>
        <v>0</v>
      </c>
      <c r="T227" s="139">
        <f t="shared" si="142"/>
        <v>0</v>
      </c>
      <c r="U227" s="357"/>
      <c r="V227" s="358"/>
      <c r="W227" s="144"/>
    </row>
    <row r="228" spans="1:23" ht="15" hidden="1" customHeight="1" outlineLevel="1" thickBot="1">
      <c r="A228" s="353"/>
      <c r="B228" s="359">
        <f t="shared" si="133"/>
        <v>11.119999999999997</v>
      </c>
      <c r="C228" s="375" t="s">
        <v>796</v>
      </c>
      <c r="D228" s="360" t="s">
        <v>788</v>
      </c>
      <c r="E228" s="360">
        <v>4</v>
      </c>
      <c r="F228" s="347" t="str">
        <f t="shared" si="137"/>
        <v>120V 1Ø</v>
      </c>
      <c r="G228" s="371" t="str">
        <f>IF(F228="120V 1Ø","-",IF(F228="240V 1Ø","-",("Fase C"&amp;": "&amp;I226)))</f>
        <v>-</v>
      </c>
      <c r="H228" s="366" t="str">
        <f t="shared" si="144"/>
        <v>Conductores Americanos</v>
      </c>
      <c r="I228" s="366" t="str">
        <f t="shared" si="144"/>
        <v>Conductor 12 AWG THHN</v>
      </c>
      <c r="J228" s="366">
        <f>IF(G228="-",0,J218)</f>
        <v>0</v>
      </c>
      <c r="K228" s="345" t="str">
        <f t="shared" si="145"/>
        <v>Pies</v>
      </c>
      <c r="L228" s="28">
        <f t="shared" si="143"/>
        <v>0</v>
      </c>
      <c r="M228" s="140" t="str">
        <f>VLOOKUP(I228,[1]MATERIALES!$D$5:$I$1368,2,FALSE)</f>
        <v xml:space="preserve">Suplidores electricos </v>
      </c>
      <c r="N228" s="367" t="e">
        <f t="shared" si="134"/>
        <v>#VALUE!</v>
      </c>
      <c r="O228" s="140" t="e">
        <f t="shared" si="139"/>
        <v>#VALUE!</v>
      </c>
      <c r="P228" s="367" t="e">
        <f t="shared" si="140"/>
        <v>#VALUE!</v>
      </c>
      <c r="Q228" s="140" t="e">
        <f t="shared" si="135"/>
        <v>#VALUE!</v>
      </c>
      <c r="R228" s="368" t="e">
        <f t="shared" si="136"/>
        <v>#VALUE!</v>
      </c>
      <c r="S228" s="140">
        <f t="shared" si="141"/>
        <v>0</v>
      </c>
      <c r="T228" s="139">
        <f t="shared" si="142"/>
        <v>0</v>
      </c>
      <c r="U228" s="357"/>
      <c r="V228" s="358"/>
      <c r="W228" s="144"/>
    </row>
    <row r="229" spans="1:23" ht="15" hidden="1" customHeight="1" outlineLevel="1" thickBot="1">
      <c r="A229" s="353"/>
      <c r="B229" s="359">
        <f t="shared" si="133"/>
        <v>11.129999999999997</v>
      </c>
      <c r="C229" s="375" t="s">
        <v>796</v>
      </c>
      <c r="D229" s="360" t="s">
        <v>788</v>
      </c>
      <c r="E229" s="360">
        <v>4</v>
      </c>
      <c r="F229" s="347" t="str">
        <f t="shared" si="137"/>
        <v>120V 1Ø</v>
      </c>
      <c r="G229" s="372" t="str">
        <f>"Retorno"&amp;": "&amp;I229</f>
        <v>Retorno: Conductor 12 AWG THHN</v>
      </c>
      <c r="H229" s="366" t="str">
        <f t="shared" si="144"/>
        <v>Conductores Americanos</v>
      </c>
      <c r="I229" s="366" t="str">
        <f t="shared" si="144"/>
        <v>Conductor 12 AWG THHN</v>
      </c>
      <c r="J229" s="366">
        <f>J226/3+J226*L233/3</f>
        <v>26.986666666666665</v>
      </c>
      <c r="K229" s="345" t="str">
        <f t="shared" si="145"/>
        <v>Pies</v>
      </c>
      <c r="L229" s="28">
        <f t="shared" si="143"/>
        <v>89</v>
      </c>
      <c r="M229" s="140" t="str">
        <f>VLOOKUP(I229,[1]MATERIALES!$D$5:$I$1368,2,FALSE)</f>
        <v xml:space="preserve">Suplidores electricos </v>
      </c>
      <c r="N229" s="367" t="e">
        <f t="shared" si="134"/>
        <v>#VALUE!</v>
      </c>
      <c r="O229" s="140" t="e">
        <f t="shared" si="139"/>
        <v>#VALUE!</v>
      </c>
      <c r="P229" s="367" t="e">
        <f t="shared" si="140"/>
        <v>#VALUE!</v>
      </c>
      <c r="Q229" s="140" t="e">
        <f t="shared" si="135"/>
        <v>#VALUE!</v>
      </c>
      <c r="R229" s="368" t="e">
        <f t="shared" si="136"/>
        <v>#VALUE!</v>
      </c>
      <c r="S229" s="140">
        <f t="shared" si="141"/>
        <v>0</v>
      </c>
      <c r="T229" s="139">
        <f t="shared" si="142"/>
        <v>0</v>
      </c>
      <c r="U229" s="357"/>
      <c r="V229" s="358"/>
      <c r="W229" s="144"/>
    </row>
    <row r="230" spans="1:23" ht="15" hidden="1" customHeight="1" outlineLevel="1" thickBot="1">
      <c r="A230" s="353"/>
      <c r="B230" s="359">
        <f t="shared" si="133"/>
        <v>11.139999999999997</v>
      </c>
      <c r="C230" s="375" t="s">
        <v>796</v>
      </c>
      <c r="D230" s="360" t="s">
        <v>788</v>
      </c>
      <c r="E230" s="360">
        <v>4</v>
      </c>
      <c r="F230" s="347" t="str">
        <f t="shared" si="137"/>
        <v>120V 1Ø</v>
      </c>
      <c r="G230" s="372" t="str">
        <f>IF(F230="240V 1Ø","-",IF(F230="480V 3Ø","-",("Neutro"&amp;": "&amp;I227)))</f>
        <v>Neutro: Conductor 12 AWG THHN</v>
      </c>
      <c r="H230" s="366" t="str">
        <f>H228</f>
        <v>Conductores Americanos</v>
      </c>
      <c r="I230" s="366" t="str">
        <f t="shared" si="144"/>
        <v>Conductor 12 AWG THHN</v>
      </c>
      <c r="J230" s="366">
        <f>IF(G230="-",0,J217)</f>
        <v>20.239999999999998</v>
      </c>
      <c r="K230" s="345" t="str">
        <f t="shared" si="145"/>
        <v>Pies</v>
      </c>
      <c r="L230" s="28">
        <f t="shared" si="143"/>
        <v>67</v>
      </c>
      <c r="M230" s="140" t="str">
        <f>VLOOKUP(I230,[1]MATERIALES!$D$5:$I$1368,2,FALSE)</f>
        <v xml:space="preserve">Suplidores electricos </v>
      </c>
      <c r="N230" s="367" t="e">
        <f t="shared" si="134"/>
        <v>#VALUE!</v>
      </c>
      <c r="O230" s="140" t="e">
        <f t="shared" si="139"/>
        <v>#VALUE!</v>
      </c>
      <c r="P230" s="367" t="e">
        <f t="shared" si="140"/>
        <v>#VALUE!</v>
      </c>
      <c r="Q230" s="140" t="e">
        <f t="shared" si="135"/>
        <v>#VALUE!</v>
      </c>
      <c r="R230" s="368" t="e">
        <f t="shared" si="136"/>
        <v>#VALUE!</v>
      </c>
      <c r="S230" s="140">
        <f t="shared" si="141"/>
        <v>0</v>
      </c>
      <c r="T230" s="139">
        <f t="shared" si="142"/>
        <v>0</v>
      </c>
      <c r="U230" s="357"/>
      <c r="V230" s="358"/>
      <c r="W230" s="144"/>
    </row>
    <row r="231" spans="1:23" ht="15" hidden="1" customHeight="1" outlineLevel="1" thickBot="1">
      <c r="A231" s="353"/>
      <c r="B231" s="359">
        <f t="shared" si="133"/>
        <v>11.149999999999997</v>
      </c>
      <c r="C231" s="375" t="s">
        <v>796</v>
      </c>
      <c r="D231" s="360" t="s">
        <v>788</v>
      </c>
      <c r="E231" s="360">
        <v>4</v>
      </c>
      <c r="F231" s="347" t="str">
        <f t="shared" si="137"/>
        <v>120V 1Ø</v>
      </c>
      <c r="G231" s="372" t="str">
        <f>"Tierra"&amp;": "&amp;I231</f>
        <v>Tierra: Conductor 12 AWG THHN</v>
      </c>
      <c r="H231" s="366" t="str">
        <f>H230</f>
        <v>Conductores Americanos</v>
      </c>
      <c r="I231" s="366" t="str">
        <f>I230</f>
        <v>Conductor 12 AWG THHN</v>
      </c>
      <c r="J231" s="366">
        <f>J217</f>
        <v>20.239999999999998</v>
      </c>
      <c r="K231" s="345" t="str">
        <f t="shared" si="145"/>
        <v>Pies</v>
      </c>
      <c r="L231" s="28">
        <f t="shared" si="143"/>
        <v>67</v>
      </c>
      <c r="M231" s="140" t="str">
        <f>VLOOKUP(I231,[1]MATERIALES!$D$5:$I$1368,2,FALSE)</f>
        <v xml:space="preserve">Suplidores electricos </v>
      </c>
      <c r="N231" s="367" t="e">
        <f t="shared" si="134"/>
        <v>#VALUE!</v>
      </c>
      <c r="O231" s="140" t="e">
        <f t="shared" si="139"/>
        <v>#VALUE!</v>
      </c>
      <c r="P231" s="367" t="e">
        <f t="shared" si="140"/>
        <v>#VALUE!</v>
      </c>
      <c r="Q231" s="140" t="e">
        <f t="shared" si="135"/>
        <v>#VALUE!</v>
      </c>
      <c r="R231" s="368" t="e">
        <f t="shared" si="136"/>
        <v>#VALUE!</v>
      </c>
      <c r="S231" s="140">
        <f t="shared" si="141"/>
        <v>0</v>
      </c>
      <c r="T231" s="139">
        <f t="shared" si="142"/>
        <v>0</v>
      </c>
      <c r="U231" s="357"/>
      <c r="V231" s="358"/>
      <c r="W231" s="144"/>
    </row>
    <row r="232" spans="1:23" ht="15" hidden="1" customHeight="1" outlineLevel="1" thickBot="1">
      <c r="A232" s="353"/>
      <c r="B232" s="359">
        <f t="shared" si="133"/>
        <v>11.159999999999997</v>
      </c>
      <c r="C232" s="375" t="s">
        <v>796</v>
      </c>
      <c r="D232" s="360" t="s">
        <v>788</v>
      </c>
      <c r="E232" s="360">
        <v>4</v>
      </c>
      <c r="F232" s="347" t="str">
        <f t="shared" si="137"/>
        <v>120V 1Ø</v>
      </c>
      <c r="G232" s="361" t="str" cm="1">
        <f t="array" ref="G232">IFERROR(VLOOKUP(H232&amp;"|"&amp;I232,CHOOSE({1,2},[1]MATERIALES!$B$186:B2003&amp;"|"&amp;[1]MATERIALES!$C$186:$C$198,[1]MATERIALES!$D$186:$D$198),2,0),"-")</f>
        <v>Apagador Sencillo 20A Matix (AM5001 + 503SB/SA+ AM503/1N)</v>
      </c>
      <c r="H232" s="373" t="s">
        <v>382</v>
      </c>
      <c r="I232" s="373" t="s">
        <v>402</v>
      </c>
      <c r="J232" s="316"/>
      <c r="K232" s="345" t="str">
        <f t="shared" si="145"/>
        <v>Unid.</v>
      </c>
      <c r="L232" s="218">
        <v>2</v>
      </c>
      <c r="M232" s="248">
        <f>IFERROR(VLOOKUP(G232,[1]MATERIALES!$D$5:$I$1368,2,FALSE),0)</f>
        <v>0</v>
      </c>
      <c r="N232" s="367">
        <f t="shared" si="134"/>
        <v>0</v>
      </c>
      <c r="O232" s="140">
        <f t="shared" si="139"/>
        <v>0</v>
      </c>
      <c r="P232" s="367">
        <f t="shared" si="140"/>
        <v>0</v>
      </c>
      <c r="Q232" s="140">
        <f t="shared" si="135"/>
        <v>0</v>
      </c>
      <c r="R232" s="368">
        <f t="shared" si="136"/>
        <v>0</v>
      </c>
      <c r="S232" s="140">
        <f t="shared" si="141"/>
        <v>0</v>
      </c>
      <c r="T232" s="139">
        <f t="shared" si="142"/>
        <v>0</v>
      </c>
      <c r="U232" s="357"/>
      <c r="V232" s="358"/>
      <c r="W232" s="144"/>
    </row>
    <row r="233" spans="1:23" ht="15" hidden="1" customHeight="1" outlineLevel="1" thickBot="1">
      <c r="A233" s="353"/>
      <c r="B233" s="359">
        <f t="shared" si="133"/>
        <v>11.169999999999996</v>
      </c>
      <c r="C233" s="375" t="s">
        <v>796</v>
      </c>
      <c r="D233" s="360" t="s">
        <v>788</v>
      </c>
      <c r="E233" s="360">
        <v>4</v>
      </c>
      <c r="F233" s="347" t="str">
        <f t="shared" si="137"/>
        <v>120V 1Ø</v>
      </c>
      <c r="G233" s="361" t="str" cm="1">
        <f t="array" ref="G233">IFERROR(VLOOKUP(H233&amp;"|"&amp;I233,CHOOSE({1,2},[1]MATERIALES!$B$186:B2004&amp;"|"&amp;[1]MATERIALES!$C$186:$C$198,[1]MATERIALES!$D$186:$D$198),2,0),"-")</f>
        <v>Apagador Triple 20A Matix  (3xAM5001 + 503SB/SA+ AM503/3N)</v>
      </c>
      <c r="H233" s="373" t="s">
        <v>382</v>
      </c>
      <c r="I233" s="373" t="s">
        <v>406</v>
      </c>
      <c r="J233" s="316"/>
      <c r="K233" s="345" t="str">
        <f t="shared" si="145"/>
        <v>Unid.</v>
      </c>
      <c r="L233" s="218">
        <v>3</v>
      </c>
      <c r="M233" s="248">
        <f>IFERROR(VLOOKUP(G233,[1]MATERIALES!$D$5:$I$1368,2,FALSE),0)</f>
        <v>0</v>
      </c>
      <c r="N233" s="367">
        <f t="shared" si="134"/>
        <v>0</v>
      </c>
      <c r="O233" s="140">
        <f t="shared" si="139"/>
        <v>0</v>
      </c>
      <c r="P233" s="367">
        <f t="shared" si="140"/>
        <v>0</v>
      </c>
      <c r="Q233" s="140">
        <f t="shared" si="135"/>
        <v>0</v>
      </c>
      <c r="R233" s="368">
        <f t="shared" si="136"/>
        <v>0</v>
      </c>
      <c r="S233" s="140">
        <f t="shared" si="141"/>
        <v>0</v>
      </c>
      <c r="T233" s="139">
        <f t="shared" si="142"/>
        <v>0</v>
      </c>
      <c r="U233" s="357"/>
      <c r="V233" s="358"/>
      <c r="W233" s="144"/>
    </row>
    <row r="234" spans="1:23" ht="15" hidden="1" customHeight="1" outlineLevel="1" thickBot="1">
      <c r="A234" s="353"/>
      <c r="B234" s="359">
        <f t="shared" si="133"/>
        <v>11.179999999999996</v>
      </c>
      <c r="C234" s="375" t="s">
        <v>796</v>
      </c>
      <c r="D234" s="360" t="s">
        <v>788</v>
      </c>
      <c r="E234" s="360">
        <v>4</v>
      </c>
      <c r="F234" s="347" t="str">
        <f t="shared" si="137"/>
        <v>120V 1Ø</v>
      </c>
      <c r="G234" s="361" t="str" cm="1">
        <f t="array" ref="G234">IFERROR(VLOOKUP(H234&amp;"|"&amp;I234,CHOOSE({1,2},[1]MATERIALES!$B$186:B2005&amp;"|"&amp;[1]MATERIALES!$C$186:$C$198,[1]MATERIALES!$D$186:$D$198),2,0),"-")</f>
        <v>Apagador tres vías 20A Matix (AM5003 + 503SB/SA+ AM503/1N)</v>
      </c>
      <c r="H234" s="373" t="s">
        <v>382</v>
      </c>
      <c r="I234" s="373" t="s">
        <v>408</v>
      </c>
      <c r="J234" s="316"/>
      <c r="K234" s="345" t="str">
        <f>IF(OR(H234="Conductores Americanos",H234="Conductores Europeos"),"Pies","Unid.")</f>
        <v>Unid.</v>
      </c>
      <c r="L234" s="218">
        <v>6</v>
      </c>
      <c r="M234" s="248">
        <f>IFERROR(VLOOKUP(G234,[1]MATERIALES!$D$5:$I$1368,2,FALSE),0)</f>
        <v>0</v>
      </c>
      <c r="N234" s="367">
        <f>M234/$N$2</f>
        <v>0</v>
      </c>
      <c r="O234" s="140">
        <f>+L234*M234</f>
        <v>0</v>
      </c>
      <c r="P234" s="367">
        <f>L234*N234</f>
        <v>0</v>
      </c>
      <c r="Q234" s="140">
        <f t="shared" si="135"/>
        <v>0</v>
      </c>
      <c r="R234" s="368">
        <f t="shared" si="136"/>
        <v>0</v>
      </c>
      <c r="S234" s="140">
        <f>+IFERROR(Q234/L234,0)</f>
        <v>0</v>
      </c>
      <c r="T234" s="139">
        <f>+IFERROR(R234/L234,0)</f>
        <v>0</v>
      </c>
      <c r="U234" s="357"/>
      <c r="V234" s="358"/>
      <c r="W234" s="144"/>
    </row>
    <row r="235" spans="1:23" ht="15" hidden="1" customHeight="1" outlineLevel="1" thickBot="1">
      <c r="A235" s="353"/>
      <c r="B235" s="359">
        <f t="shared" si="133"/>
        <v>11.189999999999996</v>
      </c>
      <c r="C235" s="375" t="s">
        <v>796</v>
      </c>
      <c r="D235" s="360" t="s">
        <v>788</v>
      </c>
      <c r="E235" s="360">
        <v>4</v>
      </c>
      <c r="F235" s="347" t="str">
        <f>F233</f>
        <v>120V 1Ø</v>
      </c>
      <c r="G235" s="361" t="s">
        <v>794</v>
      </c>
      <c r="H235" s="316"/>
      <c r="I235" s="316"/>
      <c r="J235" s="316"/>
      <c r="K235" s="345" t="str">
        <f t="shared" ref="K235:K238" si="146">IF(OR(H235="Conductores Americanos",H235="Conductores Europeos"),"Pies","Unid.")</f>
        <v>Unid.</v>
      </c>
      <c r="L235" s="218">
        <v>11</v>
      </c>
      <c r="M235" s="248">
        <f>IFERROR(VLOOKUP(G235,[1]MATERIALES!$D$5:$I$1368,2,FALSE),0)</f>
        <v>0</v>
      </c>
      <c r="N235" s="367">
        <f t="shared" ref="N235:N240" si="147">M235/$N$2</f>
        <v>0</v>
      </c>
      <c r="O235" s="140">
        <f t="shared" ref="O235:O240" si="148">+L235*M235</f>
        <v>0</v>
      </c>
      <c r="P235" s="367">
        <f t="shared" ref="P235:P240" si="149">L235*N235</f>
        <v>0</v>
      </c>
      <c r="Q235" s="140">
        <f t="shared" si="135"/>
        <v>0</v>
      </c>
      <c r="R235" s="368">
        <f t="shared" si="136"/>
        <v>0</v>
      </c>
      <c r="S235" s="140">
        <f t="shared" ref="S235:S240" si="150">+IFERROR(Q235/L235,0)</f>
        <v>0</v>
      </c>
      <c r="T235" s="139">
        <f t="shared" ref="T235:T240" si="151">+IFERROR(R235/L235,0)</f>
        <v>0</v>
      </c>
      <c r="U235" s="357"/>
      <c r="V235" s="358"/>
      <c r="W235" s="144"/>
    </row>
    <row r="236" spans="1:23" ht="15" hidden="1" customHeight="1" outlineLevel="1" thickBot="1">
      <c r="A236" s="353"/>
      <c r="B236" s="359">
        <f t="shared" si="133"/>
        <v>11.199999999999996</v>
      </c>
      <c r="C236" s="375" t="s">
        <v>796</v>
      </c>
      <c r="D236" s="360" t="s">
        <v>788</v>
      </c>
      <c r="E236" s="360">
        <v>4</v>
      </c>
      <c r="F236" s="347" t="str">
        <f t="shared" ref="F236:F240" si="152">F234</f>
        <v>120V 1Ø</v>
      </c>
      <c r="G236" s="361" t="str">
        <f>[1]MATERIALES!D217</f>
        <v>Contactor Modular 25A 2NA 127V Schneider Electric</v>
      </c>
      <c r="H236" s="316"/>
      <c r="I236" s="316"/>
      <c r="J236" s="316"/>
      <c r="K236" s="345" t="str">
        <f t="shared" si="146"/>
        <v>Unid.</v>
      </c>
      <c r="L236" s="218">
        <v>13</v>
      </c>
      <c r="M236" s="248">
        <f>IFERROR(VLOOKUP(G236,[1]MATERIALES!$D$5:$I$1368,2,FALSE),0)</f>
        <v>0</v>
      </c>
      <c r="N236" s="367">
        <f t="shared" si="147"/>
        <v>0</v>
      </c>
      <c r="O236" s="140">
        <f t="shared" si="148"/>
        <v>0</v>
      </c>
      <c r="P236" s="367">
        <f t="shared" si="149"/>
        <v>0</v>
      </c>
      <c r="Q236" s="140">
        <f t="shared" si="135"/>
        <v>0</v>
      </c>
      <c r="R236" s="368">
        <f t="shared" si="136"/>
        <v>0</v>
      </c>
      <c r="S236" s="140">
        <f t="shared" si="150"/>
        <v>0</v>
      </c>
      <c r="T236" s="139">
        <f t="shared" si="151"/>
        <v>0</v>
      </c>
      <c r="U236" s="357"/>
      <c r="V236" s="358"/>
      <c r="W236" s="144"/>
    </row>
    <row r="237" spans="1:23" ht="15" hidden="1" customHeight="1" outlineLevel="1" thickBot="1">
      <c r="A237" s="353"/>
      <c r="B237" s="359">
        <f t="shared" si="133"/>
        <v>11.209999999999996</v>
      </c>
      <c r="C237" s="375" t="s">
        <v>796</v>
      </c>
      <c r="D237" s="360" t="s">
        <v>788</v>
      </c>
      <c r="E237" s="360">
        <v>4</v>
      </c>
      <c r="F237" s="347" t="str">
        <f t="shared" si="152"/>
        <v>120V 1Ø</v>
      </c>
      <c r="G237" s="361" t="str">
        <f>[1]MATERIALES!D218</f>
        <v>Barrena 5/16 4x6</v>
      </c>
      <c r="H237" s="316"/>
      <c r="I237" s="316"/>
      <c r="J237" s="316"/>
      <c r="K237" s="345" t="str">
        <f t="shared" si="146"/>
        <v>Unid.</v>
      </c>
      <c r="L237" s="218">
        <f>40/2</f>
        <v>20</v>
      </c>
      <c r="M237" s="248" t="str">
        <f>IFERROR(VLOOKUP(G237,[1]MATERIALES!$D$5:$I$1368,2,FALSE),0)</f>
        <v xml:space="preserve">Deposito ferretero </v>
      </c>
      <c r="N237" s="367" t="e">
        <f t="shared" si="147"/>
        <v>#VALUE!</v>
      </c>
      <c r="O237" s="140" t="e">
        <f t="shared" si="148"/>
        <v>#VALUE!</v>
      </c>
      <c r="P237" s="367" t="e">
        <f t="shared" si="149"/>
        <v>#VALUE!</v>
      </c>
      <c r="Q237" s="140" t="e">
        <f t="shared" si="135"/>
        <v>#VALUE!</v>
      </c>
      <c r="R237" s="368" t="e">
        <f t="shared" si="136"/>
        <v>#VALUE!</v>
      </c>
      <c r="S237" s="140">
        <f t="shared" si="150"/>
        <v>0</v>
      </c>
      <c r="T237" s="139">
        <f t="shared" si="151"/>
        <v>0</v>
      </c>
      <c r="U237" s="357"/>
      <c r="V237" s="358"/>
      <c r="W237" s="144"/>
    </row>
    <row r="238" spans="1:23" ht="15" hidden="1" customHeight="1" outlineLevel="1" thickBot="1">
      <c r="A238" s="353"/>
      <c r="B238" s="359">
        <f t="shared" si="133"/>
        <v>11.219999999999995</v>
      </c>
      <c r="C238" s="375" t="s">
        <v>796</v>
      </c>
      <c r="D238" s="360" t="s">
        <v>788</v>
      </c>
      <c r="E238" s="360">
        <v>4</v>
      </c>
      <c r="F238" s="347" t="str">
        <f t="shared" si="152"/>
        <v>120V 1Ø</v>
      </c>
      <c r="G238" s="361" t="s">
        <v>422</v>
      </c>
      <c r="H238" s="316"/>
      <c r="I238" s="316"/>
      <c r="J238" s="316"/>
      <c r="K238" s="345" t="str">
        <f t="shared" si="146"/>
        <v>Unid.</v>
      </c>
      <c r="L238" s="345">
        <f>3*(L222)</f>
        <v>51</v>
      </c>
      <c r="M238" s="248">
        <f>IFERROR(VLOOKUP(G238,[1]MATERIALES!$D$5:$I$1368,2,FALSE),0)</f>
        <v>0</v>
      </c>
      <c r="N238" s="367">
        <f t="shared" si="147"/>
        <v>0</v>
      </c>
      <c r="O238" s="140">
        <f t="shared" si="148"/>
        <v>0</v>
      </c>
      <c r="P238" s="367">
        <f t="shared" si="149"/>
        <v>0</v>
      </c>
      <c r="Q238" s="140">
        <f t="shared" si="135"/>
        <v>0</v>
      </c>
      <c r="R238" s="368">
        <f t="shared" si="136"/>
        <v>0</v>
      </c>
      <c r="S238" s="140">
        <f t="shared" si="150"/>
        <v>0</v>
      </c>
      <c r="T238" s="139">
        <f t="shared" si="151"/>
        <v>0</v>
      </c>
      <c r="U238" s="357" t="e">
        <f>SUM(R238:R240)</f>
        <v>#VALUE!</v>
      </c>
      <c r="V238" s="358" t="e">
        <f>'[1]1. OFERTA'!#REF!</f>
        <v>#REF!</v>
      </c>
      <c r="W238" s="144" t="e">
        <f>U238-V238</f>
        <v>#VALUE!</v>
      </c>
    </row>
    <row r="239" spans="1:23" ht="15" hidden="1" customHeight="1" outlineLevel="1" thickBot="1">
      <c r="A239" s="353"/>
      <c r="B239" s="359">
        <f t="shared" si="133"/>
        <v>11.229999999999995</v>
      </c>
      <c r="C239" s="375" t="s">
        <v>796</v>
      </c>
      <c r="D239" s="360" t="s">
        <v>788</v>
      </c>
      <c r="E239" s="360">
        <v>4</v>
      </c>
      <c r="F239" s="347" t="str">
        <f t="shared" si="152"/>
        <v>120V 1Ø</v>
      </c>
      <c r="G239" s="361" t="s">
        <v>424</v>
      </c>
      <c r="H239" s="316"/>
      <c r="I239" s="316"/>
      <c r="J239" s="316"/>
      <c r="K239" s="345" t="s">
        <v>784</v>
      </c>
      <c r="L239" s="28">
        <f>ROUNDUP(L221+L222+L224,0)</f>
        <v>43</v>
      </c>
      <c r="M239" s="248">
        <f>IFERROR(VLOOKUP(G239,[1]MATERIALES!$D$5:$I$1368,2,FALSE),0)</f>
        <v>0</v>
      </c>
      <c r="N239" s="367">
        <f t="shared" si="147"/>
        <v>0</v>
      </c>
      <c r="O239" s="140">
        <f t="shared" si="148"/>
        <v>0</v>
      </c>
      <c r="P239" s="367">
        <f t="shared" si="149"/>
        <v>0</v>
      </c>
      <c r="Q239" s="140">
        <f t="shared" si="135"/>
        <v>0</v>
      </c>
      <c r="R239" s="368">
        <f t="shared" si="136"/>
        <v>0</v>
      </c>
      <c r="S239" s="140">
        <f t="shared" si="150"/>
        <v>0</v>
      </c>
      <c r="T239" s="139">
        <f t="shared" si="151"/>
        <v>0</v>
      </c>
      <c r="U239" s="357"/>
      <c r="V239" s="358"/>
      <c r="W239" s="144"/>
    </row>
    <row r="240" spans="1:23" ht="15" hidden="1" customHeight="1" outlineLevel="1" thickBot="1">
      <c r="A240" s="353"/>
      <c r="B240" s="359">
        <f t="shared" si="133"/>
        <v>11.239999999999995</v>
      </c>
      <c r="C240" s="375" t="s">
        <v>796</v>
      </c>
      <c r="D240" s="360" t="s">
        <v>788</v>
      </c>
      <c r="E240" s="360">
        <v>4</v>
      </c>
      <c r="F240" s="347" t="str">
        <f t="shared" si="152"/>
        <v>120V 1Ø</v>
      </c>
      <c r="G240" s="361" t="s">
        <v>168</v>
      </c>
      <c r="H240" s="316"/>
      <c r="I240" s="316"/>
      <c r="J240" s="316"/>
      <c r="K240" s="345" t="s">
        <v>784</v>
      </c>
      <c r="L240" s="28">
        <f>L239</f>
        <v>43</v>
      </c>
      <c r="M240" s="248" t="str">
        <f>IFERROR(VLOOKUP(G240,[1]MATERIALES!$D$5:$I$1368,2,FALSE),0)</f>
        <v xml:space="preserve">Marba Dominicana </v>
      </c>
      <c r="N240" s="367" t="e">
        <f t="shared" si="147"/>
        <v>#VALUE!</v>
      </c>
      <c r="O240" s="140" t="e">
        <f t="shared" si="148"/>
        <v>#VALUE!</v>
      </c>
      <c r="P240" s="367" t="e">
        <f t="shared" si="149"/>
        <v>#VALUE!</v>
      </c>
      <c r="Q240" s="140" t="e">
        <f t="shared" si="135"/>
        <v>#VALUE!</v>
      </c>
      <c r="R240" s="368" t="e">
        <f t="shared" si="136"/>
        <v>#VALUE!</v>
      </c>
      <c r="S240" s="140">
        <f t="shared" si="150"/>
        <v>0</v>
      </c>
      <c r="T240" s="139">
        <f t="shared" si="151"/>
        <v>0</v>
      </c>
      <c r="U240" s="357"/>
      <c r="V240" s="358"/>
      <c r="W240" s="144"/>
    </row>
    <row r="241" spans="1:23" ht="15" customHeight="1" collapsed="1" thickBot="1">
      <c r="A241" s="353"/>
      <c r="B241" s="354">
        <v>12</v>
      </c>
      <c r="C241" s="355" t="s">
        <v>797</v>
      </c>
      <c r="D241" s="269" t="s">
        <v>788</v>
      </c>
      <c r="E241" s="269">
        <v>5</v>
      </c>
      <c r="F241" s="270" t="s">
        <v>783</v>
      </c>
      <c r="G241" s="271"/>
      <c r="H241" s="272"/>
      <c r="I241" s="272"/>
      <c r="J241" s="272"/>
      <c r="K241" s="268"/>
      <c r="L241" s="268"/>
      <c r="M241" s="273"/>
      <c r="N241" s="274"/>
      <c r="O241" s="273"/>
      <c r="P241" s="274"/>
      <c r="Q241" s="273"/>
      <c r="R241" s="275"/>
      <c r="S241" s="273"/>
      <c r="T241" s="276"/>
      <c r="U241" s="357" t="e">
        <f>SUM(R242:R262)</f>
        <v>#VALUE!</v>
      </c>
      <c r="V241" s="358" t="e">
        <f>'[1]1. OFERTA'!#REF!</f>
        <v>#REF!</v>
      </c>
      <c r="W241" s="144" t="e">
        <f>U241-V241</f>
        <v>#VALUE!</v>
      </c>
    </row>
    <row r="242" spans="1:23" ht="15" hidden="1" customHeight="1" outlineLevel="1" thickBot="1">
      <c r="A242" s="353"/>
      <c r="B242" s="359">
        <f t="shared" ref="B242:B305" si="153">B241+0.01</f>
        <v>12.01</v>
      </c>
      <c r="C242" s="360" t="s">
        <v>797</v>
      </c>
      <c r="D242" s="376" t="s">
        <v>788</v>
      </c>
      <c r="E242" s="360">
        <v>5</v>
      </c>
      <c r="F242" s="347" t="s">
        <v>783</v>
      </c>
      <c r="G242" s="361" t="str">
        <f>IF(H242="PVC",VLOOKUP(I242,[1]MATERIALES!$C$5:$D$11,2,FALSE),IF(H242="EMT",VLOOKUP(I242,[1]MATERIALES!$C$40:$D$46,2,FALSE),IF(H242="IMC",VLOOKUP(I242,[1]MATERIALES!$C$82:$D$88,2,FALSE),IF(H242="LFNC",VLOOKUP(I242,[1]MATERIALES!$C$110:$D$116,2,FALSE),0))))</f>
        <v>Tubería PVC SDR-26 1/2"</v>
      </c>
      <c r="H242" s="362" t="s">
        <v>184</v>
      </c>
      <c r="I242" s="362" t="s">
        <v>216</v>
      </c>
      <c r="J242" s="362">
        <v>41.62</v>
      </c>
      <c r="K242" s="134" t="str">
        <f>IF(OR(H242="Conductores Americanos",H242="Conductores Europeos"),"Pies","Unid.")</f>
        <v>Unid.</v>
      </c>
      <c r="L242" s="363">
        <f>IF(H242="PVC",ROUNDUP(J242/6,0),IF(H242="EMT",ROUNDUP(J242/3,0),IF(H242="IMC",ROUNDUP(J242/3,0),IF(H242="LFNC",ROUNDUP(3.28*J242,0),0))))</f>
        <v>7</v>
      </c>
      <c r="M242" s="248" t="str">
        <f>IFERROR(VLOOKUP(G242,[1]MATERIALES!$D$5:$I$1368,2,FALSE),0)</f>
        <v xml:space="preserve">Suplidores electricos </v>
      </c>
      <c r="N242" s="364" t="e">
        <f t="shared" ref="N242:N262" si="154">M242/$N$2</f>
        <v>#VALUE!</v>
      </c>
      <c r="O242" s="248" t="e">
        <f>+L242*M242</f>
        <v>#VALUE!</v>
      </c>
      <c r="P242" s="364" t="e">
        <f>L242*N242</f>
        <v>#VALUE!</v>
      </c>
      <c r="Q242" s="248" t="e">
        <f t="shared" ref="Q242:Q262" si="155">+$O242+($O242*$R$2)</f>
        <v>#VALUE!</v>
      </c>
      <c r="R242" s="365" t="e">
        <f t="shared" ref="R242:R262" si="156">+$P242+($P242*$R$2)</f>
        <v>#VALUE!</v>
      </c>
      <c r="S242" s="248">
        <f>+IFERROR(Q242/L242,0)</f>
        <v>0</v>
      </c>
      <c r="T242" s="146">
        <f>+IFERROR(R242/L242,0)</f>
        <v>0</v>
      </c>
      <c r="U242" s="357"/>
      <c r="V242" s="358"/>
      <c r="W242" s="144"/>
    </row>
    <row r="243" spans="1:23" ht="15" hidden="1" customHeight="1" outlineLevel="1" thickBot="1">
      <c r="A243" s="353"/>
      <c r="B243" s="359">
        <f t="shared" si="153"/>
        <v>12.02</v>
      </c>
      <c r="C243" s="360" t="s">
        <v>797</v>
      </c>
      <c r="D243" s="360" t="s">
        <v>788</v>
      </c>
      <c r="E243" s="360">
        <v>5</v>
      </c>
      <c r="F243" s="347" t="str">
        <f t="shared" ref="F243:F262" si="157">F242</f>
        <v>120V 1Ø</v>
      </c>
      <c r="G243" s="361" t="str">
        <f>IF(H243="PVC",VLOOKUP(I243,[1]MATERIALES!$C$12:$D$18,2,FALSE),IF(H243="EMT",VLOOKUP(I243,[1]MATERIALES!$C$47:$D$53,2,FALSE),IF(H243="IMC",VLOOKUP(I243,[1]MATERIALES!$C$89:$D$96,2,FALSE),"-")))</f>
        <v>Coupling PVC 1/2"</v>
      </c>
      <c r="H243" s="366" t="str">
        <f>H242</f>
        <v>PVC</v>
      </c>
      <c r="I243" s="366" t="str">
        <f>I242</f>
        <v>13mm</v>
      </c>
      <c r="J243" s="316"/>
      <c r="K243" s="345" t="str">
        <f t="shared" ref="K243:K250" si="158">IF(OR(H243="Conductores Americanos",H243="Conductores Europeos"),"Pies","Unid.")</f>
        <v>Unid.</v>
      </c>
      <c r="L243" s="28">
        <f>IF(H243="LFNC",0,L242)</f>
        <v>7</v>
      </c>
      <c r="M243" s="140" t="str">
        <f>IF(H243="LFNC",0,VLOOKUP(G243,[1]MATERIALES!$D$5:$I$1368,2,FALSE))</f>
        <v xml:space="preserve">Suplidores electricos </v>
      </c>
      <c r="N243" s="367" t="e">
        <f t="shared" si="154"/>
        <v>#VALUE!</v>
      </c>
      <c r="O243" s="140" t="e">
        <f t="shared" ref="O243:O262" si="159">+L243*M243</f>
        <v>#VALUE!</v>
      </c>
      <c r="P243" s="367" t="e">
        <f t="shared" ref="P243:P262" si="160">L243*N243</f>
        <v>#VALUE!</v>
      </c>
      <c r="Q243" s="140" t="e">
        <f t="shared" si="155"/>
        <v>#VALUE!</v>
      </c>
      <c r="R243" s="368" t="e">
        <f t="shared" si="156"/>
        <v>#VALUE!</v>
      </c>
      <c r="S243" s="140">
        <f t="shared" ref="S243:S262" si="161">+IFERROR(Q243/L243,0)</f>
        <v>0</v>
      </c>
      <c r="T243" s="139">
        <f t="shared" ref="T243:T262" si="162">+IFERROR(R243/L243,0)</f>
        <v>0</v>
      </c>
      <c r="U243" s="357"/>
      <c r="V243" s="358"/>
      <c r="W243" s="144"/>
    </row>
    <row r="244" spans="1:23" ht="15" hidden="1" customHeight="1" outlineLevel="1" thickBot="1">
      <c r="A244" s="353"/>
      <c r="B244" s="359">
        <f t="shared" si="153"/>
        <v>12.03</v>
      </c>
      <c r="C244" s="360" t="s">
        <v>797</v>
      </c>
      <c r="D244" s="360" t="s">
        <v>788</v>
      </c>
      <c r="E244" s="360">
        <v>5</v>
      </c>
      <c r="F244" s="347" t="str">
        <f t="shared" si="157"/>
        <v>120V 1Ø</v>
      </c>
      <c r="G244" s="361" t="str">
        <f>IF(H244="PVC",VLOOKUP(I244,[1]MATERIALES!$C$19:$D$25,2,FALSE),IF(H244="EMT",VLOOKUP(I244,[1]MATERIALES!$C$54:$D$60,2,FALSE),IF(H244="IMC",VLOOKUP(I244,[1]MATERIALES!$C$96:$D$102,2,FALSE),IF(H244="LFNC",VLOOKUP(I244,[1]MATERIALES!$C$117:$D$123,2,FALSE),0))))</f>
        <v>Adaptador Macho PVC 1/2"</v>
      </c>
      <c r="H244" s="366" t="str">
        <f>H242</f>
        <v>PVC</v>
      </c>
      <c r="I244" s="366" t="str">
        <f>I242</f>
        <v>13mm</v>
      </c>
      <c r="J244" s="316"/>
      <c r="K244" s="345" t="str">
        <f t="shared" si="158"/>
        <v>Unid.</v>
      </c>
      <c r="L244" s="28">
        <f>1+L247*2+L249</f>
        <v>22</v>
      </c>
      <c r="M244" s="248" t="str">
        <f>IFERROR(VLOOKUP(G244,[1]MATERIALES!$D$5:$I$1368,2,FALSE),0)</f>
        <v xml:space="preserve">Suplidores electricos </v>
      </c>
      <c r="N244" s="367" t="e">
        <f t="shared" si="154"/>
        <v>#VALUE!</v>
      </c>
      <c r="O244" s="140" t="e">
        <f t="shared" si="159"/>
        <v>#VALUE!</v>
      </c>
      <c r="P244" s="367" t="e">
        <f t="shared" si="160"/>
        <v>#VALUE!</v>
      </c>
      <c r="Q244" s="140" t="e">
        <f t="shared" si="155"/>
        <v>#VALUE!</v>
      </c>
      <c r="R244" s="368" t="e">
        <f t="shared" si="156"/>
        <v>#VALUE!</v>
      </c>
      <c r="S244" s="140">
        <f t="shared" si="161"/>
        <v>0</v>
      </c>
      <c r="T244" s="139">
        <f t="shared" si="162"/>
        <v>0</v>
      </c>
      <c r="U244" s="357"/>
      <c r="V244" s="358"/>
      <c r="W244" s="144"/>
    </row>
    <row r="245" spans="1:23" ht="15" hidden="1" customHeight="1" outlineLevel="1" thickBot="1">
      <c r="A245" s="353"/>
      <c r="B245" s="359">
        <f t="shared" si="153"/>
        <v>12.04</v>
      </c>
      <c r="C245" s="360" t="s">
        <v>797</v>
      </c>
      <c r="D245" s="360" t="s">
        <v>788</v>
      </c>
      <c r="E245" s="360">
        <v>5</v>
      </c>
      <c r="F245" s="347" t="str">
        <f t="shared" si="157"/>
        <v>120V 1Ø</v>
      </c>
      <c r="G245" s="361" t="str">
        <f>IF(H245="PVC",VLOOKUP(I245,[1]MATERIALES!$C$33:$D$39,2,FALSE),IF(H245="EMT",VLOOKUP(I245,[1]MATERIALES!$C$61:$D$67,2,FALSE),IF(H245="IMC",VLOOKUP(I245,[1]MATERIALES!$C$103:$D$109,2,FALSE),"-")))</f>
        <v>Curva 90 PVC SDR 1/2"</v>
      </c>
      <c r="H245" s="366" t="str">
        <f>H242</f>
        <v>PVC</v>
      </c>
      <c r="I245" s="366" t="str">
        <f>I242</f>
        <v>13mm</v>
      </c>
      <c r="J245" s="316"/>
      <c r="K245" s="345" t="str">
        <f t="shared" si="158"/>
        <v>Unid.</v>
      </c>
      <c r="L245" s="28">
        <f>IF(H245="LFNC",0,(1+L257))</f>
        <v>2</v>
      </c>
      <c r="M245" s="140" t="str">
        <f>IF(H245="LFNC",0,VLOOKUP(G245,[1]MATERIALES!$D$5:$I$1368,2,FALSE))</f>
        <v xml:space="preserve">Suplidores electricos </v>
      </c>
      <c r="N245" s="367" t="e">
        <f t="shared" si="154"/>
        <v>#VALUE!</v>
      </c>
      <c r="O245" s="140" t="e">
        <f t="shared" si="159"/>
        <v>#VALUE!</v>
      </c>
      <c r="P245" s="367" t="e">
        <f t="shared" si="160"/>
        <v>#VALUE!</v>
      </c>
      <c r="Q245" s="140" t="e">
        <f t="shared" si="155"/>
        <v>#VALUE!</v>
      </c>
      <c r="R245" s="368" t="e">
        <f t="shared" si="156"/>
        <v>#VALUE!</v>
      </c>
      <c r="S245" s="140">
        <f t="shared" si="161"/>
        <v>0</v>
      </c>
      <c r="T245" s="139">
        <f t="shared" si="162"/>
        <v>0</v>
      </c>
      <c r="U245" s="357"/>
      <c r="V245" s="358"/>
      <c r="W245" s="144"/>
    </row>
    <row r="246" spans="1:23" ht="15" hidden="1" customHeight="1" outlineLevel="1" thickBot="1">
      <c r="A246" s="353"/>
      <c r="B246" s="359">
        <f t="shared" si="153"/>
        <v>12.049999999999999</v>
      </c>
      <c r="C246" s="360" t="s">
        <v>797</v>
      </c>
      <c r="D246" s="360" t="s">
        <v>788</v>
      </c>
      <c r="E246" s="360">
        <v>5</v>
      </c>
      <c r="F246" s="347" t="str">
        <f t="shared" si="157"/>
        <v>120V 1Ø</v>
      </c>
      <c r="G246" s="361" t="str">
        <f>VLOOKUP(I246,[1]MATERIALES!$C$68:$D$74,2,FALSE)</f>
        <v>Abrazadera EMT 1/2'' </v>
      </c>
      <c r="H246" s="316"/>
      <c r="I246" s="366" t="str">
        <f>I242</f>
        <v>13mm</v>
      </c>
      <c r="J246" s="316"/>
      <c r="K246" s="345" t="str">
        <f t="shared" si="158"/>
        <v>Unid.</v>
      </c>
      <c r="L246" s="28">
        <f>ROUNDUP(J242,0)</f>
        <v>42</v>
      </c>
      <c r="M246" s="248" t="str">
        <f>IFERROR(VLOOKUP(G246,[1]MATERIALES!$D$5:$I$1368,2,FALSE),0)</f>
        <v xml:space="preserve">Suplidores electricos </v>
      </c>
      <c r="N246" s="367" t="e">
        <f t="shared" si="154"/>
        <v>#VALUE!</v>
      </c>
      <c r="O246" s="140" t="e">
        <f t="shared" si="159"/>
        <v>#VALUE!</v>
      </c>
      <c r="P246" s="367" t="e">
        <f t="shared" si="160"/>
        <v>#VALUE!</v>
      </c>
      <c r="Q246" s="140" t="e">
        <f t="shared" si="155"/>
        <v>#VALUE!</v>
      </c>
      <c r="R246" s="368" t="e">
        <f t="shared" si="156"/>
        <v>#VALUE!</v>
      </c>
      <c r="S246" s="140">
        <f t="shared" si="161"/>
        <v>0</v>
      </c>
      <c r="T246" s="139">
        <f t="shared" si="162"/>
        <v>0</v>
      </c>
      <c r="U246" s="357"/>
      <c r="V246" s="358"/>
      <c r="W246" s="144"/>
    </row>
    <row r="247" spans="1:23" ht="15" hidden="1" customHeight="1" outlineLevel="1" thickBot="1">
      <c r="A247" s="353"/>
      <c r="B247" s="359">
        <f t="shared" si="153"/>
        <v>12.059999999999999</v>
      </c>
      <c r="C247" s="360" t="s">
        <v>797</v>
      </c>
      <c r="D247" s="360" t="s">
        <v>788</v>
      </c>
      <c r="E247" s="360">
        <v>5</v>
      </c>
      <c r="F247" s="347" t="str">
        <f t="shared" si="157"/>
        <v>120V 1Ø</v>
      </c>
      <c r="G247" s="361" t="str" cm="1">
        <f t="array" ref="G247">_xlfn.SWITCH(I247,"13mm",(IF(H247="Rectangular",VLOOKUP(I247,[1]MATERIALES!$C$124:$D$125,2,FALSE),IF(H247="Octagonal",VLOOKUP(I247,[1]MATERIALES!$C$126:$D$127,2,FALSE),IF(H247="WP",VLOOKUP(I247,[1]MATERIALES!$C$128:$D$129,2,FALSE),IF(H247="5x5",VLOOKUP(I247,[1]MATERIALES!$C$130:$D$132,2,FALSE)))))),"19mm",(IF(H247="Rectangular",VLOOKUP(I247,[1]MATERIALES!$C$124:$D$125,2,FALSE),IF(H247="Octagonal",VLOOKUP(I247,[1]MATERIALES!$C$126:$D$127,2,FALSE),IF(H247="WP",VLOOKUP(I247,[1]MATERIALES!$C$128:$D$129,2,FALSE),IF(H247="5x5",VLOOKUP(I247,[1]MATERIALES!$C$130:$D$132,2,FALSE)))))),"25mm",IF(H247="Rectangular","-",IF(H247="Octagonal","--",IF(H247="WP","---",IF(H247="5x5",VLOOKUP(I247,[1]MATERIALES!$C$130:$D$132,2,FALSE),0)))),"38mm","-","50mm","-","75mm","-","100mm","-")</f>
        <v>Caja octagonal EMT 1/2" USA UL</v>
      </c>
      <c r="H247" s="369" t="s">
        <v>194</v>
      </c>
      <c r="I247" s="366" t="str">
        <f>I242</f>
        <v>13mm</v>
      </c>
      <c r="J247" s="316"/>
      <c r="K247" s="345" t="str">
        <f t="shared" si="158"/>
        <v>Unid.</v>
      </c>
      <c r="L247" s="28">
        <f>1+L257+L258+L259</f>
        <v>10</v>
      </c>
      <c r="M247" s="248" t="str">
        <f>IFERROR(VLOOKUP(G247,[1]MATERIALES!$D$5:$I$1368,2,FALSE),0)</f>
        <v xml:space="preserve">Suplidores electricos </v>
      </c>
      <c r="N247" s="367" t="e">
        <f t="shared" si="154"/>
        <v>#VALUE!</v>
      </c>
      <c r="O247" s="140" t="e">
        <f t="shared" si="159"/>
        <v>#VALUE!</v>
      </c>
      <c r="P247" s="367" t="e">
        <f t="shared" si="160"/>
        <v>#VALUE!</v>
      </c>
      <c r="Q247" s="140" t="e">
        <f t="shared" si="155"/>
        <v>#VALUE!</v>
      </c>
      <c r="R247" s="368" t="e">
        <f t="shared" si="156"/>
        <v>#VALUE!</v>
      </c>
      <c r="S247" s="140">
        <f t="shared" si="161"/>
        <v>0</v>
      </c>
      <c r="T247" s="139">
        <f t="shared" si="162"/>
        <v>0</v>
      </c>
      <c r="U247" s="357"/>
      <c r="V247" s="358"/>
      <c r="W247" s="144"/>
    </row>
    <row r="248" spans="1:23" ht="15" hidden="1" customHeight="1" outlineLevel="1" thickBot="1">
      <c r="A248" s="353"/>
      <c r="B248" s="359">
        <f t="shared" si="153"/>
        <v>12.069999999999999</v>
      </c>
      <c r="C248" s="360" t="s">
        <v>797</v>
      </c>
      <c r="D248" s="360" t="s">
        <v>788</v>
      </c>
      <c r="E248" s="360">
        <v>5</v>
      </c>
      <c r="F248" s="347" t="str">
        <f t="shared" si="157"/>
        <v>120V 1Ø</v>
      </c>
      <c r="G248" s="361" t="str">
        <f>IF(H248="Rectangular",[1]MATERIALES!$D$133,IF(H247="Octagonal",[1]MATERIALES!$D$134,IF(H247="WP",[1]MATERIALES!$D$135,IF(H247="5x5",[1]MATERIALES!$D$136,0))))</f>
        <v>Tapa caja EMT 2x4 Inoxidable.</v>
      </c>
      <c r="H248" s="369" t="str">
        <f>H247</f>
        <v>Octagonal</v>
      </c>
      <c r="I248" s="366" t="str">
        <f>I242</f>
        <v>13mm</v>
      </c>
      <c r="J248" s="316"/>
      <c r="K248" s="345" t="str">
        <f t="shared" si="158"/>
        <v>Unid.</v>
      </c>
      <c r="L248" s="28">
        <f>L247</f>
        <v>10</v>
      </c>
      <c r="M248" s="248" t="str">
        <f>IFERROR(VLOOKUP(G248,[1]MATERIALES!$D$5:$I$1368,2,FALSE),0)</f>
        <v xml:space="preserve">Suplidores electricos </v>
      </c>
      <c r="N248" s="367" t="e">
        <f t="shared" si="154"/>
        <v>#VALUE!</v>
      </c>
      <c r="O248" s="140" t="e">
        <f t="shared" si="159"/>
        <v>#VALUE!</v>
      </c>
      <c r="P248" s="367" t="e">
        <f t="shared" si="160"/>
        <v>#VALUE!</v>
      </c>
      <c r="Q248" s="140" t="e">
        <f t="shared" si="155"/>
        <v>#VALUE!</v>
      </c>
      <c r="R248" s="368" t="e">
        <f t="shared" si="156"/>
        <v>#VALUE!</v>
      </c>
      <c r="S248" s="140">
        <f t="shared" si="161"/>
        <v>0</v>
      </c>
      <c r="T248" s="139">
        <f t="shared" si="162"/>
        <v>0</v>
      </c>
      <c r="U248" s="357"/>
      <c r="V248" s="358"/>
      <c r="W248" s="144"/>
    </row>
    <row r="249" spans="1:23" ht="15" hidden="1" customHeight="1" outlineLevel="1" thickBot="1">
      <c r="A249" s="353"/>
      <c r="B249" s="359">
        <f t="shared" si="153"/>
        <v>12.079999999999998</v>
      </c>
      <c r="C249" s="360" t="s">
        <v>797</v>
      </c>
      <c r="D249" s="360" t="s">
        <v>788</v>
      </c>
      <c r="E249" s="360">
        <v>5</v>
      </c>
      <c r="F249" s="347" t="str">
        <f t="shared" si="157"/>
        <v>120V 1Ø</v>
      </c>
      <c r="G249" s="361" t="str" cm="1">
        <f t="array" ref="G249">_xlfn.SWITCH(I249,"13mm",(IF(H249="Rectangular",VLOOKUP(I249,[1]MATERIALES!$C$124:$D$125,2,FALSE),IF(H249="Octagonal",VLOOKUP(I249,[1]MATERIALES!$C$126:$D$127,2,FALSE),IF(H249="WP",VLOOKUP(I249,[1]MATERIALES!$C$128:$D$129,2,FALSE),IF(H249="5x5",VLOOKUP(I249,[1]MATERIALES!$C$130:$D$132,2,FALSE)))))),"19mm",(IF(H249="Rectangular",VLOOKUP(I249,[1]MATERIALES!$C$124:$D$125,2,FALSE),IF(H249="Octagonal",VLOOKUP(I249,[1]MATERIALES!$C$126:$D$127,2,FALSE),IF(H249="WP",VLOOKUP(I249,[1]MATERIALES!$C$128:$D$129,2,FALSE),IF(H249="5x5",VLOOKUP(I249,[1]MATERIALES!$C$130:$D$132,2,FALSE)))))),"25mm",IF(H249="Rectangular","-",IF(H249="Octagonal","--",IF(H249="WP","---",IF(H249="5x5",VLOOKUP(I249,[1]MATERIALES!$C$130:$D$132,2,FALSE),0)))),"38mm","-","50mm","-","75mm","-","100mm","-")</f>
        <v>Caja EMT 2x4 1/2" USA UL</v>
      </c>
      <c r="H249" s="369" t="s">
        <v>188</v>
      </c>
      <c r="I249" s="366" t="str">
        <f>I244</f>
        <v>13mm</v>
      </c>
      <c r="J249" s="316"/>
      <c r="K249" s="345" t="str">
        <f t="shared" si="158"/>
        <v>Unid.</v>
      </c>
      <c r="L249" s="28">
        <f>L257+L258</f>
        <v>1</v>
      </c>
      <c r="M249" s="248" t="str">
        <f>IFERROR(VLOOKUP(G249,[1]MATERIALES!$D$5:$I$1368,2,FALSE),0)</f>
        <v xml:space="preserve">Suplidores electricos </v>
      </c>
      <c r="N249" s="367" t="e">
        <f t="shared" si="154"/>
        <v>#VALUE!</v>
      </c>
      <c r="O249" s="140" t="e">
        <f t="shared" si="159"/>
        <v>#VALUE!</v>
      </c>
      <c r="P249" s="367" t="e">
        <f t="shared" si="160"/>
        <v>#VALUE!</v>
      </c>
      <c r="Q249" s="140" t="e">
        <f t="shared" si="155"/>
        <v>#VALUE!</v>
      </c>
      <c r="R249" s="368" t="e">
        <f t="shared" si="156"/>
        <v>#VALUE!</v>
      </c>
      <c r="S249" s="140">
        <f t="shared" si="161"/>
        <v>0</v>
      </c>
      <c r="T249" s="139">
        <f t="shared" si="162"/>
        <v>0</v>
      </c>
      <c r="U249" s="357"/>
      <c r="V249" s="358"/>
      <c r="W249" s="144"/>
    </row>
    <row r="250" spans="1:23" ht="15" hidden="1" customHeight="1" outlineLevel="1" thickBot="1">
      <c r="A250" s="353"/>
      <c r="B250" s="359">
        <f t="shared" si="153"/>
        <v>12.089999999999998</v>
      </c>
      <c r="C250" s="360" t="s">
        <v>797</v>
      </c>
      <c r="D250" s="360" t="s">
        <v>788</v>
      </c>
      <c r="E250" s="360">
        <v>5</v>
      </c>
      <c r="F250" s="347" t="str">
        <f t="shared" si="157"/>
        <v>120V 1Ø</v>
      </c>
      <c r="G250" s="361" t="str">
        <f>IF(H250="Rectangular",[1]MATERIALES!$D$133,IF(H249="Octagonal",[1]MATERIALES!$D$134,IF(H249="WP",[1]MATERIALES!#REF!,IF(H249="5x5",[1]MATERIALES!$D$136,0))))</f>
        <v>CAJA REG. 12X12X4 N3R</v>
      </c>
      <c r="H250" s="369" t="str">
        <f>H249</f>
        <v>Rectangular</v>
      </c>
      <c r="I250" s="366" t="str">
        <f>I244</f>
        <v>13mm</v>
      </c>
      <c r="J250" s="316"/>
      <c r="K250" s="345" t="str">
        <f t="shared" si="158"/>
        <v>Unid.</v>
      </c>
      <c r="L250" s="28">
        <f>L249</f>
        <v>1</v>
      </c>
      <c r="M250" s="248" t="str">
        <f>IFERROR(VLOOKUP(G250,[1]MATERIALES!$D$5:$I$1368,2,FALSE),0)</f>
        <v xml:space="preserve">Suplidores electricos </v>
      </c>
      <c r="N250" s="367" t="e">
        <f t="shared" si="154"/>
        <v>#VALUE!</v>
      </c>
      <c r="O250" s="140" t="e">
        <f t="shared" si="159"/>
        <v>#VALUE!</v>
      </c>
      <c r="P250" s="367" t="e">
        <f t="shared" si="160"/>
        <v>#VALUE!</v>
      </c>
      <c r="Q250" s="140" t="e">
        <f t="shared" si="155"/>
        <v>#VALUE!</v>
      </c>
      <c r="R250" s="368" t="e">
        <f t="shared" si="156"/>
        <v>#VALUE!</v>
      </c>
      <c r="S250" s="140">
        <f t="shared" si="161"/>
        <v>0</v>
      </c>
      <c r="T250" s="139">
        <f t="shared" si="162"/>
        <v>0</v>
      </c>
      <c r="U250" s="357"/>
      <c r="V250" s="358"/>
      <c r="W250" s="144"/>
    </row>
    <row r="251" spans="1:23" ht="15" hidden="1" customHeight="1" outlineLevel="1" thickBot="1">
      <c r="A251" s="353"/>
      <c r="B251" s="359">
        <f t="shared" si="153"/>
        <v>12.099999999999998</v>
      </c>
      <c r="C251" s="360" t="s">
        <v>797</v>
      </c>
      <c r="D251" s="360" t="s">
        <v>788</v>
      </c>
      <c r="E251" s="360">
        <v>5</v>
      </c>
      <c r="F251" s="347" t="str">
        <f t="shared" si="157"/>
        <v>120V 1Ø</v>
      </c>
      <c r="G251" s="371" t="str">
        <f>"Fase A"&amp;": "&amp;I251</f>
        <v>Fase A: Conductor 12 AWG THHN</v>
      </c>
      <c r="H251" s="366" t="s">
        <v>181</v>
      </c>
      <c r="I251" s="366" t="s">
        <v>189</v>
      </c>
      <c r="J251" s="366">
        <f>J242</f>
        <v>41.62</v>
      </c>
      <c r="K251" s="345" t="str">
        <f>IF(OR(H251="Conductores Americanos",H251="Conductores Europeos"),"Pies","Unid.")</f>
        <v>Pies</v>
      </c>
      <c r="L251" s="28">
        <f t="shared" ref="L251:L256" si="163">ROUNDUP(J251*3.28,0)</f>
        <v>137</v>
      </c>
      <c r="M251" s="140" t="str">
        <f>VLOOKUP(I251,[1]MATERIALES!$D$5:$I$1368,2,FALSE)</f>
        <v xml:space="preserve">Suplidores electricos </v>
      </c>
      <c r="N251" s="367" t="e">
        <f t="shared" si="154"/>
        <v>#VALUE!</v>
      </c>
      <c r="O251" s="140" t="e">
        <f t="shared" si="159"/>
        <v>#VALUE!</v>
      </c>
      <c r="P251" s="367" t="e">
        <f t="shared" si="160"/>
        <v>#VALUE!</v>
      </c>
      <c r="Q251" s="140" t="e">
        <f t="shared" si="155"/>
        <v>#VALUE!</v>
      </c>
      <c r="R251" s="368" t="e">
        <f t="shared" si="156"/>
        <v>#VALUE!</v>
      </c>
      <c r="S251" s="140">
        <f t="shared" si="161"/>
        <v>0</v>
      </c>
      <c r="T251" s="139">
        <f t="shared" si="162"/>
        <v>0</v>
      </c>
      <c r="U251" s="357"/>
      <c r="V251" s="358"/>
      <c r="W251" s="144"/>
    </row>
    <row r="252" spans="1:23" ht="15" hidden="1" customHeight="1" outlineLevel="1" thickBot="1">
      <c r="A252" s="353"/>
      <c r="B252" s="359">
        <f t="shared" si="153"/>
        <v>12.109999999999998</v>
      </c>
      <c r="C252" s="360" t="s">
        <v>797</v>
      </c>
      <c r="D252" s="360" t="s">
        <v>788</v>
      </c>
      <c r="E252" s="360">
        <v>5</v>
      </c>
      <c r="F252" s="347" t="str">
        <f t="shared" si="157"/>
        <v>120V 1Ø</v>
      </c>
      <c r="G252" s="371" t="str">
        <f>IF(F252="120V 1Ø","-",("Fase B"&amp;": "&amp;I252))</f>
        <v>-</v>
      </c>
      <c r="H252" s="366" t="str">
        <f t="shared" ref="H252:I255" si="164">H251</f>
        <v>Conductores Americanos</v>
      </c>
      <c r="I252" s="366" t="str">
        <f t="shared" si="164"/>
        <v>Conductor 12 AWG THHN</v>
      </c>
      <c r="J252" s="366">
        <f>IF(G252="-",0,J242)</f>
        <v>0</v>
      </c>
      <c r="K252" s="345" t="str">
        <f t="shared" ref="K252:K260" si="165">IF(OR(H252="Conductores Americanos",H252="Conductores Europeos"),"Pies","Unid.")</f>
        <v>Pies</v>
      </c>
      <c r="L252" s="28">
        <f t="shared" si="163"/>
        <v>0</v>
      </c>
      <c r="M252" s="140" t="str">
        <f>VLOOKUP(I252,[1]MATERIALES!$D$5:$I$1368,2,FALSE)</f>
        <v xml:space="preserve">Suplidores electricos </v>
      </c>
      <c r="N252" s="367" t="e">
        <f t="shared" si="154"/>
        <v>#VALUE!</v>
      </c>
      <c r="O252" s="140" t="e">
        <f t="shared" si="159"/>
        <v>#VALUE!</v>
      </c>
      <c r="P252" s="367" t="e">
        <f t="shared" si="160"/>
        <v>#VALUE!</v>
      </c>
      <c r="Q252" s="140" t="e">
        <f t="shared" si="155"/>
        <v>#VALUE!</v>
      </c>
      <c r="R252" s="368" t="e">
        <f t="shared" si="156"/>
        <v>#VALUE!</v>
      </c>
      <c r="S252" s="140">
        <f t="shared" si="161"/>
        <v>0</v>
      </c>
      <c r="T252" s="139">
        <f t="shared" si="162"/>
        <v>0</v>
      </c>
      <c r="U252" s="357"/>
      <c r="V252" s="358"/>
      <c r="W252" s="144"/>
    </row>
    <row r="253" spans="1:23" ht="15" hidden="1" customHeight="1" outlineLevel="1" thickBot="1">
      <c r="A253" s="353"/>
      <c r="B253" s="359">
        <f t="shared" si="153"/>
        <v>12.119999999999997</v>
      </c>
      <c r="C253" s="360" t="s">
        <v>797</v>
      </c>
      <c r="D253" s="360" t="s">
        <v>788</v>
      </c>
      <c r="E253" s="360">
        <v>5</v>
      </c>
      <c r="F253" s="347" t="str">
        <f t="shared" si="157"/>
        <v>120V 1Ø</v>
      </c>
      <c r="G253" s="371" t="str">
        <f>IF(F253="120V 1Ø","-",IF(F253="240V 1Ø","-",("Fase C"&amp;": "&amp;I251)))</f>
        <v>-</v>
      </c>
      <c r="H253" s="366" t="str">
        <f t="shared" si="164"/>
        <v>Conductores Americanos</v>
      </c>
      <c r="I253" s="366" t="str">
        <f t="shared" si="164"/>
        <v>Conductor 12 AWG THHN</v>
      </c>
      <c r="J253" s="366">
        <f>IF(G253="-",0,J243)</f>
        <v>0</v>
      </c>
      <c r="K253" s="345" t="str">
        <f t="shared" si="165"/>
        <v>Pies</v>
      </c>
      <c r="L253" s="28">
        <f t="shared" si="163"/>
        <v>0</v>
      </c>
      <c r="M253" s="140" t="str">
        <f>VLOOKUP(I253,[1]MATERIALES!$D$5:$I$1368,2,FALSE)</f>
        <v xml:space="preserve">Suplidores electricos </v>
      </c>
      <c r="N253" s="367" t="e">
        <f t="shared" si="154"/>
        <v>#VALUE!</v>
      </c>
      <c r="O253" s="140" t="e">
        <f t="shared" si="159"/>
        <v>#VALUE!</v>
      </c>
      <c r="P253" s="367" t="e">
        <f t="shared" si="160"/>
        <v>#VALUE!</v>
      </c>
      <c r="Q253" s="140" t="e">
        <f t="shared" si="155"/>
        <v>#VALUE!</v>
      </c>
      <c r="R253" s="368" t="e">
        <f t="shared" si="156"/>
        <v>#VALUE!</v>
      </c>
      <c r="S253" s="140">
        <f t="shared" si="161"/>
        <v>0</v>
      </c>
      <c r="T253" s="139">
        <f t="shared" si="162"/>
        <v>0</v>
      </c>
      <c r="U253" s="357"/>
      <c r="V253" s="358"/>
      <c r="W253" s="144"/>
    </row>
    <row r="254" spans="1:23" ht="15" hidden="1" customHeight="1" outlineLevel="1" thickBot="1">
      <c r="A254" s="353"/>
      <c r="B254" s="359">
        <f t="shared" si="153"/>
        <v>12.129999999999997</v>
      </c>
      <c r="C254" s="360" t="s">
        <v>797</v>
      </c>
      <c r="D254" s="360" t="s">
        <v>788</v>
      </c>
      <c r="E254" s="360">
        <v>5</v>
      </c>
      <c r="F254" s="347" t="str">
        <f t="shared" si="157"/>
        <v>120V 1Ø</v>
      </c>
      <c r="G254" s="372" t="str">
        <f>"Retorno"&amp;": "&amp;I254</f>
        <v>Retorno: Conductor 12 AWG THHN</v>
      </c>
      <c r="H254" s="366" t="str">
        <f t="shared" si="164"/>
        <v>Conductores Americanos</v>
      </c>
      <c r="I254" s="366" t="str">
        <f t="shared" si="164"/>
        <v>Conductor 12 AWG THHN</v>
      </c>
      <c r="J254" s="366">
        <f>J251/3+J251*L258/3</f>
        <v>13.873333333333333</v>
      </c>
      <c r="K254" s="345" t="str">
        <f t="shared" si="165"/>
        <v>Pies</v>
      </c>
      <c r="L254" s="28">
        <f t="shared" si="163"/>
        <v>46</v>
      </c>
      <c r="M254" s="140" t="str">
        <f>VLOOKUP(I254,[1]MATERIALES!$D$5:$I$1368,2,FALSE)</f>
        <v xml:space="preserve">Suplidores electricos </v>
      </c>
      <c r="N254" s="367" t="e">
        <f t="shared" si="154"/>
        <v>#VALUE!</v>
      </c>
      <c r="O254" s="140" t="e">
        <f t="shared" si="159"/>
        <v>#VALUE!</v>
      </c>
      <c r="P254" s="367" t="e">
        <f t="shared" si="160"/>
        <v>#VALUE!</v>
      </c>
      <c r="Q254" s="140" t="e">
        <f t="shared" si="155"/>
        <v>#VALUE!</v>
      </c>
      <c r="R254" s="368" t="e">
        <f t="shared" si="156"/>
        <v>#VALUE!</v>
      </c>
      <c r="S254" s="140">
        <f t="shared" si="161"/>
        <v>0</v>
      </c>
      <c r="T254" s="139">
        <f t="shared" si="162"/>
        <v>0</v>
      </c>
      <c r="U254" s="357"/>
      <c r="V254" s="358"/>
      <c r="W254" s="144"/>
    </row>
    <row r="255" spans="1:23" ht="15" hidden="1" customHeight="1" outlineLevel="1" thickBot="1">
      <c r="A255" s="353"/>
      <c r="B255" s="359">
        <f t="shared" si="153"/>
        <v>12.139999999999997</v>
      </c>
      <c r="C255" s="360" t="s">
        <v>797</v>
      </c>
      <c r="D255" s="360" t="s">
        <v>788</v>
      </c>
      <c r="E255" s="360">
        <v>5</v>
      </c>
      <c r="F255" s="347" t="str">
        <f t="shared" si="157"/>
        <v>120V 1Ø</v>
      </c>
      <c r="G255" s="372" t="str">
        <f>IF(F255="240V 1Ø","-",IF(F255="480V 3Ø","-",("Neutro"&amp;": "&amp;I252)))</f>
        <v>Neutro: Conductor 12 AWG THHN</v>
      </c>
      <c r="H255" s="366" t="str">
        <f>H253</f>
        <v>Conductores Americanos</v>
      </c>
      <c r="I255" s="366" t="str">
        <f t="shared" si="164"/>
        <v>Conductor 12 AWG THHN</v>
      </c>
      <c r="J255" s="366">
        <f>IF(G255="-",0,J242)</f>
        <v>41.62</v>
      </c>
      <c r="K255" s="345" t="str">
        <f t="shared" si="165"/>
        <v>Pies</v>
      </c>
      <c r="L255" s="28">
        <f t="shared" si="163"/>
        <v>137</v>
      </c>
      <c r="M255" s="140" t="str">
        <f>VLOOKUP(I255,[1]MATERIALES!$D$5:$I$1368,2,FALSE)</f>
        <v xml:space="preserve">Suplidores electricos </v>
      </c>
      <c r="N255" s="367" t="e">
        <f t="shared" si="154"/>
        <v>#VALUE!</v>
      </c>
      <c r="O255" s="140" t="e">
        <f t="shared" si="159"/>
        <v>#VALUE!</v>
      </c>
      <c r="P255" s="367" t="e">
        <f t="shared" si="160"/>
        <v>#VALUE!</v>
      </c>
      <c r="Q255" s="140" t="e">
        <f t="shared" si="155"/>
        <v>#VALUE!</v>
      </c>
      <c r="R255" s="368" t="e">
        <f t="shared" si="156"/>
        <v>#VALUE!</v>
      </c>
      <c r="S255" s="140">
        <f t="shared" si="161"/>
        <v>0</v>
      </c>
      <c r="T255" s="139">
        <f t="shared" si="162"/>
        <v>0</v>
      </c>
      <c r="U255" s="357"/>
      <c r="V255" s="358"/>
      <c r="W255" s="144"/>
    </row>
    <row r="256" spans="1:23" ht="15" hidden="1" customHeight="1" outlineLevel="1" thickBot="1">
      <c r="A256" s="353"/>
      <c r="B256" s="359">
        <f t="shared" si="153"/>
        <v>12.149999999999997</v>
      </c>
      <c r="C256" s="360" t="s">
        <v>797</v>
      </c>
      <c r="D256" s="360" t="s">
        <v>788</v>
      </c>
      <c r="E256" s="360">
        <v>5</v>
      </c>
      <c r="F256" s="347" t="str">
        <f t="shared" si="157"/>
        <v>120V 1Ø</v>
      </c>
      <c r="G256" s="372" t="str">
        <f>"Tierra"&amp;": "&amp;I256</f>
        <v>Tierra: Conductor 12 AWG THHN</v>
      </c>
      <c r="H256" s="366" t="str">
        <f>H255</f>
        <v>Conductores Americanos</v>
      </c>
      <c r="I256" s="366" t="str">
        <f>I255</f>
        <v>Conductor 12 AWG THHN</v>
      </c>
      <c r="J256" s="366">
        <f>J242</f>
        <v>41.62</v>
      </c>
      <c r="K256" s="345" t="str">
        <f t="shared" si="165"/>
        <v>Pies</v>
      </c>
      <c r="L256" s="28">
        <f t="shared" si="163"/>
        <v>137</v>
      </c>
      <c r="M256" s="140" t="str">
        <f>VLOOKUP(I256,[1]MATERIALES!$D$5:$I$1368,2,FALSE)</f>
        <v xml:space="preserve">Suplidores electricos </v>
      </c>
      <c r="N256" s="367" t="e">
        <f t="shared" si="154"/>
        <v>#VALUE!</v>
      </c>
      <c r="O256" s="140" t="e">
        <f t="shared" si="159"/>
        <v>#VALUE!</v>
      </c>
      <c r="P256" s="367" t="e">
        <f t="shared" si="160"/>
        <v>#VALUE!</v>
      </c>
      <c r="Q256" s="140" t="e">
        <f t="shared" si="155"/>
        <v>#VALUE!</v>
      </c>
      <c r="R256" s="368" t="e">
        <f t="shared" si="156"/>
        <v>#VALUE!</v>
      </c>
      <c r="S256" s="140">
        <f t="shared" si="161"/>
        <v>0</v>
      </c>
      <c r="T256" s="139">
        <f t="shared" si="162"/>
        <v>0</v>
      </c>
      <c r="U256" s="357"/>
      <c r="V256" s="358"/>
      <c r="W256" s="144"/>
    </row>
    <row r="257" spans="1:23" ht="15" hidden="1" customHeight="1" outlineLevel="1" thickBot="1">
      <c r="A257" s="353"/>
      <c r="B257" s="359">
        <f t="shared" si="153"/>
        <v>12.159999999999997</v>
      </c>
      <c r="C257" s="360" t="s">
        <v>797</v>
      </c>
      <c r="D257" s="360" t="s">
        <v>788</v>
      </c>
      <c r="E257" s="360">
        <v>5</v>
      </c>
      <c r="F257" s="347" t="str">
        <f t="shared" si="157"/>
        <v>120V 1Ø</v>
      </c>
      <c r="G257" s="361" t="str" cm="1">
        <f t="array" ref="G257">IFERROR(VLOOKUP(H257&amp;"|"&amp;I257,CHOOSE({1,2},[1]MATERIALES!$B$186:B2026&amp;"|"&amp;[1]MATERIALES!$C$186:$C$198,[1]MATERIALES!$D$186:$D$198),2,0),"-")</f>
        <v>-</v>
      </c>
      <c r="H257" s="373"/>
      <c r="I257" s="373" t="s">
        <v>603</v>
      </c>
      <c r="J257" s="316"/>
      <c r="K257" s="345" t="str">
        <f t="shared" si="165"/>
        <v>Unid.</v>
      </c>
      <c r="L257" s="218">
        <v>1</v>
      </c>
      <c r="M257" s="248">
        <f>IFERROR(VLOOKUP(G257,[1]MATERIALES!$D$5:$I$1368,2,FALSE),0)</f>
        <v>0</v>
      </c>
      <c r="N257" s="367">
        <f t="shared" si="154"/>
        <v>0</v>
      </c>
      <c r="O257" s="140">
        <f t="shared" si="159"/>
        <v>0</v>
      </c>
      <c r="P257" s="367">
        <f t="shared" si="160"/>
        <v>0</v>
      </c>
      <c r="Q257" s="140">
        <f t="shared" si="155"/>
        <v>0</v>
      </c>
      <c r="R257" s="368">
        <f t="shared" si="156"/>
        <v>0</v>
      </c>
      <c r="S257" s="140">
        <f t="shared" si="161"/>
        <v>0</v>
      </c>
      <c r="T257" s="139">
        <f t="shared" si="162"/>
        <v>0</v>
      </c>
      <c r="U257" s="357"/>
      <c r="V257" s="358"/>
      <c r="W257" s="144"/>
    </row>
    <row r="258" spans="1:23" ht="15" hidden="1" customHeight="1" outlineLevel="1" thickBot="1">
      <c r="A258" s="353"/>
      <c r="B258" s="359">
        <f t="shared" si="153"/>
        <v>12.169999999999996</v>
      </c>
      <c r="C258" s="360" t="s">
        <v>797</v>
      </c>
      <c r="D258" s="360" t="s">
        <v>788</v>
      </c>
      <c r="E258" s="360">
        <v>5</v>
      </c>
      <c r="F258" s="347" t="str">
        <f t="shared" si="157"/>
        <v>120V 1Ø</v>
      </c>
      <c r="G258" s="361" t="str" cm="1">
        <f t="array" ref="G258">IFERROR(VLOOKUP(H258&amp;"|"&amp;I258,CHOOSE({1,2},[1]MATERIALES!$B$186:B2027&amp;"|"&amp;[1]MATERIALES!$C$186:$C$198,[1]MATERIALES!$D$186:$D$198),2,0),"-")</f>
        <v>-</v>
      </c>
      <c r="H258" s="373"/>
      <c r="I258" s="373" t="s">
        <v>469</v>
      </c>
      <c r="J258" s="316"/>
      <c r="K258" s="345" t="str">
        <f t="shared" si="165"/>
        <v>Unid.</v>
      </c>
      <c r="L258" s="218">
        <v>0</v>
      </c>
      <c r="M258" s="248">
        <f>IFERROR(VLOOKUP(G258,[1]MATERIALES!$D$5:$I$1368,2,FALSE),0)</f>
        <v>0</v>
      </c>
      <c r="N258" s="367">
        <f t="shared" si="154"/>
        <v>0</v>
      </c>
      <c r="O258" s="140">
        <f t="shared" si="159"/>
        <v>0</v>
      </c>
      <c r="P258" s="367">
        <f t="shared" si="160"/>
        <v>0</v>
      </c>
      <c r="Q258" s="140">
        <f t="shared" si="155"/>
        <v>0</v>
      </c>
      <c r="R258" s="368">
        <f t="shared" si="156"/>
        <v>0</v>
      </c>
      <c r="S258" s="140">
        <f t="shared" si="161"/>
        <v>0</v>
      </c>
      <c r="T258" s="139">
        <f t="shared" si="162"/>
        <v>0</v>
      </c>
      <c r="U258" s="357"/>
      <c r="V258" s="358"/>
      <c r="W258" s="144"/>
    </row>
    <row r="259" spans="1:23" ht="15" hidden="1" customHeight="1" outlineLevel="1" thickBot="1">
      <c r="A259" s="353"/>
      <c r="B259" s="359">
        <f t="shared" si="153"/>
        <v>12.179999999999996</v>
      </c>
      <c r="C259" s="360" t="s">
        <v>797</v>
      </c>
      <c r="D259" s="360" t="s">
        <v>788</v>
      </c>
      <c r="E259" s="360">
        <v>5</v>
      </c>
      <c r="F259" s="347" t="str">
        <f t="shared" si="157"/>
        <v>120V 1Ø</v>
      </c>
      <c r="G259" s="361" t="s">
        <v>794</v>
      </c>
      <c r="H259" s="316"/>
      <c r="I259" s="316"/>
      <c r="J259" s="316"/>
      <c r="K259" s="345" t="str">
        <f t="shared" si="165"/>
        <v>Unid.</v>
      </c>
      <c r="L259" s="218">
        <v>8</v>
      </c>
      <c r="M259" s="248">
        <f>IFERROR(VLOOKUP(G259,[1]MATERIALES!$D$5:$I$1368,2,FALSE),0)</f>
        <v>0</v>
      </c>
      <c r="N259" s="367">
        <f t="shared" si="154"/>
        <v>0</v>
      </c>
      <c r="O259" s="140">
        <f t="shared" si="159"/>
        <v>0</v>
      </c>
      <c r="P259" s="367">
        <f t="shared" si="160"/>
        <v>0</v>
      </c>
      <c r="Q259" s="140">
        <f t="shared" si="155"/>
        <v>0</v>
      </c>
      <c r="R259" s="368">
        <f t="shared" si="156"/>
        <v>0</v>
      </c>
      <c r="S259" s="140">
        <f t="shared" si="161"/>
        <v>0</v>
      </c>
      <c r="T259" s="139">
        <f t="shared" si="162"/>
        <v>0</v>
      </c>
      <c r="U259" s="357"/>
      <c r="V259" s="358"/>
      <c r="W259" s="144"/>
    </row>
    <row r="260" spans="1:23" ht="15" hidden="1" customHeight="1" outlineLevel="1" thickBot="1">
      <c r="A260" s="353"/>
      <c r="B260" s="359">
        <f t="shared" si="153"/>
        <v>12.189999999999996</v>
      </c>
      <c r="C260" s="360" t="s">
        <v>797</v>
      </c>
      <c r="D260" s="360" t="s">
        <v>788</v>
      </c>
      <c r="E260" s="360">
        <v>5</v>
      </c>
      <c r="F260" s="347" t="str">
        <f t="shared" si="157"/>
        <v>120V 1Ø</v>
      </c>
      <c r="G260" s="361" t="s">
        <v>422</v>
      </c>
      <c r="H260" s="316"/>
      <c r="I260" s="316"/>
      <c r="J260" s="316"/>
      <c r="K260" s="345" t="str">
        <f t="shared" si="165"/>
        <v>Unid.</v>
      </c>
      <c r="L260" s="345">
        <f>3*(L247)</f>
        <v>30</v>
      </c>
      <c r="M260" s="248">
        <f>IFERROR(VLOOKUP(G260,[1]MATERIALES!$D$5:$I$1368,2,FALSE),0)</f>
        <v>0</v>
      </c>
      <c r="N260" s="367">
        <f t="shared" si="154"/>
        <v>0</v>
      </c>
      <c r="O260" s="140">
        <f t="shared" si="159"/>
        <v>0</v>
      </c>
      <c r="P260" s="367">
        <f t="shared" si="160"/>
        <v>0</v>
      </c>
      <c r="Q260" s="140">
        <f t="shared" si="155"/>
        <v>0</v>
      </c>
      <c r="R260" s="368">
        <f t="shared" si="156"/>
        <v>0</v>
      </c>
      <c r="S260" s="140">
        <f t="shared" si="161"/>
        <v>0</v>
      </c>
      <c r="T260" s="139">
        <f t="shared" si="162"/>
        <v>0</v>
      </c>
      <c r="U260" s="357" t="e">
        <f>SUM(R260:R262)</f>
        <v>#VALUE!</v>
      </c>
      <c r="V260" s="358" t="e">
        <f>'[1]1. OFERTA'!#REF!</f>
        <v>#REF!</v>
      </c>
      <c r="W260" s="144" t="e">
        <f>U260-V260</f>
        <v>#VALUE!</v>
      </c>
    </row>
    <row r="261" spans="1:23" ht="15" hidden="1" customHeight="1" outlineLevel="1" thickBot="1">
      <c r="A261" s="353"/>
      <c r="B261" s="359">
        <f t="shared" si="153"/>
        <v>12.199999999999996</v>
      </c>
      <c r="C261" s="360" t="s">
        <v>797</v>
      </c>
      <c r="D261" s="360" t="s">
        <v>788</v>
      </c>
      <c r="E261" s="360">
        <v>5</v>
      </c>
      <c r="F261" s="347" t="str">
        <f t="shared" si="157"/>
        <v>120V 1Ø</v>
      </c>
      <c r="G261" s="361" t="s">
        <v>424</v>
      </c>
      <c r="H261" s="316"/>
      <c r="I261" s="316"/>
      <c r="J261" s="316"/>
      <c r="K261" s="345" t="s">
        <v>784</v>
      </c>
      <c r="L261" s="28">
        <f>ROUNDUP(L246+L247+L249,0)</f>
        <v>53</v>
      </c>
      <c r="M261" s="248">
        <f>IFERROR(VLOOKUP(G261,[1]MATERIALES!$D$5:$I$1368,2,FALSE),0)</f>
        <v>0</v>
      </c>
      <c r="N261" s="367">
        <f t="shared" si="154"/>
        <v>0</v>
      </c>
      <c r="O261" s="140">
        <f t="shared" si="159"/>
        <v>0</v>
      </c>
      <c r="P261" s="367">
        <f t="shared" si="160"/>
        <v>0</v>
      </c>
      <c r="Q261" s="140">
        <f t="shared" si="155"/>
        <v>0</v>
      </c>
      <c r="R261" s="368">
        <f t="shared" si="156"/>
        <v>0</v>
      </c>
      <c r="S261" s="140">
        <f t="shared" si="161"/>
        <v>0</v>
      </c>
      <c r="T261" s="139">
        <f t="shared" si="162"/>
        <v>0</v>
      </c>
      <c r="U261" s="357"/>
      <c r="V261" s="358"/>
      <c r="W261" s="144"/>
    </row>
    <row r="262" spans="1:23" ht="15" hidden="1" customHeight="1" outlineLevel="1" thickBot="1">
      <c r="A262" s="353"/>
      <c r="B262" s="359">
        <f t="shared" si="153"/>
        <v>12.209999999999996</v>
      </c>
      <c r="C262" s="360" t="s">
        <v>797</v>
      </c>
      <c r="D262" s="360" t="s">
        <v>788</v>
      </c>
      <c r="E262" s="360">
        <v>5</v>
      </c>
      <c r="F262" s="347" t="str">
        <f t="shared" si="157"/>
        <v>120V 1Ø</v>
      </c>
      <c r="G262" s="361" t="s">
        <v>168</v>
      </c>
      <c r="H262" s="316"/>
      <c r="I262" s="316"/>
      <c r="J262" s="316"/>
      <c r="K262" s="345" t="s">
        <v>784</v>
      </c>
      <c r="L262" s="28">
        <f>L261</f>
        <v>53</v>
      </c>
      <c r="M262" s="248" t="str">
        <f>IFERROR(VLOOKUP(G262,[1]MATERIALES!$D$5:$I$1368,2,FALSE),0)</f>
        <v xml:space="preserve">Marba Dominicana </v>
      </c>
      <c r="N262" s="367" t="e">
        <f t="shared" si="154"/>
        <v>#VALUE!</v>
      </c>
      <c r="O262" s="140" t="e">
        <f t="shared" si="159"/>
        <v>#VALUE!</v>
      </c>
      <c r="P262" s="367" t="e">
        <f t="shared" si="160"/>
        <v>#VALUE!</v>
      </c>
      <c r="Q262" s="140" t="e">
        <f t="shared" si="155"/>
        <v>#VALUE!</v>
      </c>
      <c r="R262" s="368" t="e">
        <f t="shared" si="156"/>
        <v>#VALUE!</v>
      </c>
      <c r="S262" s="140">
        <f t="shared" si="161"/>
        <v>0</v>
      </c>
      <c r="T262" s="139">
        <f t="shared" si="162"/>
        <v>0</v>
      </c>
      <c r="U262" s="357"/>
      <c r="V262" s="358"/>
      <c r="W262" s="144"/>
    </row>
    <row r="263" spans="1:23" ht="15" customHeight="1" collapsed="1" thickBot="1">
      <c r="A263" s="353"/>
      <c r="B263" s="354">
        <v>13</v>
      </c>
      <c r="C263" s="355" t="s">
        <v>798</v>
      </c>
      <c r="D263" s="269" t="s">
        <v>788</v>
      </c>
      <c r="E263" s="269">
        <v>6</v>
      </c>
      <c r="F263" s="270" t="s">
        <v>783</v>
      </c>
      <c r="G263" s="271"/>
      <c r="H263" s="272"/>
      <c r="I263" s="272"/>
      <c r="J263" s="272"/>
      <c r="K263" s="268"/>
      <c r="L263" s="268"/>
      <c r="M263" s="273"/>
      <c r="N263" s="274"/>
      <c r="O263" s="273"/>
      <c r="P263" s="274"/>
      <c r="Q263" s="273"/>
      <c r="R263" s="275"/>
      <c r="S263" s="273"/>
      <c r="T263" s="276"/>
      <c r="U263" s="357" t="e">
        <f>SUM(R264:R285)</f>
        <v>#VALUE!</v>
      </c>
      <c r="V263" s="358" t="e">
        <f>'[1]1. OFERTA'!#REF!</f>
        <v>#REF!</v>
      </c>
      <c r="W263" s="144" t="e">
        <f>U263-V263</f>
        <v>#VALUE!</v>
      </c>
    </row>
    <row r="264" spans="1:23" ht="15" hidden="1" customHeight="1" outlineLevel="1" thickBot="1">
      <c r="A264" s="353"/>
      <c r="B264" s="359">
        <f t="shared" si="153"/>
        <v>13.01</v>
      </c>
      <c r="C264" s="360" t="s">
        <v>798</v>
      </c>
      <c r="D264" s="376" t="s">
        <v>788</v>
      </c>
      <c r="E264" s="360">
        <v>6</v>
      </c>
      <c r="F264" s="347" t="s">
        <v>783</v>
      </c>
      <c r="G264" s="361" t="str">
        <f>IF(H264="PVC",VLOOKUP(I264,[1]MATERIALES!$C$5:$D$11,2,FALSE),IF(H264="EMT",VLOOKUP(I264,[1]MATERIALES!$C$40:$D$46,2,FALSE),IF(H264="IMC",VLOOKUP(I264,[1]MATERIALES!$C$82:$D$88,2,FALSE),IF(H264="LFNC",VLOOKUP(I264,[1]MATERIALES!$C$110:$D$116,2,FALSE),0))))</f>
        <v>Tubería PVC SDR-26 1/2"</v>
      </c>
      <c r="H264" s="362" t="s">
        <v>184</v>
      </c>
      <c r="I264" s="362" t="s">
        <v>216</v>
      </c>
      <c r="J264" s="362">
        <f>10.71+18.48</f>
        <v>29.19</v>
      </c>
      <c r="K264" s="134" t="str">
        <f>IF(OR(H264="Conductores Americanos",H264="Conductores Europeos"),"Pies","Unid.")</f>
        <v>Unid.</v>
      </c>
      <c r="L264" s="363">
        <f>IF(H264="PVC",ROUNDUP(J264/6,0),IF(H264="EMT",ROUNDUP(J264/3,0),IF(H264="IMC",ROUNDUP(J264/3,0),IF(H264="LFNC",ROUNDUP(3.28*J264,0),0))))</f>
        <v>5</v>
      </c>
      <c r="M264" s="248" t="str">
        <f>IFERROR(VLOOKUP(G264,[1]MATERIALES!$D$5:$I$1368,2,FALSE),0)</f>
        <v xml:space="preserve">Suplidores electricos </v>
      </c>
      <c r="N264" s="364" t="e">
        <f t="shared" ref="N264:N285" si="166">M264/$N$2</f>
        <v>#VALUE!</v>
      </c>
      <c r="O264" s="248" t="e">
        <f>+L264*M264</f>
        <v>#VALUE!</v>
      </c>
      <c r="P264" s="364" t="e">
        <f>L264*N264</f>
        <v>#VALUE!</v>
      </c>
      <c r="Q264" s="248" t="e">
        <f t="shared" ref="Q264:Q285" si="167">+$O264+($O264*$R$2)</f>
        <v>#VALUE!</v>
      </c>
      <c r="R264" s="365" t="e">
        <f t="shared" ref="R264:R285" si="168">+$P264+($P264*$R$2)</f>
        <v>#VALUE!</v>
      </c>
      <c r="S264" s="248">
        <f>+IFERROR(Q264/L264,0)</f>
        <v>0</v>
      </c>
      <c r="T264" s="146">
        <f>+IFERROR(R264/L264,0)</f>
        <v>0</v>
      </c>
      <c r="U264" s="357"/>
      <c r="V264" s="358"/>
      <c r="W264" s="144"/>
    </row>
    <row r="265" spans="1:23" ht="15" hidden="1" customHeight="1" outlineLevel="1" thickBot="1">
      <c r="A265" s="353"/>
      <c r="B265" s="359">
        <f t="shared" si="153"/>
        <v>13.02</v>
      </c>
      <c r="C265" s="360" t="s">
        <v>798</v>
      </c>
      <c r="D265" s="360" t="s">
        <v>788</v>
      </c>
      <c r="E265" s="360">
        <v>6</v>
      </c>
      <c r="F265" s="347" t="str">
        <f t="shared" ref="F265:F285" si="169">F264</f>
        <v>120V 1Ø</v>
      </c>
      <c r="G265" s="361" t="str">
        <f>IF(H265="PVC",VLOOKUP(I265,[1]MATERIALES!$C$12:$D$18,2,FALSE),IF(H265="EMT",VLOOKUP(I265,[1]MATERIALES!$C$47:$D$53,2,FALSE),IF(H265="IMC",VLOOKUP(I265,[1]MATERIALES!$C$89:$D$96,2,FALSE),"-")))</f>
        <v>Coupling PVC 1/2"</v>
      </c>
      <c r="H265" s="366" t="str">
        <f>H264</f>
        <v>PVC</v>
      </c>
      <c r="I265" s="366" t="str">
        <f>I264</f>
        <v>13mm</v>
      </c>
      <c r="J265" s="316"/>
      <c r="K265" s="345" t="str">
        <f t="shared" ref="K265:K272" si="170">IF(OR(H265="Conductores Americanos",H265="Conductores Europeos"),"Pies","Unid.")</f>
        <v>Unid.</v>
      </c>
      <c r="L265" s="28">
        <f>IF(H265="LFNC",0,L264)</f>
        <v>5</v>
      </c>
      <c r="M265" s="140" t="str">
        <f>IF(H265="LFNC",0,VLOOKUP(G265,[1]MATERIALES!$D$5:$I$1368,2,FALSE))</f>
        <v xml:space="preserve">Suplidores electricos </v>
      </c>
      <c r="N265" s="367" t="e">
        <f t="shared" si="166"/>
        <v>#VALUE!</v>
      </c>
      <c r="O265" s="140" t="e">
        <f t="shared" ref="O265:O285" si="171">+L265*M265</f>
        <v>#VALUE!</v>
      </c>
      <c r="P265" s="367" t="e">
        <f t="shared" ref="P265:P285" si="172">L265*N265</f>
        <v>#VALUE!</v>
      </c>
      <c r="Q265" s="140" t="e">
        <f t="shared" si="167"/>
        <v>#VALUE!</v>
      </c>
      <c r="R265" s="368" t="e">
        <f t="shared" si="168"/>
        <v>#VALUE!</v>
      </c>
      <c r="S265" s="140">
        <f t="shared" ref="S265:S285" si="173">+IFERROR(Q265/L265,0)</f>
        <v>0</v>
      </c>
      <c r="T265" s="139">
        <f t="shared" ref="T265:T285" si="174">+IFERROR(R265/L265,0)</f>
        <v>0</v>
      </c>
      <c r="U265" s="357"/>
      <c r="V265" s="358"/>
      <c r="W265" s="144"/>
    </row>
    <row r="266" spans="1:23" ht="15" hidden="1" customHeight="1" outlineLevel="1" thickBot="1">
      <c r="A266" s="353"/>
      <c r="B266" s="359">
        <f t="shared" si="153"/>
        <v>13.03</v>
      </c>
      <c r="C266" s="360" t="s">
        <v>798</v>
      </c>
      <c r="D266" s="360" t="s">
        <v>788</v>
      </c>
      <c r="E266" s="360">
        <v>6</v>
      </c>
      <c r="F266" s="347" t="str">
        <f t="shared" si="169"/>
        <v>120V 1Ø</v>
      </c>
      <c r="G266" s="361" t="str">
        <f>IF(H266="PVC",VLOOKUP(I266,[1]MATERIALES!$C$19:$D$25,2,FALSE),IF(H266="EMT",VLOOKUP(I266,[1]MATERIALES!$C$54:$D$60,2,FALSE),IF(H266="IMC",VLOOKUP(I266,[1]MATERIALES!$C$96:$D$102,2,FALSE),IF(H266="LFNC",VLOOKUP(I266,[1]MATERIALES!$C$117:$D$123,2,FALSE),0))))</f>
        <v>Adaptador Macho PVC 1/2"</v>
      </c>
      <c r="H266" s="366" t="str">
        <f>H264</f>
        <v>PVC</v>
      </c>
      <c r="I266" s="366" t="str">
        <f>I264</f>
        <v>13mm</v>
      </c>
      <c r="J266" s="316"/>
      <c r="K266" s="345" t="str">
        <f t="shared" si="170"/>
        <v>Unid.</v>
      </c>
      <c r="L266" s="28">
        <f>1+L269*2+L271</f>
        <v>13</v>
      </c>
      <c r="M266" s="248" t="str">
        <f>IFERROR(VLOOKUP(G266,[1]MATERIALES!$D$5:$I$1368,2,FALSE),0)</f>
        <v xml:space="preserve">Suplidores electricos </v>
      </c>
      <c r="N266" s="367" t="e">
        <f t="shared" si="166"/>
        <v>#VALUE!</v>
      </c>
      <c r="O266" s="140" t="e">
        <f t="shared" si="171"/>
        <v>#VALUE!</v>
      </c>
      <c r="P266" s="367" t="e">
        <f t="shared" si="172"/>
        <v>#VALUE!</v>
      </c>
      <c r="Q266" s="140" t="e">
        <f t="shared" si="167"/>
        <v>#VALUE!</v>
      </c>
      <c r="R266" s="368" t="e">
        <f t="shared" si="168"/>
        <v>#VALUE!</v>
      </c>
      <c r="S266" s="140">
        <f t="shared" si="173"/>
        <v>0</v>
      </c>
      <c r="T266" s="139">
        <f t="shared" si="174"/>
        <v>0</v>
      </c>
      <c r="U266" s="357"/>
      <c r="V266" s="358"/>
      <c r="W266" s="144"/>
    </row>
    <row r="267" spans="1:23" ht="15" hidden="1" customHeight="1" outlineLevel="1" thickBot="1">
      <c r="A267" s="353"/>
      <c r="B267" s="359">
        <f t="shared" si="153"/>
        <v>13.04</v>
      </c>
      <c r="C267" s="360" t="s">
        <v>798</v>
      </c>
      <c r="D267" s="360" t="s">
        <v>788</v>
      </c>
      <c r="E267" s="360">
        <v>6</v>
      </c>
      <c r="F267" s="347" t="str">
        <f t="shared" si="169"/>
        <v>120V 1Ø</v>
      </c>
      <c r="G267" s="361" t="str">
        <f>IF(H267="PVC",VLOOKUP(I267,[1]MATERIALES!$C$33:$D$39,2,FALSE),IF(H267="EMT",VLOOKUP(I267,[1]MATERIALES!$C$61:$D$67,2,FALSE),IF(H267="IMC",VLOOKUP(I267,[1]MATERIALES!$C$103:$D$109,2,FALSE),"-")))</f>
        <v>Curva 90 PVC SDR 1/2"</v>
      </c>
      <c r="H267" s="366" t="str">
        <f>H264</f>
        <v>PVC</v>
      </c>
      <c r="I267" s="366" t="str">
        <f>I264</f>
        <v>13mm</v>
      </c>
      <c r="J267" s="316"/>
      <c r="K267" s="345" t="str">
        <f t="shared" si="170"/>
        <v>Unid.</v>
      </c>
      <c r="L267" s="28">
        <f>IF(H267="LFNC",0,(1+L279))</f>
        <v>1</v>
      </c>
      <c r="M267" s="140" t="str">
        <f>IF(H267="LFNC",0,VLOOKUP(G267,[1]MATERIALES!$D$5:$I$1368,2,FALSE))</f>
        <v xml:space="preserve">Suplidores electricos </v>
      </c>
      <c r="N267" s="367" t="e">
        <f t="shared" si="166"/>
        <v>#VALUE!</v>
      </c>
      <c r="O267" s="140" t="e">
        <f t="shared" si="171"/>
        <v>#VALUE!</v>
      </c>
      <c r="P267" s="367" t="e">
        <f t="shared" si="172"/>
        <v>#VALUE!</v>
      </c>
      <c r="Q267" s="140" t="e">
        <f t="shared" si="167"/>
        <v>#VALUE!</v>
      </c>
      <c r="R267" s="368" t="e">
        <f t="shared" si="168"/>
        <v>#VALUE!</v>
      </c>
      <c r="S267" s="140">
        <f t="shared" si="173"/>
        <v>0</v>
      </c>
      <c r="T267" s="139">
        <f t="shared" si="174"/>
        <v>0</v>
      </c>
      <c r="U267" s="357"/>
      <c r="V267" s="358"/>
      <c r="W267" s="144"/>
    </row>
    <row r="268" spans="1:23" ht="15" hidden="1" customHeight="1" outlineLevel="1" thickBot="1">
      <c r="A268" s="353"/>
      <c r="B268" s="359">
        <f t="shared" si="153"/>
        <v>13.049999999999999</v>
      </c>
      <c r="C268" s="360" t="s">
        <v>798</v>
      </c>
      <c r="D268" s="360" t="s">
        <v>788</v>
      </c>
      <c r="E268" s="360">
        <v>6</v>
      </c>
      <c r="F268" s="347" t="str">
        <f t="shared" si="169"/>
        <v>120V 1Ø</v>
      </c>
      <c r="G268" s="361" t="str">
        <f>VLOOKUP(I268,[1]MATERIALES!$C$68:$D$74,2,FALSE)</f>
        <v>Abrazadera EMT 1/2'' </v>
      </c>
      <c r="H268" s="316"/>
      <c r="I268" s="366" t="str">
        <f>I264</f>
        <v>13mm</v>
      </c>
      <c r="J268" s="316"/>
      <c r="K268" s="345" t="str">
        <f t="shared" si="170"/>
        <v>Unid.</v>
      </c>
      <c r="L268" s="28">
        <f>ROUNDUP(J264,0)</f>
        <v>30</v>
      </c>
      <c r="M268" s="248" t="str">
        <f>IFERROR(VLOOKUP(G268,[1]MATERIALES!$D$5:$I$1368,2,FALSE),0)</f>
        <v xml:space="preserve">Suplidores electricos </v>
      </c>
      <c r="N268" s="367" t="e">
        <f t="shared" si="166"/>
        <v>#VALUE!</v>
      </c>
      <c r="O268" s="140" t="e">
        <f t="shared" si="171"/>
        <v>#VALUE!</v>
      </c>
      <c r="P268" s="367" t="e">
        <f t="shared" si="172"/>
        <v>#VALUE!</v>
      </c>
      <c r="Q268" s="140" t="e">
        <f t="shared" si="167"/>
        <v>#VALUE!</v>
      </c>
      <c r="R268" s="368" t="e">
        <f t="shared" si="168"/>
        <v>#VALUE!</v>
      </c>
      <c r="S268" s="140">
        <f t="shared" si="173"/>
        <v>0</v>
      </c>
      <c r="T268" s="139">
        <f t="shared" si="174"/>
        <v>0</v>
      </c>
      <c r="U268" s="357"/>
      <c r="V268" s="358"/>
      <c r="W268" s="144"/>
    </row>
    <row r="269" spans="1:23" ht="15" hidden="1" customHeight="1" outlineLevel="1" thickBot="1">
      <c r="A269" s="353"/>
      <c r="B269" s="359">
        <f t="shared" si="153"/>
        <v>13.059999999999999</v>
      </c>
      <c r="C269" s="360" t="s">
        <v>798</v>
      </c>
      <c r="D269" s="360" t="s">
        <v>788</v>
      </c>
      <c r="E269" s="360">
        <v>6</v>
      </c>
      <c r="F269" s="347" t="str">
        <f t="shared" si="169"/>
        <v>120V 1Ø</v>
      </c>
      <c r="G269" s="361" t="str" cm="1">
        <f t="array" ref="G269">_xlfn.SWITCH(I269,"13mm",(IF(H269="Rectangular",VLOOKUP(I269,[1]MATERIALES!$C$124:$D$125,2,FALSE),IF(H269="Octagonal",VLOOKUP(I269,[1]MATERIALES!$C$126:$D$127,2,FALSE),IF(H269="WP",VLOOKUP(I269,[1]MATERIALES!$C$128:$D$129,2,FALSE),IF(H269="5x5",VLOOKUP(I269,[1]MATERIALES!$C$130:$D$132,2,FALSE)))))),"19mm",(IF(H269="Rectangular",VLOOKUP(I269,[1]MATERIALES!$C$124:$D$125,2,FALSE),IF(H269="Octagonal",VLOOKUP(I269,[1]MATERIALES!$C$126:$D$127,2,FALSE),IF(H269="WP",VLOOKUP(I269,[1]MATERIALES!$C$128:$D$129,2,FALSE),IF(H269="5x5",VLOOKUP(I269,[1]MATERIALES!$C$130:$D$132,2,FALSE)))))),"25mm",IF(H269="Rectangular","-",IF(H269="Octagonal","--",IF(H269="WP","---",IF(H269="5x5",VLOOKUP(I269,[1]MATERIALES!$C$130:$D$132,2,FALSE),0)))),"38mm","-","50mm","-","75mm","-","100mm","-")</f>
        <v>Caja de metal 5x5 nk 1/2"</v>
      </c>
      <c r="H269" s="369" t="s">
        <v>205</v>
      </c>
      <c r="I269" s="366" t="str">
        <f>I264</f>
        <v>13mm</v>
      </c>
      <c r="J269" s="316"/>
      <c r="K269" s="345" t="str">
        <f t="shared" si="170"/>
        <v>Unid.</v>
      </c>
      <c r="L269" s="28">
        <f>1+L279+L280+L281</f>
        <v>6</v>
      </c>
      <c r="M269" s="248" t="str">
        <f>IFERROR(VLOOKUP(G269,[1]MATERIALES!$D$5:$I$1368,2,FALSE),0)</f>
        <v xml:space="preserve">Suplidores electricos </v>
      </c>
      <c r="N269" s="367" t="e">
        <f t="shared" si="166"/>
        <v>#VALUE!</v>
      </c>
      <c r="O269" s="140" t="e">
        <f t="shared" si="171"/>
        <v>#VALUE!</v>
      </c>
      <c r="P269" s="367" t="e">
        <f t="shared" si="172"/>
        <v>#VALUE!</v>
      </c>
      <c r="Q269" s="140" t="e">
        <f t="shared" si="167"/>
        <v>#VALUE!</v>
      </c>
      <c r="R269" s="368" t="e">
        <f t="shared" si="168"/>
        <v>#VALUE!</v>
      </c>
      <c r="S269" s="140">
        <f t="shared" si="173"/>
        <v>0</v>
      </c>
      <c r="T269" s="139">
        <f t="shared" si="174"/>
        <v>0</v>
      </c>
      <c r="U269" s="357"/>
      <c r="V269" s="358"/>
      <c r="W269" s="144"/>
    </row>
    <row r="270" spans="1:23" ht="15" hidden="1" customHeight="1" outlineLevel="1" thickBot="1">
      <c r="A270" s="353"/>
      <c r="B270" s="359">
        <f t="shared" si="153"/>
        <v>13.069999999999999</v>
      </c>
      <c r="C270" s="360" t="s">
        <v>798</v>
      </c>
      <c r="D270" s="360" t="s">
        <v>788</v>
      </c>
      <c r="E270" s="360">
        <v>6</v>
      </c>
      <c r="F270" s="347" t="str">
        <f t="shared" si="169"/>
        <v>120V 1Ø</v>
      </c>
      <c r="G270" s="361" t="str">
        <f>IF(H270="Rectangular",[1]MATERIALES!$D$133,IF(H269="Octagonal",[1]MATERIALES!$D$134,IF(H269="WP",[1]MATERIALES!$D$135,IF(H269="5x5",[1]MATERIALES!$D$136,0))))</f>
        <v>Tapa caja waterproof 2x4</v>
      </c>
      <c r="H270" s="369" t="str">
        <f>H269</f>
        <v>5x5</v>
      </c>
      <c r="I270" s="366" t="str">
        <f>I264</f>
        <v>13mm</v>
      </c>
      <c r="J270" s="316"/>
      <c r="K270" s="345" t="str">
        <f t="shared" si="170"/>
        <v>Unid.</v>
      </c>
      <c r="L270" s="28">
        <f>L269</f>
        <v>6</v>
      </c>
      <c r="M270" s="248" t="str">
        <f>IFERROR(VLOOKUP(G270,[1]MATERIALES!$D$5:$I$1368,2,FALSE),0)</f>
        <v xml:space="preserve">Suplidores electricos </v>
      </c>
      <c r="N270" s="367" t="e">
        <f t="shared" si="166"/>
        <v>#VALUE!</v>
      </c>
      <c r="O270" s="140" t="e">
        <f t="shared" si="171"/>
        <v>#VALUE!</v>
      </c>
      <c r="P270" s="367" t="e">
        <f t="shared" si="172"/>
        <v>#VALUE!</v>
      </c>
      <c r="Q270" s="140" t="e">
        <f t="shared" si="167"/>
        <v>#VALUE!</v>
      </c>
      <c r="R270" s="368" t="e">
        <f t="shared" si="168"/>
        <v>#VALUE!</v>
      </c>
      <c r="S270" s="140">
        <f t="shared" si="173"/>
        <v>0</v>
      </c>
      <c r="T270" s="139">
        <f t="shared" si="174"/>
        <v>0</v>
      </c>
      <c r="U270" s="357"/>
      <c r="V270" s="358"/>
      <c r="W270" s="144"/>
    </row>
    <row r="271" spans="1:23" ht="15" hidden="1" customHeight="1" outlineLevel="1" thickBot="1">
      <c r="A271" s="353"/>
      <c r="B271" s="359">
        <f t="shared" si="153"/>
        <v>13.079999999999998</v>
      </c>
      <c r="C271" s="360" t="s">
        <v>798</v>
      </c>
      <c r="D271" s="360" t="s">
        <v>788</v>
      </c>
      <c r="E271" s="360">
        <v>6</v>
      </c>
      <c r="F271" s="347" t="str">
        <f t="shared" si="169"/>
        <v>120V 1Ø</v>
      </c>
      <c r="G271" s="361" t="str" cm="1">
        <f t="array" ref="G271">_xlfn.SWITCH(I271,"13mm",(IF(H271="Rectangular",VLOOKUP(I271,[1]MATERIALES!$C$124:$D$125,2,FALSE),IF(H271="Octagonal",VLOOKUP(I271,[1]MATERIALES!$C$126:$D$127,2,FALSE),IF(H271="WP",VLOOKUP(I271,[1]MATERIALES!$C$128:$D$129,2,FALSE),IF(H271="5x5",VLOOKUP(I271,[1]MATERIALES!$C$130:$D$132,2,FALSE)))))),"19mm",(IF(H271="Rectangular",VLOOKUP(I271,[1]MATERIALES!$C$124:$D$125,2,FALSE),IF(H271="Octagonal",VLOOKUP(I271,[1]MATERIALES!$C$126:$D$127,2,FALSE),IF(H271="WP",VLOOKUP(I271,[1]MATERIALES!$C$128:$D$129,2,FALSE),IF(H271="5x5",VLOOKUP(I271,[1]MATERIALES!$C$130:$D$132,2,FALSE)))))),"25mm",IF(H271="Rectangular","-",IF(H271="Octagonal","--",IF(H271="WP","---",IF(H271="5x5",VLOOKUP(I271,[1]MATERIALES!$C$130:$D$132,2,FALSE),0)))),"38mm","-","50mm","-","75mm","-","100mm","-")</f>
        <v>Caja EMT 2x4 1/2" USA UL</v>
      </c>
      <c r="H271" s="369" t="s">
        <v>188</v>
      </c>
      <c r="I271" s="366" t="str">
        <f>I266</f>
        <v>13mm</v>
      </c>
      <c r="J271" s="316"/>
      <c r="K271" s="345" t="str">
        <f t="shared" si="170"/>
        <v>Unid.</v>
      </c>
      <c r="L271" s="28">
        <f>L279+L280</f>
        <v>0</v>
      </c>
      <c r="M271" s="248" t="str">
        <f>IFERROR(VLOOKUP(G271,[1]MATERIALES!$D$5:$I$1368,2,FALSE),0)</f>
        <v xml:space="preserve">Suplidores electricos </v>
      </c>
      <c r="N271" s="367" t="e">
        <f t="shared" si="166"/>
        <v>#VALUE!</v>
      </c>
      <c r="O271" s="140" t="e">
        <f t="shared" si="171"/>
        <v>#VALUE!</v>
      </c>
      <c r="P271" s="367" t="e">
        <f t="shared" si="172"/>
        <v>#VALUE!</v>
      </c>
      <c r="Q271" s="140" t="e">
        <f t="shared" si="167"/>
        <v>#VALUE!</v>
      </c>
      <c r="R271" s="368" t="e">
        <f t="shared" si="168"/>
        <v>#VALUE!</v>
      </c>
      <c r="S271" s="140">
        <f t="shared" si="173"/>
        <v>0</v>
      </c>
      <c r="T271" s="139">
        <f t="shared" si="174"/>
        <v>0</v>
      </c>
      <c r="U271" s="357"/>
      <c r="V271" s="358"/>
      <c r="W271" s="144"/>
    </row>
    <row r="272" spans="1:23" ht="15" hidden="1" customHeight="1" outlineLevel="1" thickBot="1">
      <c r="A272" s="353"/>
      <c r="B272" s="359">
        <f t="shared" si="153"/>
        <v>13.089999999999998</v>
      </c>
      <c r="C272" s="360" t="s">
        <v>798</v>
      </c>
      <c r="D272" s="360" t="s">
        <v>788</v>
      </c>
      <c r="E272" s="360">
        <v>6</v>
      </c>
      <c r="F272" s="347" t="str">
        <f t="shared" si="169"/>
        <v>120V 1Ø</v>
      </c>
      <c r="G272" s="361" t="str">
        <f>IF(H272="Rectangular",[1]MATERIALES!$D$133,IF(H271="Octagonal",[1]MATERIALES!$D$134,IF(H271="WP",[1]MATERIALES!#REF!,IF(H271="5x5",[1]MATERIALES!$D$136,0))))</f>
        <v>CAJA REG. 12X12X4 N3R</v>
      </c>
      <c r="H272" s="369" t="str">
        <f>H271</f>
        <v>Rectangular</v>
      </c>
      <c r="I272" s="366" t="str">
        <f>I266</f>
        <v>13mm</v>
      </c>
      <c r="J272" s="316"/>
      <c r="K272" s="345" t="str">
        <f t="shared" si="170"/>
        <v>Unid.</v>
      </c>
      <c r="L272" s="28">
        <f>L271</f>
        <v>0</v>
      </c>
      <c r="M272" s="248" t="str">
        <f>IFERROR(VLOOKUP(G272,[1]MATERIALES!$D$5:$I$1368,2,FALSE),0)</f>
        <v xml:space="preserve">Suplidores electricos </v>
      </c>
      <c r="N272" s="367" t="e">
        <f t="shared" si="166"/>
        <v>#VALUE!</v>
      </c>
      <c r="O272" s="140" t="e">
        <f t="shared" si="171"/>
        <v>#VALUE!</v>
      </c>
      <c r="P272" s="367" t="e">
        <f t="shared" si="172"/>
        <v>#VALUE!</v>
      </c>
      <c r="Q272" s="140" t="e">
        <f t="shared" si="167"/>
        <v>#VALUE!</v>
      </c>
      <c r="R272" s="368" t="e">
        <f t="shared" si="168"/>
        <v>#VALUE!</v>
      </c>
      <c r="S272" s="140">
        <f t="shared" si="173"/>
        <v>0</v>
      </c>
      <c r="T272" s="139">
        <f t="shared" si="174"/>
        <v>0</v>
      </c>
      <c r="U272" s="357"/>
      <c r="V272" s="358"/>
      <c r="W272" s="144"/>
    </row>
    <row r="273" spans="1:23" ht="15" hidden="1" customHeight="1" outlineLevel="1" thickBot="1">
      <c r="A273" s="353"/>
      <c r="B273" s="359">
        <f t="shared" si="153"/>
        <v>13.099999999999998</v>
      </c>
      <c r="C273" s="360" t="s">
        <v>798</v>
      </c>
      <c r="D273" s="360" t="s">
        <v>788</v>
      </c>
      <c r="E273" s="360">
        <v>6</v>
      </c>
      <c r="F273" s="347" t="str">
        <f t="shared" si="169"/>
        <v>120V 1Ø</v>
      </c>
      <c r="G273" s="371" t="str">
        <f>"Fase A"&amp;": "&amp;I273</f>
        <v>Fase A: Conductor 12 AWG THHN</v>
      </c>
      <c r="H273" s="366" t="s">
        <v>181</v>
      </c>
      <c r="I273" s="366" t="s">
        <v>189</v>
      </c>
      <c r="J273" s="366">
        <f>J264</f>
        <v>29.19</v>
      </c>
      <c r="K273" s="345" t="str">
        <f>IF(OR(H273="Conductores Americanos",H273="Conductores Europeos"),"Pies","Unid.")</f>
        <v>Pies</v>
      </c>
      <c r="L273" s="28">
        <f t="shared" ref="L273:L278" si="175">ROUNDUP(J273*3.28,0)</f>
        <v>96</v>
      </c>
      <c r="M273" s="140" t="str">
        <f>VLOOKUP(I273,[1]MATERIALES!$D$5:$I$1368,2,FALSE)</f>
        <v xml:space="preserve">Suplidores electricos </v>
      </c>
      <c r="N273" s="367" t="e">
        <f t="shared" si="166"/>
        <v>#VALUE!</v>
      </c>
      <c r="O273" s="140" t="e">
        <f t="shared" si="171"/>
        <v>#VALUE!</v>
      </c>
      <c r="P273" s="367" t="e">
        <f t="shared" si="172"/>
        <v>#VALUE!</v>
      </c>
      <c r="Q273" s="140" t="e">
        <f t="shared" si="167"/>
        <v>#VALUE!</v>
      </c>
      <c r="R273" s="368" t="e">
        <f t="shared" si="168"/>
        <v>#VALUE!</v>
      </c>
      <c r="S273" s="140">
        <f t="shared" si="173"/>
        <v>0</v>
      </c>
      <c r="T273" s="139">
        <f t="shared" si="174"/>
        <v>0</v>
      </c>
      <c r="U273" s="357"/>
      <c r="V273" s="358"/>
      <c r="W273" s="144"/>
    </row>
    <row r="274" spans="1:23" ht="15" hidden="1" customHeight="1" outlineLevel="1" thickBot="1">
      <c r="A274" s="353"/>
      <c r="B274" s="359">
        <f t="shared" si="153"/>
        <v>13.109999999999998</v>
      </c>
      <c r="C274" s="360" t="s">
        <v>798</v>
      </c>
      <c r="D274" s="360" t="s">
        <v>788</v>
      </c>
      <c r="E274" s="360">
        <v>6</v>
      </c>
      <c r="F274" s="347" t="str">
        <f t="shared" si="169"/>
        <v>120V 1Ø</v>
      </c>
      <c r="G274" s="371" t="str">
        <f>IF(F274="120V 1Ø","-",("Fase B"&amp;": "&amp;I274))</f>
        <v>-</v>
      </c>
      <c r="H274" s="366" t="str">
        <f t="shared" ref="H274:I277" si="176">H273</f>
        <v>Conductores Americanos</v>
      </c>
      <c r="I274" s="366" t="str">
        <f t="shared" si="176"/>
        <v>Conductor 12 AWG THHN</v>
      </c>
      <c r="J274" s="366">
        <f>IF(G274="-",0,J264)</f>
        <v>0</v>
      </c>
      <c r="K274" s="345" t="str">
        <f t="shared" ref="K274:K283" si="177">IF(OR(H274="Conductores Americanos",H274="Conductores Europeos"),"Pies","Unid.")</f>
        <v>Pies</v>
      </c>
      <c r="L274" s="28">
        <f t="shared" si="175"/>
        <v>0</v>
      </c>
      <c r="M274" s="140" t="str">
        <f>VLOOKUP(I274,[1]MATERIALES!$D$5:$I$1368,2,FALSE)</f>
        <v xml:space="preserve">Suplidores electricos </v>
      </c>
      <c r="N274" s="367" t="e">
        <f t="shared" si="166"/>
        <v>#VALUE!</v>
      </c>
      <c r="O274" s="140" t="e">
        <f t="shared" si="171"/>
        <v>#VALUE!</v>
      </c>
      <c r="P274" s="367" t="e">
        <f t="shared" si="172"/>
        <v>#VALUE!</v>
      </c>
      <c r="Q274" s="140" t="e">
        <f t="shared" si="167"/>
        <v>#VALUE!</v>
      </c>
      <c r="R274" s="368" t="e">
        <f t="shared" si="168"/>
        <v>#VALUE!</v>
      </c>
      <c r="S274" s="140">
        <f t="shared" si="173"/>
        <v>0</v>
      </c>
      <c r="T274" s="139">
        <f t="shared" si="174"/>
        <v>0</v>
      </c>
      <c r="U274" s="357"/>
      <c r="V274" s="358"/>
      <c r="W274" s="144"/>
    </row>
    <row r="275" spans="1:23" ht="15" hidden="1" customHeight="1" outlineLevel="1" thickBot="1">
      <c r="A275" s="353"/>
      <c r="B275" s="359">
        <f t="shared" si="153"/>
        <v>13.119999999999997</v>
      </c>
      <c r="C275" s="360" t="s">
        <v>798</v>
      </c>
      <c r="D275" s="360" t="s">
        <v>788</v>
      </c>
      <c r="E275" s="360">
        <v>6</v>
      </c>
      <c r="F275" s="347" t="str">
        <f t="shared" si="169"/>
        <v>120V 1Ø</v>
      </c>
      <c r="G275" s="371" t="str">
        <f>IF(F275="120V 1Ø","-",IF(F275="240V 1Ø","-",("Fase C"&amp;": "&amp;I273)))</f>
        <v>-</v>
      </c>
      <c r="H275" s="366" t="str">
        <f t="shared" si="176"/>
        <v>Conductores Americanos</v>
      </c>
      <c r="I275" s="366" t="str">
        <f t="shared" si="176"/>
        <v>Conductor 12 AWG THHN</v>
      </c>
      <c r="J275" s="366">
        <f>IF(G275="-",0,J265)</f>
        <v>0</v>
      </c>
      <c r="K275" s="345" t="str">
        <f t="shared" si="177"/>
        <v>Pies</v>
      </c>
      <c r="L275" s="28">
        <f t="shared" si="175"/>
        <v>0</v>
      </c>
      <c r="M275" s="140" t="str">
        <f>VLOOKUP(I275,[1]MATERIALES!$D$5:$I$1368,2,FALSE)</f>
        <v xml:space="preserve">Suplidores electricos </v>
      </c>
      <c r="N275" s="367" t="e">
        <f t="shared" si="166"/>
        <v>#VALUE!</v>
      </c>
      <c r="O275" s="140" t="e">
        <f t="shared" si="171"/>
        <v>#VALUE!</v>
      </c>
      <c r="P275" s="367" t="e">
        <f t="shared" si="172"/>
        <v>#VALUE!</v>
      </c>
      <c r="Q275" s="140" t="e">
        <f t="shared" si="167"/>
        <v>#VALUE!</v>
      </c>
      <c r="R275" s="368" t="e">
        <f t="shared" si="168"/>
        <v>#VALUE!</v>
      </c>
      <c r="S275" s="140">
        <f t="shared" si="173"/>
        <v>0</v>
      </c>
      <c r="T275" s="139">
        <f t="shared" si="174"/>
        <v>0</v>
      </c>
      <c r="U275" s="357"/>
      <c r="V275" s="358"/>
      <c r="W275" s="144"/>
    </row>
    <row r="276" spans="1:23" ht="15" hidden="1" customHeight="1" outlineLevel="1" thickBot="1">
      <c r="A276" s="353"/>
      <c r="B276" s="359">
        <f t="shared" si="153"/>
        <v>13.129999999999997</v>
      </c>
      <c r="C276" s="360" t="s">
        <v>798</v>
      </c>
      <c r="D276" s="360" t="s">
        <v>788</v>
      </c>
      <c r="E276" s="360">
        <v>6</v>
      </c>
      <c r="F276" s="347" t="str">
        <f t="shared" si="169"/>
        <v>120V 1Ø</v>
      </c>
      <c r="G276" s="372" t="str">
        <f>"Retorno"&amp;": "&amp;I276</f>
        <v>Retorno: Conductor 12 AWG THHN</v>
      </c>
      <c r="H276" s="366" t="str">
        <f t="shared" si="176"/>
        <v>Conductores Americanos</v>
      </c>
      <c r="I276" s="366" t="str">
        <f t="shared" si="176"/>
        <v>Conductor 12 AWG THHN</v>
      </c>
      <c r="J276" s="366">
        <f>J273/3+J273*L280/3</f>
        <v>9.73</v>
      </c>
      <c r="K276" s="345" t="str">
        <f t="shared" si="177"/>
        <v>Pies</v>
      </c>
      <c r="L276" s="28">
        <f t="shared" si="175"/>
        <v>32</v>
      </c>
      <c r="M276" s="140" t="str">
        <f>VLOOKUP(I276,[1]MATERIALES!$D$5:$I$1368,2,FALSE)</f>
        <v xml:space="preserve">Suplidores electricos </v>
      </c>
      <c r="N276" s="367" t="e">
        <f t="shared" si="166"/>
        <v>#VALUE!</v>
      </c>
      <c r="O276" s="140" t="e">
        <f t="shared" si="171"/>
        <v>#VALUE!</v>
      </c>
      <c r="P276" s="367" t="e">
        <f t="shared" si="172"/>
        <v>#VALUE!</v>
      </c>
      <c r="Q276" s="140" t="e">
        <f t="shared" si="167"/>
        <v>#VALUE!</v>
      </c>
      <c r="R276" s="368" t="e">
        <f t="shared" si="168"/>
        <v>#VALUE!</v>
      </c>
      <c r="S276" s="140">
        <f t="shared" si="173"/>
        <v>0</v>
      </c>
      <c r="T276" s="139">
        <f t="shared" si="174"/>
        <v>0</v>
      </c>
      <c r="U276" s="357"/>
      <c r="V276" s="358"/>
      <c r="W276" s="144"/>
    </row>
    <row r="277" spans="1:23" ht="15" hidden="1" customHeight="1" outlineLevel="1" thickBot="1">
      <c r="A277" s="353"/>
      <c r="B277" s="359">
        <f t="shared" si="153"/>
        <v>13.139999999999997</v>
      </c>
      <c r="C277" s="360" t="s">
        <v>798</v>
      </c>
      <c r="D277" s="360" t="s">
        <v>788</v>
      </c>
      <c r="E277" s="360">
        <v>6</v>
      </c>
      <c r="F277" s="347" t="str">
        <f t="shared" si="169"/>
        <v>120V 1Ø</v>
      </c>
      <c r="G277" s="372" t="str">
        <f>IF(F277="240V 1Ø","-",IF(F277="480V 3Ø","-",("Neutro"&amp;": "&amp;I274)))</f>
        <v>Neutro: Conductor 12 AWG THHN</v>
      </c>
      <c r="H277" s="366" t="str">
        <f>H275</f>
        <v>Conductores Americanos</v>
      </c>
      <c r="I277" s="366" t="str">
        <f t="shared" si="176"/>
        <v>Conductor 12 AWG THHN</v>
      </c>
      <c r="J277" s="366">
        <f>IF(G277="-",0,J264)</f>
        <v>29.19</v>
      </c>
      <c r="K277" s="345" t="str">
        <f t="shared" si="177"/>
        <v>Pies</v>
      </c>
      <c r="L277" s="28">
        <f t="shared" si="175"/>
        <v>96</v>
      </c>
      <c r="M277" s="140" t="str">
        <f>VLOOKUP(I277,[1]MATERIALES!$D$5:$I$1368,2,FALSE)</f>
        <v xml:space="preserve">Suplidores electricos </v>
      </c>
      <c r="N277" s="367" t="e">
        <f t="shared" si="166"/>
        <v>#VALUE!</v>
      </c>
      <c r="O277" s="140" t="e">
        <f t="shared" si="171"/>
        <v>#VALUE!</v>
      </c>
      <c r="P277" s="367" t="e">
        <f t="shared" si="172"/>
        <v>#VALUE!</v>
      </c>
      <c r="Q277" s="140" t="e">
        <f t="shared" si="167"/>
        <v>#VALUE!</v>
      </c>
      <c r="R277" s="368" t="e">
        <f t="shared" si="168"/>
        <v>#VALUE!</v>
      </c>
      <c r="S277" s="140">
        <f t="shared" si="173"/>
        <v>0</v>
      </c>
      <c r="T277" s="139">
        <f t="shared" si="174"/>
        <v>0</v>
      </c>
      <c r="U277" s="357"/>
      <c r="V277" s="358"/>
      <c r="W277" s="144"/>
    </row>
    <row r="278" spans="1:23" ht="15" hidden="1" customHeight="1" outlineLevel="1" thickBot="1">
      <c r="A278" s="353"/>
      <c r="B278" s="359">
        <f t="shared" si="153"/>
        <v>13.149999999999997</v>
      </c>
      <c r="C278" s="360" t="s">
        <v>798</v>
      </c>
      <c r="D278" s="360" t="s">
        <v>788</v>
      </c>
      <c r="E278" s="360">
        <v>6</v>
      </c>
      <c r="F278" s="347" t="str">
        <f t="shared" si="169"/>
        <v>120V 1Ø</v>
      </c>
      <c r="G278" s="372" t="str">
        <f>"Tierra"&amp;": "&amp;I278</f>
        <v>Tierra: Conductor 12 AWG THHN</v>
      </c>
      <c r="H278" s="366" t="str">
        <f>H277</f>
        <v>Conductores Americanos</v>
      </c>
      <c r="I278" s="366" t="str">
        <f>I277</f>
        <v>Conductor 12 AWG THHN</v>
      </c>
      <c r="J278" s="366">
        <f>J264</f>
        <v>29.19</v>
      </c>
      <c r="K278" s="345" t="str">
        <f t="shared" si="177"/>
        <v>Pies</v>
      </c>
      <c r="L278" s="28">
        <f t="shared" si="175"/>
        <v>96</v>
      </c>
      <c r="M278" s="140" t="str">
        <f>VLOOKUP(I278,[1]MATERIALES!$D$5:$I$1368,2,FALSE)</f>
        <v xml:space="preserve">Suplidores electricos </v>
      </c>
      <c r="N278" s="367" t="e">
        <f t="shared" si="166"/>
        <v>#VALUE!</v>
      </c>
      <c r="O278" s="140" t="e">
        <f t="shared" si="171"/>
        <v>#VALUE!</v>
      </c>
      <c r="P278" s="367" t="e">
        <f t="shared" si="172"/>
        <v>#VALUE!</v>
      </c>
      <c r="Q278" s="140" t="e">
        <f t="shared" si="167"/>
        <v>#VALUE!</v>
      </c>
      <c r="R278" s="368" t="e">
        <f t="shared" si="168"/>
        <v>#VALUE!</v>
      </c>
      <c r="S278" s="140">
        <f t="shared" si="173"/>
        <v>0</v>
      </c>
      <c r="T278" s="139">
        <f t="shared" si="174"/>
        <v>0</v>
      </c>
      <c r="U278" s="357"/>
      <c r="V278" s="358"/>
      <c r="W278" s="144"/>
    </row>
    <row r="279" spans="1:23" ht="15" hidden="1" customHeight="1" outlineLevel="1" thickBot="1">
      <c r="A279" s="353"/>
      <c r="B279" s="359">
        <f t="shared" si="153"/>
        <v>13.159999999999997</v>
      </c>
      <c r="C279" s="360" t="s">
        <v>798</v>
      </c>
      <c r="D279" s="360" t="s">
        <v>788</v>
      </c>
      <c r="E279" s="360">
        <v>6</v>
      </c>
      <c r="F279" s="347" t="str">
        <f t="shared" si="169"/>
        <v>120V 1Ø</v>
      </c>
      <c r="G279" s="361" t="str" cm="1">
        <f t="array" ref="G279">IFERROR(VLOOKUP(H279&amp;"|"&amp;I279,CHOOSE({1,2},[1]MATERIALES!$B$186:B2048&amp;"|"&amp;[1]MATERIALES!$C$186:$C$198,[1]MATERIALES!$D$186:$D$198),2,0),"-")</f>
        <v>-</v>
      </c>
      <c r="H279" s="373" t="s">
        <v>382</v>
      </c>
      <c r="I279" s="373" t="s">
        <v>469</v>
      </c>
      <c r="J279" s="316"/>
      <c r="K279" s="345" t="str">
        <f t="shared" si="177"/>
        <v>Unid.</v>
      </c>
      <c r="L279" s="218">
        <v>0</v>
      </c>
      <c r="M279" s="248">
        <f>IFERROR(VLOOKUP(G279,[1]MATERIALES!$D$5:$I$1368,2,FALSE),0)</f>
        <v>0</v>
      </c>
      <c r="N279" s="367">
        <f t="shared" si="166"/>
        <v>0</v>
      </c>
      <c r="O279" s="140">
        <f t="shared" si="171"/>
        <v>0</v>
      </c>
      <c r="P279" s="367">
        <f t="shared" si="172"/>
        <v>0</v>
      </c>
      <c r="Q279" s="140">
        <f t="shared" si="167"/>
        <v>0</v>
      </c>
      <c r="R279" s="368">
        <f t="shared" si="168"/>
        <v>0</v>
      </c>
      <c r="S279" s="140">
        <f t="shared" si="173"/>
        <v>0</v>
      </c>
      <c r="T279" s="139">
        <f t="shared" si="174"/>
        <v>0</v>
      </c>
      <c r="U279" s="357"/>
      <c r="V279" s="358"/>
      <c r="W279" s="144"/>
    </row>
    <row r="280" spans="1:23" ht="15" hidden="1" customHeight="1" outlineLevel="1" thickBot="1">
      <c r="A280" s="353"/>
      <c r="B280" s="359">
        <f t="shared" si="153"/>
        <v>13.169999999999996</v>
      </c>
      <c r="C280" s="360" t="s">
        <v>798</v>
      </c>
      <c r="D280" s="360" t="s">
        <v>788</v>
      </c>
      <c r="E280" s="360">
        <v>6</v>
      </c>
      <c r="F280" s="347" t="str">
        <f t="shared" si="169"/>
        <v>120V 1Ø</v>
      </c>
      <c r="G280" s="361" t="str" cm="1">
        <f t="array" ref="G280">IFERROR(VLOOKUP(H280&amp;"|"&amp;I280,CHOOSE({1,2},[1]MATERIALES!$B$186:B2049&amp;"|"&amp;[1]MATERIALES!$C$186:$C$198,[1]MATERIALES!$D$186:$D$198),2,0),"-")</f>
        <v>-</v>
      </c>
      <c r="H280" s="373" t="s">
        <v>382</v>
      </c>
      <c r="I280" s="373" t="s">
        <v>469</v>
      </c>
      <c r="J280" s="316"/>
      <c r="K280" s="345" t="str">
        <f t="shared" si="177"/>
        <v>Unid.</v>
      </c>
      <c r="L280" s="218">
        <v>0</v>
      </c>
      <c r="M280" s="248">
        <f>IFERROR(VLOOKUP(G280,[1]MATERIALES!$D$5:$I$1368,2,FALSE),0)</f>
        <v>0</v>
      </c>
      <c r="N280" s="367">
        <f t="shared" si="166"/>
        <v>0</v>
      </c>
      <c r="O280" s="140">
        <f t="shared" si="171"/>
        <v>0</v>
      </c>
      <c r="P280" s="367">
        <f t="shared" si="172"/>
        <v>0</v>
      </c>
      <c r="Q280" s="140">
        <f t="shared" si="167"/>
        <v>0</v>
      </c>
      <c r="R280" s="368">
        <f t="shared" si="168"/>
        <v>0</v>
      </c>
      <c r="S280" s="140">
        <f t="shared" si="173"/>
        <v>0</v>
      </c>
      <c r="T280" s="139">
        <f t="shared" si="174"/>
        <v>0</v>
      </c>
      <c r="U280" s="357"/>
      <c r="V280" s="358"/>
      <c r="W280" s="144"/>
    </row>
    <row r="281" spans="1:23" ht="15" hidden="1" customHeight="1" outlineLevel="1" thickBot="1">
      <c r="A281" s="353"/>
      <c r="B281" s="359">
        <f t="shared" si="153"/>
        <v>13.179999999999996</v>
      </c>
      <c r="C281" s="360" t="s">
        <v>798</v>
      </c>
      <c r="D281" s="360" t="s">
        <v>788</v>
      </c>
      <c r="E281" s="360">
        <v>6</v>
      </c>
      <c r="F281" s="347" t="str">
        <f t="shared" si="169"/>
        <v>120V 1Ø</v>
      </c>
      <c r="G281" s="361" t="s">
        <v>794</v>
      </c>
      <c r="H281" s="316"/>
      <c r="I281" s="316"/>
      <c r="J281" s="316"/>
      <c r="K281" s="345" t="str">
        <f t="shared" si="177"/>
        <v>Unid.</v>
      </c>
      <c r="L281" s="218">
        <v>5</v>
      </c>
      <c r="M281" s="248">
        <f>IFERROR(VLOOKUP(G281,[1]MATERIALES!$D$5:$I$1368,2,FALSE),0)</f>
        <v>0</v>
      </c>
      <c r="N281" s="367">
        <f t="shared" si="166"/>
        <v>0</v>
      </c>
      <c r="O281" s="140">
        <f t="shared" si="171"/>
        <v>0</v>
      </c>
      <c r="P281" s="367">
        <f t="shared" si="172"/>
        <v>0</v>
      </c>
      <c r="Q281" s="140">
        <f t="shared" si="167"/>
        <v>0</v>
      </c>
      <c r="R281" s="368">
        <f t="shared" si="168"/>
        <v>0</v>
      </c>
      <c r="S281" s="140">
        <f t="shared" si="173"/>
        <v>0</v>
      </c>
      <c r="T281" s="139">
        <f t="shared" si="174"/>
        <v>0</v>
      </c>
      <c r="U281" s="357"/>
      <c r="V281" s="358"/>
      <c r="W281" s="144"/>
    </row>
    <row r="282" spans="1:23" ht="15" hidden="1" customHeight="1" outlineLevel="1" thickBot="1">
      <c r="A282" s="353"/>
      <c r="B282" s="359">
        <f t="shared" si="153"/>
        <v>13.189999999999996</v>
      </c>
      <c r="C282" s="360" t="s">
        <v>798</v>
      </c>
      <c r="D282" s="360" t="s">
        <v>788</v>
      </c>
      <c r="E282" s="360">
        <v>6</v>
      </c>
      <c r="F282" s="347" t="str">
        <f t="shared" si="169"/>
        <v>120V 1Ø</v>
      </c>
      <c r="G282" s="361" t="s">
        <v>799</v>
      </c>
      <c r="H282" s="316"/>
      <c r="I282" s="316"/>
      <c r="J282" s="316"/>
      <c r="K282" s="345" t="str">
        <f t="shared" si="177"/>
        <v>Unid.</v>
      </c>
      <c r="L282" s="218">
        <v>2</v>
      </c>
      <c r="M282" s="248">
        <f>IFERROR(VLOOKUP(G282,[1]MATERIALES!$D$5:$I$1368,2,FALSE),0)</f>
        <v>0</v>
      </c>
      <c r="N282" s="367">
        <f t="shared" si="166"/>
        <v>0</v>
      </c>
      <c r="O282" s="140">
        <f t="shared" si="171"/>
        <v>0</v>
      </c>
      <c r="P282" s="367">
        <f t="shared" si="172"/>
        <v>0</v>
      </c>
      <c r="Q282" s="140">
        <f t="shared" si="167"/>
        <v>0</v>
      </c>
      <c r="R282" s="368">
        <f t="shared" si="168"/>
        <v>0</v>
      </c>
      <c r="S282" s="140">
        <f t="shared" si="173"/>
        <v>0</v>
      </c>
      <c r="T282" s="139">
        <f t="shared" si="174"/>
        <v>0</v>
      </c>
      <c r="U282" s="357"/>
      <c r="V282" s="358"/>
      <c r="W282" s="144"/>
    </row>
    <row r="283" spans="1:23" ht="15" hidden="1" customHeight="1" outlineLevel="1" thickBot="1">
      <c r="A283" s="353"/>
      <c r="B283" s="359">
        <f>B281+0.01</f>
        <v>13.189999999999996</v>
      </c>
      <c r="C283" s="360" t="s">
        <v>798</v>
      </c>
      <c r="D283" s="360" t="s">
        <v>788</v>
      </c>
      <c r="E283" s="360">
        <v>6</v>
      </c>
      <c r="F283" s="347" t="str">
        <f>F281</f>
        <v>120V 1Ø</v>
      </c>
      <c r="G283" s="361" t="s">
        <v>422</v>
      </c>
      <c r="H283" s="316"/>
      <c r="I283" s="316"/>
      <c r="J283" s="316"/>
      <c r="K283" s="345" t="str">
        <f t="shared" si="177"/>
        <v>Unid.</v>
      </c>
      <c r="L283" s="345">
        <f>3*(L269)</f>
        <v>18</v>
      </c>
      <c r="M283" s="248">
        <f>IFERROR(VLOOKUP(G283,[1]MATERIALES!$D$5:$I$1368,2,FALSE),0)</f>
        <v>0</v>
      </c>
      <c r="N283" s="367">
        <f t="shared" si="166"/>
        <v>0</v>
      </c>
      <c r="O283" s="140">
        <f t="shared" si="171"/>
        <v>0</v>
      </c>
      <c r="P283" s="367">
        <f t="shared" si="172"/>
        <v>0</v>
      </c>
      <c r="Q283" s="140">
        <f t="shared" si="167"/>
        <v>0</v>
      </c>
      <c r="R283" s="368">
        <f t="shared" si="168"/>
        <v>0</v>
      </c>
      <c r="S283" s="140">
        <f t="shared" si="173"/>
        <v>0</v>
      </c>
      <c r="T283" s="139">
        <f t="shared" si="174"/>
        <v>0</v>
      </c>
      <c r="U283" s="357" t="e">
        <f>SUM(R283:R285)</f>
        <v>#VALUE!</v>
      </c>
      <c r="V283" s="358" t="e">
        <f>'[1]1. OFERTA'!#REF!</f>
        <v>#REF!</v>
      </c>
      <c r="W283" s="144" t="e">
        <f>U283-V283</f>
        <v>#VALUE!</v>
      </c>
    </row>
    <row r="284" spans="1:23" ht="15" hidden="1" customHeight="1" outlineLevel="1" thickBot="1">
      <c r="A284" s="353"/>
      <c r="B284" s="359">
        <f t="shared" si="153"/>
        <v>13.199999999999996</v>
      </c>
      <c r="C284" s="360" t="s">
        <v>798</v>
      </c>
      <c r="D284" s="360" t="s">
        <v>788</v>
      </c>
      <c r="E284" s="360">
        <v>6</v>
      </c>
      <c r="F284" s="347" t="str">
        <f t="shared" si="169"/>
        <v>120V 1Ø</v>
      </c>
      <c r="G284" s="361" t="s">
        <v>424</v>
      </c>
      <c r="H284" s="316"/>
      <c r="I284" s="316"/>
      <c r="J284" s="316"/>
      <c r="K284" s="345" t="s">
        <v>784</v>
      </c>
      <c r="L284" s="28">
        <f>ROUNDUP(L268+L269+L271,0)</f>
        <v>36</v>
      </c>
      <c r="M284" s="248">
        <f>IFERROR(VLOOKUP(G284,[1]MATERIALES!$D$5:$I$1368,2,FALSE),0)</f>
        <v>0</v>
      </c>
      <c r="N284" s="367">
        <f t="shared" si="166"/>
        <v>0</v>
      </c>
      <c r="O284" s="140">
        <f t="shared" si="171"/>
        <v>0</v>
      </c>
      <c r="P284" s="367">
        <f t="shared" si="172"/>
        <v>0</v>
      </c>
      <c r="Q284" s="140">
        <f t="shared" si="167"/>
        <v>0</v>
      </c>
      <c r="R284" s="368">
        <f t="shared" si="168"/>
        <v>0</v>
      </c>
      <c r="S284" s="140">
        <f t="shared" si="173"/>
        <v>0</v>
      </c>
      <c r="T284" s="139">
        <f t="shared" si="174"/>
        <v>0</v>
      </c>
      <c r="U284" s="357"/>
      <c r="V284" s="358"/>
      <c r="W284" s="144"/>
    </row>
    <row r="285" spans="1:23" ht="15" hidden="1" customHeight="1" outlineLevel="1" thickBot="1">
      <c r="A285" s="353"/>
      <c r="B285" s="359">
        <f t="shared" si="153"/>
        <v>13.209999999999996</v>
      </c>
      <c r="C285" s="360" t="s">
        <v>798</v>
      </c>
      <c r="D285" s="360" t="s">
        <v>788</v>
      </c>
      <c r="E285" s="360">
        <v>6</v>
      </c>
      <c r="F285" s="347" t="str">
        <f t="shared" si="169"/>
        <v>120V 1Ø</v>
      </c>
      <c r="G285" s="361" t="s">
        <v>168</v>
      </c>
      <c r="H285" s="316"/>
      <c r="I285" s="316"/>
      <c r="J285" s="316"/>
      <c r="K285" s="345" t="s">
        <v>784</v>
      </c>
      <c r="L285" s="28">
        <f>L284</f>
        <v>36</v>
      </c>
      <c r="M285" s="248" t="str">
        <f>IFERROR(VLOOKUP(G285,[1]MATERIALES!$D$5:$I$1368,2,FALSE),0)</f>
        <v xml:space="preserve">Marba Dominicana </v>
      </c>
      <c r="N285" s="367" t="e">
        <f t="shared" si="166"/>
        <v>#VALUE!</v>
      </c>
      <c r="O285" s="140" t="e">
        <f t="shared" si="171"/>
        <v>#VALUE!</v>
      </c>
      <c r="P285" s="367" t="e">
        <f t="shared" si="172"/>
        <v>#VALUE!</v>
      </c>
      <c r="Q285" s="140" t="e">
        <f t="shared" si="167"/>
        <v>#VALUE!</v>
      </c>
      <c r="R285" s="368" t="e">
        <f t="shared" si="168"/>
        <v>#VALUE!</v>
      </c>
      <c r="S285" s="140">
        <f t="shared" si="173"/>
        <v>0</v>
      </c>
      <c r="T285" s="139">
        <f t="shared" si="174"/>
        <v>0</v>
      </c>
      <c r="U285" s="357"/>
      <c r="V285" s="358"/>
      <c r="W285" s="144"/>
    </row>
    <row r="286" spans="1:23" ht="15" customHeight="1" collapsed="1" thickBot="1">
      <c r="A286" s="353"/>
      <c r="B286" s="354">
        <v>14</v>
      </c>
      <c r="C286" s="355" t="s">
        <v>800</v>
      </c>
      <c r="D286" s="269" t="s">
        <v>788</v>
      </c>
      <c r="E286" s="269">
        <v>7</v>
      </c>
      <c r="F286" s="270" t="s">
        <v>783</v>
      </c>
      <c r="G286" s="271"/>
      <c r="H286" s="272"/>
      <c r="I286" s="272"/>
      <c r="J286" s="272"/>
      <c r="K286" s="268"/>
      <c r="L286" s="268"/>
      <c r="M286" s="273"/>
      <c r="N286" s="274"/>
      <c r="O286" s="273"/>
      <c r="P286" s="274"/>
      <c r="Q286" s="273"/>
      <c r="R286" s="275"/>
      <c r="S286" s="273"/>
      <c r="T286" s="276"/>
      <c r="U286" s="357" t="e">
        <f>SUM(R287:R307)</f>
        <v>#VALUE!</v>
      </c>
      <c r="V286" s="358" t="e">
        <f>'[1]1. OFERTA'!#REF!</f>
        <v>#REF!</v>
      </c>
      <c r="W286" s="144" t="e">
        <f>U286-V286</f>
        <v>#VALUE!</v>
      </c>
    </row>
    <row r="287" spans="1:23" ht="15" hidden="1" customHeight="1" outlineLevel="1" thickBot="1">
      <c r="A287" s="353"/>
      <c r="B287" s="359">
        <f t="shared" si="153"/>
        <v>14.01</v>
      </c>
      <c r="C287" s="360" t="s">
        <v>800</v>
      </c>
      <c r="D287" s="360" t="s">
        <v>788</v>
      </c>
      <c r="E287" s="360">
        <v>7</v>
      </c>
      <c r="F287" s="347" t="s">
        <v>783</v>
      </c>
      <c r="G287" s="361" t="str">
        <f>IF(H287="PVC",VLOOKUP(I287,[1]MATERIALES!$C$5:$D$11,2,FALSE),IF(H287="EMT",VLOOKUP(I287,[1]MATERIALES!$C$40:$D$46,2,FALSE),IF(H287="IMC",VLOOKUP(I287,[1]MATERIALES!$C$82:$D$88,2,FALSE),IF(H287="LFNC",VLOOKUP(I287,[1]MATERIALES!$C$110:$D$116,2,FALSE),0))))</f>
        <v>Tubería PVC SDR-26 1/2"</v>
      </c>
      <c r="H287" s="362" t="s">
        <v>184</v>
      </c>
      <c r="I287" s="362" t="s">
        <v>216</v>
      </c>
      <c r="J287" s="362">
        <v>35.58</v>
      </c>
      <c r="K287" s="134" t="str">
        <f>IF(OR(H287="Conductores Americanos",H287="Conductores Europeos"),"Pies","Unid.")</f>
        <v>Unid.</v>
      </c>
      <c r="L287" s="363">
        <f>IF(H287="PVC",ROUNDUP(J287/6,0),IF(H287="EMT",ROUNDUP(J287/3,0),IF(H287="IMC",ROUNDUP(J287/3,0),IF(H287="LFNC",ROUNDUP(3.28*J287,0),0))))</f>
        <v>6</v>
      </c>
      <c r="M287" s="248" t="str">
        <f>IFERROR(VLOOKUP(G287,[1]MATERIALES!$D$5:$I$1368,2,FALSE),0)</f>
        <v xml:space="preserve">Suplidores electricos </v>
      </c>
      <c r="N287" s="364" t="e">
        <f t="shared" ref="N287:N307" si="178">M287/$N$2</f>
        <v>#VALUE!</v>
      </c>
      <c r="O287" s="248" t="e">
        <f>+L287*M287</f>
        <v>#VALUE!</v>
      </c>
      <c r="P287" s="364" t="e">
        <f>L287*N287</f>
        <v>#VALUE!</v>
      </c>
      <c r="Q287" s="248" t="e">
        <f t="shared" ref="Q287:Q307" si="179">+$O287+($O287*$R$2)</f>
        <v>#VALUE!</v>
      </c>
      <c r="R287" s="365" t="e">
        <f t="shared" ref="R287:R307" si="180">+$P287+($P287*$R$2)</f>
        <v>#VALUE!</v>
      </c>
      <c r="S287" s="248">
        <f>+IFERROR(Q287/L287,0)</f>
        <v>0</v>
      </c>
      <c r="T287" s="146">
        <f>+IFERROR(R287/L287,0)</f>
        <v>0</v>
      </c>
      <c r="U287" s="357"/>
      <c r="V287" s="358"/>
      <c r="W287" s="144"/>
    </row>
    <row r="288" spans="1:23" ht="15" hidden="1" customHeight="1" outlineLevel="1" thickBot="1">
      <c r="A288" s="353"/>
      <c r="B288" s="359">
        <f t="shared" si="153"/>
        <v>14.02</v>
      </c>
      <c r="C288" s="360" t="s">
        <v>800</v>
      </c>
      <c r="D288" s="360" t="s">
        <v>788</v>
      </c>
      <c r="E288" s="360">
        <v>7</v>
      </c>
      <c r="F288" s="347" t="str">
        <f t="shared" ref="F288:F307" si="181">F287</f>
        <v>120V 1Ø</v>
      </c>
      <c r="G288" s="361" t="str">
        <f>IF(H288="PVC",VLOOKUP(I288,[1]MATERIALES!$C$12:$D$18,2,FALSE),IF(H288="EMT",VLOOKUP(I288,[1]MATERIALES!$C$47:$D$53,2,FALSE),IF(H288="IMC",VLOOKUP(I288,[1]MATERIALES!$C$89:$D$96,2,FALSE),"-")))</f>
        <v>Coupling PVC 1/2"</v>
      </c>
      <c r="H288" s="366" t="str">
        <f>H287</f>
        <v>PVC</v>
      </c>
      <c r="I288" s="366" t="str">
        <f>I287</f>
        <v>13mm</v>
      </c>
      <c r="J288" s="316"/>
      <c r="K288" s="345" t="str">
        <f t="shared" ref="K288:K295" si="182">IF(OR(H288="Conductores Americanos",H288="Conductores Europeos"),"Pies","Unid.")</f>
        <v>Unid.</v>
      </c>
      <c r="L288" s="28">
        <f>IF(H288="LFNC",0,L287)</f>
        <v>6</v>
      </c>
      <c r="M288" s="140" t="str">
        <f>IF(H288="LFNC",0,VLOOKUP(G288,[1]MATERIALES!$D$5:$I$1368,2,FALSE))</f>
        <v xml:space="preserve">Suplidores electricos </v>
      </c>
      <c r="N288" s="367" t="e">
        <f t="shared" si="178"/>
        <v>#VALUE!</v>
      </c>
      <c r="O288" s="140" t="e">
        <f t="shared" ref="O288:O307" si="183">+L288*M288</f>
        <v>#VALUE!</v>
      </c>
      <c r="P288" s="367" t="e">
        <f t="shared" ref="P288:P307" si="184">L288*N288</f>
        <v>#VALUE!</v>
      </c>
      <c r="Q288" s="140" t="e">
        <f t="shared" si="179"/>
        <v>#VALUE!</v>
      </c>
      <c r="R288" s="368" t="e">
        <f t="shared" si="180"/>
        <v>#VALUE!</v>
      </c>
      <c r="S288" s="140">
        <f t="shared" ref="S288:S307" si="185">+IFERROR(Q288/L288,0)</f>
        <v>0</v>
      </c>
      <c r="T288" s="139">
        <f t="shared" ref="T288:T307" si="186">+IFERROR(R288/L288,0)</f>
        <v>0</v>
      </c>
      <c r="U288" s="357"/>
      <c r="V288" s="358"/>
      <c r="W288" s="144"/>
    </row>
    <row r="289" spans="1:23" ht="15" hidden="1" customHeight="1" outlineLevel="1" thickBot="1">
      <c r="A289" s="353"/>
      <c r="B289" s="359">
        <f t="shared" si="153"/>
        <v>14.03</v>
      </c>
      <c r="C289" s="360" t="s">
        <v>800</v>
      </c>
      <c r="D289" s="360" t="s">
        <v>788</v>
      </c>
      <c r="E289" s="360">
        <v>7</v>
      </c>
      <c r="F289" s="347" t="str">
        <f t="shared" si="181"/>
        <v>120V 1Ø</v>
      </c>
      <c r="G289" s="361" t="str">
        <f>IF(H289="PVC",VLOOKUP(I289,[1]MATERIALES!$C$19:$D$25,2,FALSE),IF(H289="EMT",VLOOKUP(I289,[1]MATERIALES!$C$54:$D$60,2,FALSE),IF(H289="IMC",VLOOKUP(I289,[1]MATERIALES!$C$96:$D$102,2,FALSE),IF(H289="LFNC",VLOOKUP(I289,[1]MATERIALES!$C$117:$D$123,2,FALSE),0))))</f>
        <v>Adaptador Macho PVC 1/2"</v>
      </c>
      <c r="H289" s="366" t="str">
        <f>H287</f>
        <v>PVC</v>
      </c>
      <c r="I289" s="366" t="str">
        <f>I287</f>
        <v>13mm</v>
      </c>
      <c r="J289" s="316"/>
      <c r="K289" s="345" t="str">
        <f t="shared" si="182"/>
        <v>Unid.</v>
      </c>
      <c r="L289" s="28">
        <f>1+L292*2+L294</f>
        <v>12</v>
      </c>
      <c r="M289" s="248" t="str">
        <f>IFERROR(VLOOKUP(G289,[1]MATERIALES!$D$5:$I$1368,2,FALSE),0)</f>
        <v xml:space="preserve">Suplidores electricos </v>
      </c>
      <c r="N289" s="367" t="e">
        <f t="shared" si="178"/>
        <v>#VALUE!</v>
      </c>
      <c r="O289" s="140" t="e">
        <f t="shared" si="183"/>
        <v>#VALUE!</v>
      </c>
      <c r="P289" s="367" t="e">
        <f t="shared" si="184"/>
        <v>#VALUE!</v>
      </c>
      <c r="Q289" s="140" t="e">
        <f t="shared" si="179"/>
        <v>#VALUE!</v>
      </c>
      <c r="R289" s="368" t="e">
        <f t="shared" si="180"/>
        <v>#VALUE!</v>
      </c>
      <c r="S289" s="140">
        <f t="shared" si="185"/>
        <v>0</v>
      </c>
      <c r="T289" s="139">
        <f t="shared" si="186"/>
        <v>0</v>
      </c>
      <c r="U289" s="357"/>
      <c r="V289" s="358"/>
      <c r="W289" s="144"/>
    </row>
    <row r="290" spans="1:23" ht="15" hidden="1" customHeight="1" outlineLevel="1" thickBot="1">
      <c r="A290" s="353"/>
      <c r="B290" s="359">
        <f t="shared" si="153"/>
        <v>14.04</v>
      </c>
      <c r="C290" s="360" t="s">
        <v>800</v>
      </c>
      <c r="D290" s="360" t="s">
        <v>788</v>
      </c>
      <c r="E290" s="360">
        <v>7</v>
      </c>
      <c r="F290" s="347" t="str">
        <f t="shared" si="181"/>
        <v>120V 1Ø</v>
      </c>
      <c r="G290" s="361" t="str">
        <f>IF(H290="PVC",VLOOKUP(I290,[1]MATERIALES!$C$33:$D$39,2,FALSE),IF(H290="EMT",VLOOKUP(I290,[1]MATERIALES!$C$61:$D$67,2,FALSE),IF(H290="IMC",VLOOKUP(I290,[1]MATERIALES!$C$103:$D$109,2,FALSE),"-")))</f>
        <v>Curva 90 PVC SDR 1/2"</v>
      </c>
      <c r="H290" s="366" t="str">
        <f>H287</f>
        <v>PVC</v>
      </c>
      <c r="I290" s="366" t="str">
        <f>I287</f>
        <v>13mm</v>
      </c>
      <c r="J290" s="316"/>
      <c r="K290" s="345" t="str">
        <f t="shared" si="182"/>
        <v>Unid.</v>
      </c>
      <c r="L290" s="28">
        <f>IF(H290="LFNC",0,(1+L302))</f>
        <v>2</v>
      </c>
      <c r="M290" s="140" t="str">
        <f>IF(H290="LFNC",0,VLOOKUP(G290,[1]MATERIALES!$D$5:$I$1368,2,FALSE))</f>
        <v xml:space="preserve">Suplidores electricos </v>
      </c>
      <c r="N290" s="367" t="e">
        <f t="shared" si="178"/>
        <v>#VALUE!</v>
      </c>
      <c r="O290" s="140" t="e">
        <f t="shared" si="183"/>
        <v>#VALUE!</v>
      </c>
      <c r="P290" s="367" t="e">
        <f t="shared" si="184"/>
        <v>#VALUE!</v>
      </c>
      <c r="Q290" s="140" t="e">
        <f t="shared" si="179"/>
        <v>#VALUE!</v>
      </c>
      <c r="R290" s="368" t="e">
        <f t="shared" si="180"/>
        <v>#VALUE!</v>
      </c>
      <c r="S290" s="140">
        <f t="shared" si="185"/>
        <v>0</v>
      </c>
      <c r="T290" s="139">
        <f t="shared" si="186"/>
        <v>0</v>
      </c>
      <c r="U290" s="357"/>
      <c r="V290" s="358"/>
      <c r="W290" s="144"/>
    </row>
    <row r="291" spans="1:23" ht="15" hidden="1" customHeight="1" outlineLevel="1" thickBot="1">
      <c r="A291" s="353"/>
      <c r="B291" s="359">
        <f t="shared" si="153"/>
        <v>14.049999999999999</v>
      </c>
      <c r="C291" s="360" t="s">
        <v>800</v>
      </c>
      <c r="D291" s="360" t="s">
        <v>788</v>
      </c>
      <c r="E291" s="360">
        <v>7</v>
      </c>
      <c r="F291" s="347" t="str">
        <f t="shared" si="181"/>
        <v>120V 1Ø</v>
      </c>
      <c r="G291" s="361" t="str">
        <f>VLOOKUP(I291,[1]MATERIALES!$C$68:$D$74,2,FALSE)</f>
        <v>Abrazadera EMT 1/2'' </v>
      </c>
      <c r="H291" s="316"/>
      <c r="I291" s="366" t="str">
        <f>I287</f>
        <v>13mm</v>
      </c>
      <c r="J291" s="316"/>
      <c r="K291" s="345" t="str">
        <f t="shared" si="182"/>
        <v>Unid.</v>
      </c>
      <c r="L291" s="28">
        <f>ROUNDUP(J287,0)</f>
        <v>36</v>
      </c>
      <c r="M291" s="248" t="str">
        <f>IFERROR(VLOOKUP(G291,[1]MATERIALES!$D$5:$I$1368,2,FALSE),0)</f>
        <v xml:space="preserve">Suplidores electricos </v>
      </c>
      <c r="N291" s="367" t="e">
        <f t="shared" si="178"/>
        <v>#VALUE!</v>
      </c>
      <c r="O291" s="140" t="e">
        <f t="shared" si="183"/>
        <v>#VALUE!</v>
      </c>
      <c r="P291" s="367" t="e">
        <f t="shared" si="184"/>
        <v>#VALUE!</v>
      </c>
      <c r="Q291" s="140" t="e">
        <f t="shared" si="179"/>
        <v>#VALUE!</v>
      </c>
      <c r="R291" s="368" t="e">
        <f t="shared" si="180"/>
        <v>#VALUE!</v>
      </c>
      <c r="S291" s="140">
        <f t="shared" si="185"/>
        <v>0</v>
      </c>
      <c r="T291" s="139">
        <f t="shared" si="186"/>
        <v>0</v>
      </c>
      <c r="U291" s="357"/>
      <c r="V291" s="358"/>
      <c r="W291" s="144"/>
    </row>
    <row r="292" spans="1:23" ht="15" hidden="1" customHeight="1" outlineLevel="1" thickBot="1">
      <c r="A292" s="353"/>
      <c r="B292" s="359">
        <f t="shared" si="153"/>
        <v>14.059999999999999</v>
      </c>
      <c r="C292" s="360" t="s">
        <v>800</v>
      </c>
      <c r="D292" s="360" t="s">
        <v>788</v>
      </c>
      <c r="E292" s="360">
        <v>7</v>
      </c>
      <c r="F292" s="347" t="str">
        <f t="shared" si="181"/>
        <v>120V 1Ø</v>
      </c>
      <c r="G292" s="361" t="str" cm="1">
        <f t="array" ref="G292">_xlfn.SWITCH(I292,"13mm",(IF(H292="Rectangular",VLOOKUP(I292,[1]MATERIALES!$C$124:$D$125,2,FALSE),IF(H292="Octagonal",VLOOKUP(I292,[1]MATERIALES!$C$126:$D$127,2,FALSE),IF(H292="WP",VLOOKUP(I292,[1]MATERIALES!$C$128:$D$129,2,FALSE),IF(H292="5x5",VLOOKUP(I292,[1]MATERIALES!$C$130:$D$132,2,FALSE)))))),"19mm",(IF(H292="Rectangular",VLOOKUP(I292,[1]MATERIALES!$C$124:$D$125,2,FALSE),IF(H292="Octagonal",VLOOKUP(I292,[1]MATERIALES!$C$126:$D$127,2,FALSE),IF(H292="WP",VLOOKUP(I292,[1]MATERIALES!$C$128:$D$129,2,FALSE),IF(H292="5x5",VLOOKUP(I292,[1]MATERIALES!$C$130:$D$132,2,FALSE)))))),"25mm",IF(H292="Rectangular","-",IF(H292="Octagonal","--",IF(H292="WP","---",IF(H292="5x5",VLOOKUP(I292,[1]MATERIALES!$C$130:$D$132,2,FALSE),0)))),"38mm","-","50mm","-","75mm","-","100mm","-")</f>
        <v>Caja 2x4 waterproof 1/2"</v>
      </c>
      <c r="H292" s="369" t="s">
        <v>199</v>
      </c>
      <c r="I292" s="366" t="str">
        <f>I287</f>
        <v>13mm</v>
      </c>
      <c r="J292" s="316"/>
      <c r="K292" s="345" t="str">
        <f t="shared" si="182"/>
        <v>Unid.</v>
      </c>
      <c r="L292" s="28">
        <f>1+L302+L303+L304</f>
        <v>5</v>
      </c>
      <c r="M292" s="248">
        <f>IFERROR(VLOOKUP(G292,[1]MATERIALES!$D$5:$I$1368,2,FALSE),0)</f>
        <v>0</v>
      </c>
      <c r="N292" s="367">
        <f t="shared" si="178"/>
        <v>0</v>
      </c>
      <c r="O292" s="140">
        <f t="shared" si="183"/>
        <v>0</v>
      </c>
      <c r="P292" s="367">
        <f t="shared" si="184"/>
        <v>0</v>
      </c>
      <c r="Q292" s="140">
        <f t="shared" si="179"/>
        <v>0</v>
      </c>
      <c r="R292" s="368">
        <f t="shared" si="180"/>
        <v>0</v>
      </c>
      <c r="S292" s="140">
        <f t="shared" si="185"/>
        <v>0</v>
      </c>
      <c r="T292" s="139">
        <f t="shared" si="186"/>
        <v>0</v>
      </c>
      <c r="U292" s="357"/>
      <c r="V292" s="358"/>
      <c r="W292" s="144"/>
    </row>
    <row r="293" spans="1:23" ht="15" hidden="1" customHeight="1" outlineLevel="1" thickBot="1">
      <c r="A293" s="353"/>
      <c r="B293" s="359">
        <f t="shared" si="153"/>
        <v>14.069999999999999</v>
      </c>
      <c r="C293" s="360" t="s">
        <v>800</v>
      </c>
      <c r="D293" s="360" t="s">
        <v>788</v>
      </c>
      <c r="E293" s="360">
        <v>7</v>
      </c>
      <c r="F293" s="347" t="str">
        <f t="shared" si="181"/>
        <v>120V 1Ø</v>
      </c>
      <c r="G293" s="361" t="str">
        <f>IF(H293="Rectangular",[1]MATERIALES!$D$133,IF(H292="Octagonal",[1]MATERIALES!$D$134,IF(H292="WP",[1]MATERIALES!$D$135,IF(H292="5x5",[1]MATERIALES!$D$136,0))))</f>
        <v>Tapa caja octagonal EMT USA UL</v>
      </c>
      <c r="H293" s="369" t="str">
        <f>H292</f>
        <v>WP</v>
      </c>
      <c r="I293" s="366" t="str">
        <f>I287</f>
        <v>13mm</v>
      </c>
      <c r="J293" s="316"/>
      <c r="K293" s="345" t="str">
        <f t="shared" si="182"/>
        <v>Unid.</v>
      </c>
      <c r="L293" s="28">
        <f>L292</f>
        <v>5</v>
      </c>
      <c r="M293" s="248" t="str">
        <f>IFERROR(VLOOKUP(G293,[1]MATERIALES!$D$5:$I$1368,2,FALSE),0)</f>
        <v xml:space="preserve">Suplidores electricos </v>
      </c>
      <c r="N293" s="367" t="e">
        <f t="shared" si="178"/>
        <v>#VALUE!</v>
      </c>
      <c r="O293" s="140" t="e">
        <f t="shared" si="183"/>
        <v>#VALUE!</v>
      </c>
      <c r="P293" s="367" t="e">
        <f t="shared" si="184"/>
        <v>#VALUE!</v>
      </c>
      <c r="Q293" s="140" t="e">
        <f t="shared" si="179"/>
        <v>#VALUE!</v>
      </c>
      <c r="R293" s="368" t="e">
        <f t="shared" si="180"/>
        <v>#VALUE!</v>
      </c>
      <c r="S293" s="140">
        <f t="shared" si="185"/>
        <v>0</v>
      </c>
      <c r="T293" s="139">
        <f t="shared" si="186"/>
        <v>0</v>
      </c>
      <c r="U293" s="357"/>
      <c r="V293" s="358"/>
      <c r="W293" s="144"/>
    </row>
    <row r="294" spans="1:23" ht="15" hidden="1" customHeight="1" outlineLevel="1" thickBot="1">
      <c r="A294" s="353"/>
      <c r="B294" s="359">
        <f t="shared" si="153"/>
        <v>14.079999999999998</v>
      </c>
      <c r="C294" s="360" t="s">
        <v>800</v>
      </c>
      <c r="D294" s="360" t="s">
        <v>788</v>
      </c>
      <c r="E294" s="360">
        <v>7</v>
      </c>
      <c r="F294" s="347" t="str">
        <f t="shared" si="181"/>
        <v>120V 1Ø</v>
      </c>
      <c r="G294" s="361" t="str" cm="1">
        <f t="array" ref="G294">_xlfn.SWITCH(I294,"13mm",(IF(H294="Rectangular",VLOOKUP(I294,[1]MATERIALES!$C$124:$D$125,2,FALSE),IF(H294="Octagonal",VLOOKUP(I294,[1]MATERIALES!$C$126:$D$127,2,FALSE),IF(H294="WP",VLOOKUP(I294,[1]MATERIALES!$C$128:$D$129,2,FALSE),IF(H294="5x5",VLOOKUP(I294,[1]MATERIALES!$C$130:$D$132,2,FALSE)))))),"19mm",(IF(H294="Rectangular",VLOOKUP(I294,[1]MATERIALES!$C$124:$D$125,2,FALSE),IF(H294="Octagonal",VLOOKUP(I294,[1]MATERIALES!$C$126:$D$127,2,FALSE),IF(H294="WP",VLOOKUP(I294,[1]MATERIALES!$C$128:$D$129,2,FALSE),IF(H294="5x5",VLOOKUP(I294,[1]MATERIALES!$C$130:$D$132,2,FALSE)))))),"25mm",IF(H294="Rectangular","-",IF(H294="Octagonal","--",IF(H294="WP","---",IF(H294="5x5",VLOOKUP(I294,[1]MATERIALES!$C$130:$D$132,2,FALSE),0)))),"38mm","-","50mm","-","75mm","-","100mm","-")</f>
        <v>Caja EMT 2x4 1/2" USA UL</v>
      </c>
      <c r="H294" s="369" t="s">
        <v>188</v>
      </c>
      <c r="I294" s="366" t="str">
        <f>I289</f>
        <v>13mm</v>
      </c>
      <c r="J294" s="316"/>
      <c r="K294" s="345" t="str">
        <f t="shared" si="182"/>
        <v>Unid.</v>
      </c>
      <c r="L294" s="28">
        <f>L302+L303</f>
        <v>1</v>
      </c>
      <c r="M294" s="248" t="str">
        <f>IFERROR(VLOOKUP(G294,[1]MATERIALES!$D$5:$I$1368,2,FALSE),0)</f>
        <v xml:space="preserve">Suplidores electricos </v>
      </c>
      <c r="N294" s="367" t="e">
        <f t="shared" si="178"/>
        <v>#VALUE!</v>
      </c>
      <c r="O294" s="140" t="e">
        <f t="shared" si="183"/>
        <v>#VALUE!</v>
      </c>
      <c r="P294" s="367" t="e">
        <f t="shared" si="184"/>
        <v>#VALUE!</v>
      </c>
      <c r="Q294" s="140" t="e">
        <f t="shared" si="179"/>
        <v>#VALUE!</v>
      </c>
      <c r="R294" s="368" t="e">
        <f t="shared" si="180"/>
        <v>#VALUE!</v>
      </c>
      <c r="S294" s="140">
        <f t="shared" si="185"/>
        <v>0</v>
      </c>
      <c r="T294" s="139">
        <f t="shared" si="186"/>
        <v>0</v>
      </c>
      <c r="U294" s="357"/>
      <c r="V294" s="358"/>
      <c r="W294" s="144"/>
    </row>
    <row r="295" spans="1:23" ht="15" hidden="1" customHeight="1" outlineLevel="1" thickBot="1">
      <c r="A295" s="353"/>
      <c r="B295" s="359">
        <f t="shared" si="153"/>
        <v>14.089999999999998</v>
      </c>
      <c r="C295" s="360" t="s">
        <v>800</v>
      </c>
      <c r="D295" s="360" t="s">
        <v>788</v>
      </c>
      <c r="E295" s="360">
        <v>7</v>
      </c>
      <c r="F295" s="347" t="str">
        <f t="shared" si="181"/>
        <v>120V 1Ø</v>
      </c>
      <c r="G295" s="361" t="str">
        <f>IF(H295="Rectangular",[1]MATERIALES!$D$133,IF(H294="Octagonal",[1]MATERIALES!$D$134,IF(H294="WP",[1]MATERIALES!#REF!,IF(H294="5x5",[1]MATERIALES!$D$136,0))))</f>
        <v>CAJA REG. 12X12X4 N3R</v>
      </c>
      <c r="H295" s="369" t="str">
        <f>H294</f>
        <v>Rectangular</v>
      </c>
      <c r="I295" s="366" t="str">
        <f>I289</f>
        <v>13mm</v>
      </c>
      <c r="J295" s="316"/>
      <c r="K295" s="345" t="str">
        <f t="shared" si="182"/>
        <v>Unid.</v>
      </c>
      <c r="L295" s="28">
        <f>L294</f>
        <v>1</v>
      </c>
      <c r="M295" s="248" t="str">
        <f>IFERROR(VLOOKUP(G295,[1]MATERIALES!$D$5:$I$1368,2,FALSE),0)</f>
        <v xml:space="preserve">Suplidores electricos </v>
      </c>
      <c r="N295" s="367" t="e">
        <f t="shared" si="178"/>
        <v>#VALUE!</v>
      </c>
      <c r="O295" s="140" t="e">
        <f t="shared" si="183"/>
        <v>#VALUE!</v>
      </c>
      <c r="P295" s="367" t="e">
        <f t="shared" si="184"/>
        <v>#VALUE!</v>
      </c>
      <c r="Q295" s="140" t="e">
        <f t="shared" si="179"/>
        <v>#VALUE!</v>
      </c>
      <c r="R295" s="368" t="e">
        <f t="shared" si="180"/>
        <v>#VALUE!</v>
      </c>
      <c r="S295" s="140">
        <f t="shared" si="185"/>
        <v>0</v>
      </c>
      <c r="T295" s="139">
        <f t="shared" si="186"/>
        <v>0</v>
      </c>
      <c r="U295" s="357"/>
      <c r="V295" s="358"/>
      <c r="W295" s="144"/>
    </row>
    <row r="296" spans="1:23" ht="15" hidden="1" customHeight="1" outlineLevel="1" thickBot="1">
      <c r="A296" s="353"/>
      <c r="B296" s="359">
        <f t="shared" si="153"/>
        <v>14.099999999999998</v>
      </c>
      <c r="C296" s="360" t="s">
        <v>800</v>
      </c>
      <c r="D296" s="360" t="s">
        <v>788</v>
      </c>
      <c r="E296" s="360">
        <v>7</v>
      </c>
      <c r="F296" s="347" t="str">
        <f t="shared" si="181"/>
        <v>120V 1Ø</v>
      </c>
      <c r="G296" s="371" t="str">
        <f>"Fase A"&amp;": "&amp;I296</f>
        <v>Fase A: Conductor 12 AWG THHN</v>
      </c>
      <c r="H296" s="366" t="s">
        <v>181</v>
      </c>
      <c r="I296" s="366" t="s">
        <v>189</v>
      </c>
      <c r="J296" s="366">
        <f>J287</f>
        <v>35.58</v>
      </c>
      <c r="K296" s="345" t="str">
        <f>IF(OR(H296="Conductores Americanos",H296="Conductores Europeos"),"Pies","Unid.")</f>
        <v>Pies</v>
      </c>
      <c r="L296" s="28">
        <f t="shared" ref="L296:L301" si="187">ROUNDUP(J296*3.28,0)</f>
        <v>117</v>
      </c>
      <c r="M296" s="140" t="str">
        <f>VLOOKUP(I296,[1]MATERIALES!$D$5:$I$1368,2,FALSE)</f>
        <v xml:space="preserve">Suplidores electricos </v>
      </c>
      <c r="N296" s="367" t="e">
        <f t="shared" si="178"/>
        <v>#VALUE!</v>
      </c>
      <c r="O296" s="140" t="e">
        <f t="shared" si="183"/>
        <v>#VALUE!</v>
      </c>
      <c r="P296" s="367" t="e">
        <f t="shared" si="184"/>
        <v>#VALUE!</v>
      </c>
      <c r="Q296" s="140" t="e">
        <f t="shared" si="179"/>
        <v>#VALUE!</v>
      </c>
      <c r="R296" s="368" t="e">
        <f t="shared" si="180"/>
        <v>#VALUE!</v>
      </c>
      <c r="S296" s="140">
        <f t="shared" si="185"/>
        <v>0</v>
      </c>
      <c r="T296" s="139">
        <f t="shared" si="186"/>
        <v>0</v>
      </c>
      <c r="U296" s="357"/>
      <c r="V296" s="358"/>
      <c r="W296" s="144"/>
    </row>
    <row r="297" spans="1:23" ht="15" hidden="1" customHeight="1" outlineLevel="1" thickBot="1">
      <c r="A297" s="353"/>
      <c r="B297" s="359">
        <f t="shared" si="153"/>
        <v>14.109999999999998</v>
      </c>
      <c r="C297" s="360" t="s">
        <v>800</v>
      </c>
      <c r="D297" s="360" t="s">
        <v>788</v>
      </c>
      <c r="E297" s="360">
        <v>7</v>
      </c>
      <c r="F297" s="347" t="str">
        <f t="shared" si="181"/>
        <v>120V 1Ø</v>
      </c>
      <c r="G297" s="371" t="str">
        <f>IF(F297="120V 1Ø","-",("Fase B"&amp;": "&amp;I297))</f>
        <v>-</v>
      </c>
      <c r="H297" s="366" t="str">
        <f t="shared" ref="H297:I300" si="188">H296</f>
        <v>Conductores Americanos</v>
      </c>
      <c r="I297" s="366" t="str">
        <f t="shared" si="188"/>
        <v>Conductor 12 AWG THHN</v>
      </c>
      <c r="J297" s="366">
        <f>IF(G297="-",0,J287)</f>
        <v>0</v>
      </c>
      <c r="K297" s="345" t="str">
        <f t="shared" ref="K297:K305" si="189">IF(OR(H297="Conductores Americanos",H297="Conductores Europeos"),"Pies","Unid.")</f>
        <v>Pies</v>
      </c>
      <c r="L297" s="28">
        <f t="shared" si="187"/>
        <v>0</v>
      </c>
      <c r="M297" s="140" t="str">
        <f>VLOOKUP(I297,[1]MATERIALES!$D$5:$I$1368,2,FALSE)</f>
        <v xml:space="preserve">Suplidores electricos </v>
      </c>
      <c r="N297" s="367" t="e">
        <f t="shared" si="178"/>
        <v>#VALUE!</v>
      </c>
      <c r="O297" s="140" t="e">
        <f t="shared" si="183"/>
        <v>#VALUE!</v>
      </c>
      <c r="P297" s="367" t="e">
        <f t="shared" si="184"/>
        <v>#VALUE!</v>
      </c>
      <c r="Q297" s="140" t="e">
        <f t="shared" si="179"/>
        <v>#VALUE!</v>
      </c>
      <c r="R297" s="368" t="e">
        <f t="shared" si="180"/>
        <v>#VALUE!</v>
      </c>
      <c r="S297" s="140">
        <f t="shared" si="185"/>
        <v>0</v>
      </c>
      <c r="T297" s="139">
        <f t="shared" si="186"/>
        <v>0</v>
      </c>
      <c r="U297" s="357"/>
      <c r="V297" s="358"/>
      <c r="W297" s="144"/>
    </row>
    <row r="298" spans="1:23" ht="15" hidden="1" customHeight="1" outlineLevel="1" thickBot="1">
      <c r="A298" s="353"/>
      <c r="B298" s="359">
        <f t="shared" si="153"/>
        <v>14.119999999999997</v>
      </c>
      <c r="C298" s="360" t="s">
        <v>800</v>
      </c>
      <c r="D298" s="360" t="s">
        <v>788</v>
      </c>
      <c r="E298" s="360">
        <v>7</v>
      </c>
      <c r="F298" s="347" t="str">
        <f t="shared" si="181"/>
        <v>120V 1Ø</v>
      </c>
      <c r="G298" s="371" t="str">
        <f>IF(F298="120V 1Ø","-",IF(F298="240V 1Ø","-",("Fase C"&amp;": "&amp;I296)))</f>
        <v>-</v>
      </c>
      <c r="H298" s="366" t="str">
        <f t="shared" si="188"/>
        <v>Conductores Americanos</v>
      </c>
      <c r="I298" s="366" t="str">
        <f t="shared" si="188"/>
        <v>Conductor 12 AWG THHN</v>
      </c>
      <c r="J298" s="366">
        <f>IF(G298="-",0,J288)</f>
        <v>0</v>
      </c>
      <c r="K298" s="345" t="str">
        <f t="shared" si="189"/>
        <v>Pies</v>
      </c>
      <c r="L298" s="28">
        <f t="shared" si="187"/>
        <v>0</v>
      </c>
      <c r="M298" s="140" t="str">
        <f>VLOOKUP(I298,[1]MATERIALES!$D$5:$I$1368,2,FALSE)</f>
        <v xml:space="preserve">Suplidores electricos </v>
      </c>
      <c r="N298" s="367" t="e">
        <f t="shared" si="178"/>
        <v>#VALUE!</v>
      </c>
      <c r="O298" s="140" t="e">
        <f t="shared" si="183"/>
        <v>#VALUE!</v>
      </c>
      <c r="P298" s="367" t="e">
        <f t="shared" si="184"/>
        <v>#VALUE!</v>
      </c>
      <c r="Q298" s="140" t="e">
        <f t="shared" si="179"/>
        <v>#VALUE!</v>
      </c>
      <c r="R298" s="368" t="e">
        <f t="shared" si="180"/>
        <v>#VALUE!</v>
      </c>
      <c r="S298" s="140">
        <f t="shared" si="185"/>
        <v>0</v>
      </c>
      <c r="T298" s="139">
        <f t="shared" si="186"/>
        <v>0</v>
      </c>
      <c r="U298" s="357"/>
      <c r="V298" s="358"/>
      <c r="W298" s="144"/>
    </row>
    <row r="299" spans="1:23" ht="15" hidden="1" customHeight="1" outlineLevel="1" thickBot="1">
      <c r="A299" s="353"/>
      <c r="B299" s="359">
        <f t="shared" si="153"/>
        <v>14.129999999999997</v>
      </c>
      <c r="C299" s="360" t="s">
        <v>800</v>
      </c>
      <c r="D299" s="360" t="s">
        <v>788</v>
      </c>
      <c r="E299" s="360">
        <v>7</v>
      </c>
      <c r="F299" s="347" t="str">
        <f t="shared" si="181"/>
        <v>120V 1Ø</v>
      </c>
      <c r="G299" s="372" t="str">
        <f>"Retorno"&amp;": "&amp;I299</f>
        <v>Retorno: Conductor 12 AWG THHN</v>
      </c>
      <c r="H299" s="366" t="str">
        <f t="shared" si="188"/>
        <v>Conductores Americanos</v>
      </c>
      <c r="I299" s="366" t="str">
        <f t="shared" si="188"/>
        <v>Conductor 12 AWG THHN</v>
      </c>
      <c r="J299" s="366">
        <f>J296/3+J296*L303/3</f>
        <v>11.86</v>
      </c>
      <c r="K299" s="345" t="str">
        <f t="shared" si="189"/>
        <v>Pies</v>
      </c>
      <c r="L299" s="28">
        <f t="shared" si="187"/>
        <v>39</v>
      </c>
      <c r="M299" s="140" t="str">
        <f>VLOOKUP(I299,[1]MATERIALES!$D$5:$I$1368,2,FALSE)</f>
        <v xml:space="preserve">Suplidores electricos </v>
      </c>
      <c r="N299" s="367" t="e">
        <f t="shared" si="178"/>
        <v>#VALUE!</v>
      </c>
      <c r="O299" s="140" t="e">
        <f t="shared" si="183"/>
        <v>#VALUE!</v>
      </c>
      <c r="P299" s="367" t="e">
        <f t="shared" si="184"/>
        <v>#VALUE!</v>
      </c>
      <c r="Q299" s="140" t="e">
        <f t="shared" si="179"/>
        <v>#VALUE!</v>
      </c>
      <c r="R299" s="368" t="e">
        <f t="shared" si="180"/>
        <v>#VALUE!</v>
      </c>
      <c r="S299" s="140">
        <f t="shared" si="185"/>
        <v>0</v>
      </c>
      <c r="T299" s="139">
        <f t="shared" si="186"/>
        <v>0</v>
      </c>
      <c r="U299" s="357"/>
      <c r="V299" s="358"/>
      <c r="W299" s="144"/>
    </row>
    <row r="300" spans="1:23" ht="15" hidden="1" customHeight="1" outlineLevel="1" thickBot="1">
      <c r="A300" s="353"/>
      <c r="B300" s="359">
        <f t="shared" si="153"/>
        <v>14.139999999999997</v>
      </c>
      <c r="C300" s="360" t="s">
        <v>800</v>
      </c>
      <c r="D300" s="360" t="s">
        <v>788</v>
      </c>
      <c r="E300" s="360">
        <v>7</v>
      </c>
      <c r="F300" s="347" t="str">
        <f t="shared" si="181"/>
        <v>120V 1Ø</v>
      </c>
      <c r="G300" s="372" t="str">
        <f>IF(F300="240V 1Ø","-",IF(F300="480V 3Ø","-",("Neutro"&amp;": "&amp;I297)))</f>
        <v>Neutro: Conductor 12 AWG THHN</v>
      </c>
      <c r="H300" s="366" t="str">
        <f>H298</f>
        <v>Conductores Americanos</v>
      </c>
      <c r="I300" s="366" t="str">
        <f t="shared" si="188"/>
        <v>Conductor 12 AWG THHN</v>
      </c>
      <c r="J300" s="366">
        <f>IF(G300="-",0,J287)</f>
        <v>35.58</v>
      </c>
      <c r="K300" s="345" t="str">
        <f t="shared" si="189"/>
        <v>Pies</v>
      </c>
      <c r="L300" s="28">
        <f t="shared" si="187"/>
        <v>117</v>
      </c>
      <c r="M300" s="140" t="str">
        <f>VLOOKUP(I300,[1]MATERIALES!$D$5:$I$1368,2,FALSE)</f>
        <v xml:space="preserve">Suplidores electricos </v>
      </c>
      <c r="N300" s="367" t="e">
        <f t="shared" si="178"/>
        <v>#VALUE!</v>
      </c>
      <c r="O300" s="140" t="e">
        <f t="shared" si="183"/>
        <v>#VALUE!</v>
      </c>
      <c r="P300" s="367" t="e">
        <f t="shared" si="184"/>
        <v>#VALUE!</v>
      </c>
      <c r="Q300" s="140" t="e">
        <f t="shared" si="179"/>
        <v>#VALUE!</v>
      </c>
      <c r="R300" s="368" t="e">
        <f t="shared" si="180"/>
        <v>#VALUE!</v>
      </c>
      <c r="S300" s="140">
        <f t="shared" si="185"/>
        <v>0</v>
      </c>
      <c r="T300" s="139">
        <f t="shared" si="186"/>
        <v>0</v>
      </c>
      <c r="U300" s="357"/>
      <c r="V300" s="358"/>
      <c r="W300" s="144"/>
    </row>
    <row r="301" spans="1:23" ht="15" hidden="1" customHeight="1" outlineLevel="1" thickBot="1">
      <c r="A301" s="353"/>
      <c r="B301" s="359">
        <f t="shared" si="153"/>
        <v>14.149999999999997</v>
      </c>
      <c r="C301" s="360" t="s">
        <v>800</v>
      </c>
      <c r="D301" s="360" t="s">
        <v>788</v>
      </c>
      <c r="E301" s="360">
        <v>7</v>
      </c>
      <c r="F301" s="347" t="str">
        <f t="shared" si="181"/>
        <v>120V 1Ø</v>
      </c>
      <c r="G301" s="372" t="str">
        <f>"Tierra"&amp;": "&amp;I301</f>
        <v>Tierra: Conductor 12 AWG THHN</v>
      </c>
      <c r="H301" s="366" t="str">
        <f>H300</f>
        <v>Conductores Americanos</v>
      </c>
      <c r="I301" s="366" t="str">
        <f>I300</f>
        <v>Conductor 12 AWG THHN</v>
      </c>
      <c r="J301" s="366">
        <f>J287</f>
        <v>35.58</v>
      </c>
      <c r="K301" s="345" t="str">
        <f t="shared" si="189"/>
        <v>Pies</v>
      </c>
      <c r="L301" s="28">
        <f t="shared" si="187"/>
        <v>117</v>
      </c>
      <c r="M301" s="140" t="str">
        <f>VLOOKUP(I301,[1]MATERIALES!$D$5:$I$1368,2,FALSE)</f>
        <v xml:space="preserve">Suplidores electricos </v>
      </c>
      <c r="N301" s="367" t="e">
        <f t="shared" si="178"/>
        <v>#VALUE!</v>
      </c>
      <c r="O301" s="140" t="e">
        <f t="shared" si="183"/>
        <v>#VALUE!</v>
      </c>
      <c r="P301" s="367" t="e">
        <f t="shared" si="184"/>
        <v>#VALUE!</v>
      </c>
      <c r="Q301" s="140" t="e">
        <f t="shared" si="179"/>
        <v>#VALUE!</v>
      </c>
      <c r="R301" s="368" t="e">
        <f t="shared" si="180"/>
        <v>#VALUE!</v>
      </c>
      <c r="S301" s="140">
        <f t="shared" si="185"/>
        <v>0</v>
      </c>
      <c r="T301" s="139">
        <f t="shared" si="186"/>
        <v>0</v>
      </c>
      <c r="U301" s="357"/>
      <c r="V301" s="358"/>
      <c r="W301" s="144"/>
    </row>
    <row r="302" spans="1:23" ht="15" hidden="1" customHeight="1" outlineLevel="1" thickBot="1">
      <c r="A302" s="353"/>
      <c r="B302" s="359">
        <f t="shared" si="153"/>
        <v>14.159999999999997</v>
      </c>
      <c r="C302" s="360" t="s">
        <v>800</v>
      </c>
      <c r="D302" s="360" t="s">
        <v>788</v>
      </c>
      <c r="E302" s="360">
        <v>7</v>
      </c>
      <c r="F302" s="347" t="str">
        <f t="shared" si="181"/>
        <v>120V 1Ø</v>
      </c>
      <c r="G302" s="361" t="str" cm="1">
        <f t="array" ref="G302">IFERROR(VLOOKUP(H302&amp;"|"&amp;I302,CHOOSE({1,2},[1]MATERIALES!B275:B2047&amp;"|"&amp;[1]MATERIALES!C276:C302,[1]MATERIALES!D275:D302),2,0),"-")</f>
        <v>-</v>
      </c>
      <c r="H302" s="373"/>
      <c r="I302" s="373" t="s">
        <v>603</v>
      </c>
      <c r="J302" s="316"/>
      <c r="K302" s="345" t="str">
        <f t="shared" si="189"/>
        <v>Unid.</v>
      </c>
      <c r="L302" s="218">
        <v>1</v>
      </c>
      <c r="M302" s="248">
        <f>IFERROR(VLOOKUP(G302,[1]MATERIALES!$D$5:$I$1368,2,FALSE),0)</f>
        <v>0</v>
      </c>
      <c r="N302" s="367">
        <f t="shared" si="178"/>
        <v>0</v>
      </c>
      <c r="O302" s="140">
        <f t="shared" si="183"/>
        <v>0</v>
      </c>
      <c r="P302" s="367">
        <f t="shared" si="184"/>
        <v>0</v>
      </c>
      <c r="Q302" s="140">
        <f t="shared" si="179"/>
        <v>0</v>
      </c>
      <c r="R302" s="368">
        <f t="shared" si="180"/>
        <v>0</v>
      </c>
      <c r="S302" s="140">
        <f t="shared" si="185"/>
        <v>0</v>
      </c>
      <c r="T302" s="139">
        <f t="shared" si="186"/>
        <v>0</v>
      </c>
      <c r="U302" s="357"/>
      <c r="V302" s="358"/>
      <c r="W302" s="144"/>
    </row>
    <row r="303" spans="1:23" ht="15" hidden="1" customHeight="1" outlineLevel="1" thickBot="1">
      <c r="A303" s="353"/>
      <c r="B303" s="359">
        <f t="shared" si="153"/>
        <v>14.169999999999996</v>
      </c>
      <c r="C303" s="360" t="s">
        <v>800</v>
      </c>
      <c r="D303" s="360" t="s">
        <v>788</v>
      </c>
      <c r="E303" s="360">
        <v>7</v>
      </c>
      <c r="F303" s="347" t="str">
        <f t="shared" si="181"/>
        <v>120V 1Ø</v>
      </c>
      <c r="G303" s="361" t="str" cm="1">
        <f t="array" ref="G303">IFERROR(VLOOKUP(H303&amp;"|"&amp;I303,CHOOSE({1,2},[1]MATERIALES!B276:B2048&amp;"|"&amp;[1]MATERIALES!C277:C303,[1]MATERIALES!D276:D303),2,0),"-")</f>
        <v>-</v>
      </c>
      <c r="H303" s="373"/>
      <c r="I303" s="373" t="s">
        <v>469</v>
      </c>
      <c r="J303" s="316"/>
      <c r="K303" s="345" t="str">
        <f t="shared" si="189"/>
        <v>Unid.</v>
      </c>
      <c r="L303" s="218">
        <v>0</v>
      </c>
      <c r="M303" s="248">
        <f>IFERROR(VLOOKUP(G303,[1]MATERIALES!$D$5:$I$1368,2,FALSE),0)</f>
        <v>0</v>
      </c>
      <c r="N303" s="367">
        <f t="shared" si="178"/>
        <v>0</v>
      </c>
      <c r="O303" s="140">
        <f t="shared" si="183"/>
        <v>0</v>
      </c>
      <c r="P303" s="367">
        <f t="shared" si="184"/>
        <v>0</v>
      </c>
      <c r="Q303" s="140">
        <f t="shared" si="179"/>
        <v>0</v>
      </c>
      <c r="R303" s="368">
        <f t="shared" si="180"/>
        <v>0</v>
      </c>
      <c r="S303" s="140">
        <f t="shared" si="185"/>
        <v>0</v>
      </c>
      <c r="T303" s="139">
        <f t="shared" si="186"/>
        <v>0</v>
      </c>
      <c r="U303" s="357"/>
      <c r="V303" s="358"/>
      <c r="W303" s="144"/>
    </row>
    <row r="304" spans="1:23" ht="15" hidden="1" customHeight="1" outlineLevel="1" thickBot="1">
      <c r="A304" s="353"/>
      <c r="B304" s="359">
        <f t="shared" si="153"/>
        <v>14.179999999999996</v>
      </c>
      <c r="C304" s="360" t="s">
        <v>800</v>
      </c>
      <c r="D304" s="360" t="s">
        <v>788</v>
      </c>
      <c r="E304" s="360">
        <v>7</v>
      </c>
      <c r="F304" s="347" t="str">
        <f t="shared" si="181"/>
        <v>120V 1Ø</v>
      </c>
      <c r="G304" s="361" t="s">
        <v>794</v>
      </c>
      <c r="H304" s="316"/>
      <c r="I304" s="316"/>
      <c r="J304" s="316"/>
      <c r="K304" s="345" t="str">
        <f t="shared" si="189"/>
        <v>Unid.</v>
      </c>
      <c r="L304" s="218">
        <v>3</v>
      </c>
      <c r="M304" s="248">
        <f>IFERROR(VLOOKUP(G304,[1]MATERIALES!$D$5:$I$1368,2,FALSE),0)</f>
        <v>0</v>
      </c>
      <c r="N304" s="367">
        <f t="shared" si="178"/>
        <v>0</v>
      </c>
      <c r="O304" s="140">
        <f t="shared" si="183"/>
        <v>0</v>
      </c>
      <c r="P304" s="367">
        <f t="shared" si="184"/>
        <v>0</v>
      </c>
      <c r="Q304" s="140">
        <f t="shared" si="179"/>
        <v>0</v>
      </c>
      <c r="R304" s="368">
        <f t="shared" si="180"/>
        <v>0</v>
      </c>
      <c r="S304" s="140">
        <f t="shared" si="185"/>
        <v>0</v>
      </c>
      <c r="T304" s="139">
        <f t="shared" si="186"/>
        <v>0</v>
      </c>
      <c r="U304" s="357"/>
      <c r="V304" s="358"/>
      <c r="W304" s="144"/>
    </row>
    <row r="305" spans="1:23" ht="15" hidden="1" customHeight="1" outlineLevel="1" thickBot="1">
      <c r="A305" s="353"/>
      <c r="B305" s="359">
        <f t="shared" si="153"/>
        <v>14.189999999999996</v>
      </c>
      <c r="C305" s="360" t="s">
        <v>800</v>
      </c>
      <c r="D305" s="360" t="s">
        <v>788</v>
      </c>
      <c r="E305" s="360">
        <v>7</v>
      </c>
      <c r="F305" s="347" t="str">
        <f t="shared" si="181"/>
        <v>120V 1Ø</v>
      </c>
      <c r="G305" s="361" t="s">
        <v>422</v>
      </c>
      <c r="H305" s="316"/>
      <c r="I305" s="316"/>
      <c r="J305" s="316"/>
      <c r="K305" s="345" t="str">
        <f t="shared" si="189"/>
        <v>Unid.</v>
      </c>
      <c r="L305" s="345">
        <f>3*(L292)</f>
        <v>15</v>
      </c>
      <c r="M305" s="248">
        <f>IFERROR(VLOOKUP(G305,[1]MATERIALES!$D$5:$I$1368,2,FALSE),0)</f>
        <v>0</v>
      </c>
      <c r="N305" s="367">
        <f t="shared" si="178"/>
        <v>0</v>
      </c>
      <c r="O305" s="140">
        <f t="shared" si="183"/>
        <v>0</v>
      </c>
      <c r="P305" s="367">
        <f t="shared" si="184"/>
        <v>0</v>
      </c>
      <c r="Q305" s="140">
        <f t="shared" si="179"/>
        <v>0</v>
      </c>
      <c r="R305" s="368">
        <f t="shared" si="180"/>
        <v>0</v>
      </c>
      <c r="S305" s="140">
        <f t="shared" si="185"/>
        <v>0</v>
      </c>
      <c r="T305" s="139">
        <f t="shared" si="186"/>
        <v>0</v>
      </c>
      <c r="U305" s="357" t="e">
        <f>SUM(R305:R307)</f>
        <v>#VALUE!</v>
      </c>
      <c r="V305" s="358" t="e">
        <f>'[1]1. OFERTA'!#REF!</f>
        <v>#REF!</v>
      </c>
      <c r="W305" s="144" t="e">
        <f>U305-V305</f>
        <v>#VALUE!</v>
      </c>
    </row>
    <row r="306" spans="1:23" ht="15" hidden="1" customHeight="1" outlineLevel="1" thickBot="1">
      <c r="A306" s="353"/>
      <c r="B306" s="359">
        <f t="shared" ref="B306" si="190">B305+0.01</f>
        <v>14.199999999999996</v>
      </c>
      <c r="C306" s="360" t="s">
        <v>800</v>
      </c>
      <c r="D306" s="360" t="s">
        <v>788</v>
      </c>
      <c r="E306" s="360">
        <v>7</v>
      </c>
      <c r="F306" s="347" t="str">
        <f t="shared" si="181"/>
        <v>120V 1Ø</v>
      </c>
      <c r="G306" s="361" t="s">
        <v>424</v>
      </c>
      <c r="H306" s="316"/>
      <c r="I306" s="316"/>
      <c r="J306" s="316"/>
      <c r="K306" s="345" t="s">
        <v>784</v>
      </c>
      <c r="L306" s="28">
        <f>ROUNDUP(L291+L292+L294,0)</f>
        <v>42</v>
      </c>
      <c r="M306" s="248">
        <f>IFERROR(VLOOKUP(G306,[1]MATERIALES!$D$5:$I$1368,2,FALSE),0)</f>
        <v>0</v>
      </c>
      <c r="N306" s="367">
        <f t="shared" si="178"/>
        <v>0</v>
      </c>
      <c r="O306" s="140">
        <f t="shared" si="183"/>
        <v>0</v>
      </c>
      <c r="P306" s="367">
        <f t="shared" si="184"/>
        <v>0</v>
      </c>
      <c r="Q306" s="140">
        <f t="shared" si="179"/>
        <v>0</v>
      </c>
      <c r="R306" s="368">
        <f t="shared" si="180"/>
        <v>0</v>
      </c>
      <c r="S306" s="140">
        <f t="shared" si="185"/>
        <v>0</v>
      </c>
      <c r="T306" s="139">
        <f t="shared" si="186"/>
        <v>0</v>
      </c>
      <c r="U306" s="357"/>
      <c r="V306" s="358"/>
      <c r="W306" s="144"/>
    </row>
    <row r="307" spans="1:23" ht="15" hidden="1" customHeight="1" outlineLevel="1" thickBot="1">
      <c r="A307" s="353"/>
      <c r="B307" s="359">
        <f>B306+0.01</f>
        <v>14.209999999999996</v>
      </c>
      <c r="C307" s="360" t="s">
        <v>800</v>
      </c>
      <c r="D307" s="360" t="s">
        <v>788</v>
      </c>
      <c r="E307" s="360">
        <v>7</v>
      </c>
      <c r="F307" s="347" t="str">
        <f t="shared" si="181"/>
        <v>120V 1Ø</v>
      </c>
      <c r="G307" s="361" t="s">
        <v>168</v>
      </c>
      <c r="H307" s="316"/>
      <c r="I307" s="316"/>
      <c r="J307" s="316"/>
      <c r="K307" s="345" t="s">
        <v>784</v>
      </c>
      <c r="L307" s="28">
        <f>L306</f>
        <v>42</v>
      </c>
      <c r="M307" s="248" t="str">
        <f>IFERROR(VLOOKUP(G307,[1]MATERIALES!$D$5:$I$1368,2,FALSE),0)</f>
        <v xml:space="preserve">Marba Dominicana </v>
      </c>
      <c r="N307" s="367" t="e">
        <f t="shared" si="178"/>
        <v>#VALUE!</v>
      </c>
      <c r="O307" s="140" t="e">
        <f t="shared" si="183"/>
        <v>#VALUE!</v>
      </c>
      <c r="P307" s="367" t="e">
        <f t="shared" si="184"/>
        <v>#VALUE!</v>
      </c>
      <c r="Q307" s="140" t="e">
        <f t="shared" si="179"/>
        <v>#VALUE!</v>
      </c>
      <c r="R307" s="368" t="e">
        <f t="shared" si="180"/>
        <v>#VALUE!</v>
      </c>
      <c r="S307" s="140">
        <f t="shared" si="185"/>
        <v>0</v>
      </c>
      <c r="T307" s="139">
        <f t="shared" si="186"/>
        <v>0</v>
      </c>
      <c r="U307" s="357"/>
      <c r="V307" s="358"/>
      <c r="W307" s="144"/>
    </row>
    <row r="308" spans="1:23" ht="15" customHeight="1" collapsed="1" thickBot="1">
      <c r="A308" s="353"/>
      <c r="B308" s="354">
        <v>15</v>
      </c>
      <c r="C308" s="355" t="s">
        <v>801</v>
      </c>
      <c r="D308" s="269" t="s">
        <v>788</v>
      </c>
      <c r="E308" s="269">
        <v>8</v>
      </c>
      <c r="F308" s="270" t="s">
        <v>783</v>
      </c>
      <c r="G308" s="271"/>
      <c r="H308" s="272"/>
      <c r="I308" s="272"/>
      <c r="J308" s="272"/>
      <c r="K308" s="268"/>
      <c r="L308" s="268"/>
      <c r="M308" s="273"/>
      <c r="N308" s="274"/>
      <c r="O308" s="273"/>
      <c r="P308" s="274"/>
      <c r="Q308" s="273"/>
      <c r="R308" s="275"/>
      <c r="S308" s="273"/>
      <c r="T308" s="276"/>
      <c r="U308" s="357" t="e">
        <f>SUM(R309:R329)</f>
        <v>#VALUE!</v>
      </c>
      <c r="V308" s="358" t="e">
        <f>'[1]1. OFERTA'!#REF!</f>
        <v>#REF!</v>
      </c>
      <c r="W308" s="144" t="e">
        <f>U308-V308</f>
        <v>#VALUE!</v>
      </c>
    </row>
    <row r="309" spans="1:23" ht="15" hidden="1" customHeight="1" outlineLevel="1" thickBot="1">
      <c r="A309" s="353"/>
      <c r="B309" s="359">
        <f t="shared" ref="B309:B372" si="191">B308+0.01</f>
        <v>15.01</v>
      </c>
      <c r="C309" s="360" t="s">
        <v>801</v>
      </c>
      <c r="D309" s="360" t="s">
        <v>788</v>
      </c>
      <c r="E309" s="360">
        <v>8</v>
      </c>
      <c r="F309" s="347" t="s">
        <v>783</v>
      </c>
      <c r="G309" s="361" t="str">
        <f>IF(H309="PVC",VLOOKUP(I309,[1]MATERIALES!$C$5:$D$11,2,FALSE),IF(H309="EMT",VLOOKUP(I309,[1]MATERIALES!$C$40:$D$46,2,FALSE),IF(H309="IMC",VLOOKUP(I309,[1]MATERIALES!$C$82:$D$88,2,FALSE),IF(H309="LFNC",VLOOKUP(I309,[1]MATERIALES!$C$110:$D$116,2,FALSE),0))))</f>
        <v>Tubería PVC SDR-26 1/2"</v>
      </c>
      <c r="H309" s="362" t="s">
        <v>184</v>
      </c>
      <c r="I309" s="362" t="s">
        <v>216</v>
      </c>
      <c r="J309" s="362">
        <v>38.380000000000003</v>
      </c>
      <c r="K309" s="134" t="str">
        <f>IF(OR(H309="Conductores Americanos",H309="Conductores Europeos"),"Pies","Unid.")</f>
        <v>Unid.</v>
      </c>
      <c r="L309" s="363">
        <f>IF(H309="PVC",ROUNDUP(J309/6,0),IF(H309="EMT",ROUNDUP(J309/3,0),IF(H309="IMC",ROUNDUP(J309/3,0),IF(H309="LFNC",ROUNDUP(3.28*J309,0),0))))</f>
        <v>7</v>
      </c>
      <c r="M309" s="248" t="str">
        <f>IFERROR(VLOOKUP(G309,[1]MATERIALES!$D$5:$I$1368,2,FALSE),0)</f>
        <v xml:space="preserve">Suplidores electricos </v>
      </c>
      <c r="N309" s="364" t="e">
        <f t="shared" ref="N309:N329" si="192">M309/$N$2</f>
        <v>#VALUE!</v>
      </c>
      <c r="O309" s="248" t="e">
        <f>+L309*M309</f>
        <v>#VALUE!</v>
      </c>
      <c r="P309" s="364" t="e">
        <f>L309*N309</f>
        <v>#VALUE!</v>
      </c>
      <c r="Q309" s="248" t="e">
        <f t="shared" ref="Q309:Q329" si="193">+$O309+($O309*$R$2)</f>
        <v>#VALUE!</v>
      </c>
      <c r="R309" s="365" t="e">
        <f t="shared" ref="R309:R329" si="194">+$P309+($P309*$R$2)</f>
        <v>#VALUE!</v>
      </c>
      <c r="S309" s="248">
        <f>+IFERROR(Q309/L309,0)</f>
        <v>0</v>
      </c>
      <c r="T309" s="146">
        <f>+IFERROR(R309/L309,0)</f>
        <v>0</v>
      </c>
      <c r="U309" s="357"/>
      <c r="V309" s="358"/>
      <c r="W309" s="144"/>
    </row>
    <row r="310" spans="1:23" ht="15" hidden="1" customHeight="1" outlineLevel="1" thickBot="1">
      <c r="A310" s="353"/>
      <c r="B310" s="359">
        <f t="shared" si="191"/>
        <v>15.02</v>
      </c>
      <c r="C310" s="360" t="s">
        <v>801</v>
      </c>
      <c r="D310" s="360" t="s">
        <v>788</v>
      </c>
      <c r="E310" s="360">
        <v>8</v>
      </c>
      <c r="F310" s="347" t="str">
        <f t="shared" ref="F310:F329" si="195">F309</f>
        <v>120V 1Ø</v>
      </c>
      <c r="G310" s="361" t="str">
        <f>IF(H310="PVC",VLOOKUP(I310,[1]MATERIALES!$C$12:$D$18,2,FALSE),IF(H310="EMT",VLOOKUP(I310,[1]MATERIALES!$C$47:$D$53,2,FALSE),IF(H310="IMC",VLOOKUP(I310,[1]MATERIALES!$C$89:$D$96,2,FALSE),"-")))</f>
        <v>Coupling PVC 1/2"</v>
      </c>
      <c r="H310" s="366" t="str">
        <f>H309</f>
        <v>PVC</v>
      </c>
      <c r="I310" s="366" t="str">
        <f>I309</f>
        <v>13mm</v>
      </c>
      <c r="J310" s="316"/>
      <c r="K310" s="345" t="str">
        <f t="shared" ref="K310:K317" si="196">IF(OR(H310="Conductores Americanos",H310="Conductores Europeos"),"Pies","Unid.")</f>
        <v>Unid.</v>
      </c>
      <c r="L310" s="28">
        <f>IF(H310="LFNC",0,L309)</f>
        <v>7</v>
      </c>
      <c r="M310" s="140" t="str">
        <f>IF(H310="LFNC",0,VLOOKUP(G310,[1]MATERIALES!$D$5:$I$1368,2,FALSE))</f>
        <v xml:space="preserve">Suplidores electricos </v>
      </c>
      <c r="N310" s="367" t="e">
        <f t="shared" si="192"/>
        <v>#VALUE!</v>
      </c>
      <c r="O310" s="140" t="e">
        <f t="shared" ref="O310:O329" si="197">+L310*M310</f>
        <v>#VALUE!</v>
      </c>
      <c r="P310" s="367" t="e">
        <f t="shared" ref="P310:P329" si="198">L310*N310</f>
        <v>#VALUE!</v>
      </c>
      <c r="Q310" s="140" t="e">
        <f t="shared" si="193"/>
        <v>#VALUE!</v>
      </c>
      <c r="R310" s="368" t="e">
        <f t="shared" si="194"/>
        <v>#VALUE!</v>
      </c>
      <c r="S310" s="140">
        <f t="shared" ref="S310:S329" si="199">+IFERROR(Q310/L310,0)</f>
        <v>0</v>
      </c>
      <c r="T310" s="139">
        <f t="shared" ref="T310:T329" si="200">+IFERROR(R310/L310,0)</f>
        <v>0</v>
      </c>
      <c r="U310" s="357"/>
      <c r="V310" s="358"/>
      <c r="W310" s="144"/>
    </row>
    <row r="311" spans="1:23" ht="15" hidden="1" customHeight="1" outlineLevel="1" thickBot="1">
      <c r="A311" s="353"/>
      <c r="B311" s="359">
        <f t="shared" si="191"/>
        <v>15.03</v>
      </c>
      <c r="C311" s="360" t="s">
        <v>801</v>
      </c>
      <c r="D311" s="360" t="s">
        <v>788</v>
      </c>
      <c r="E311" s="360">
        <v>8</v>
      </c>
      <c r="F311" s="347" t="str">
        <f t="shared" si="195"/>
        <v>120V 1Ø</v>
      </c>
      <c r="G311" s="361" t="str">
        <f>IF(H311="PVC",VLOOKUP(I311,[1]MATERIALES!$C$19:$D$25,2,FALSE),IF(H311="EMT",VLOOKUP(I311,[1]MATERIALES!$C$54:$D$60,2,FALSE),IF(H311="IMC",VLOOKUP(I311,[1]MATERIALES!$C$96:$D$102,2,FALSE),IF(H311="LFNC",VLOOKUP(I311,[1]MATERIALES!$C$117:$D$123,2,FALSE),0))))</f>
        <v>Adaptador Macho PVC 1/2"</v>
      </c>
      <c r="H311" s="366" t="str">
        <f>H309</f>
        <v>PVC</v>
      </c>
      <c r="I311" s="366" t="str">
        <f>I309</f>
        <v>13mm</v>
      </c>
      <c r="J311" s="316"/>
      <c r="K311" s="345" t="str">
        <f t="shared" si="196"/>
        <v>Unid.</v>
      </c>
      <c r="L311" s="28">
        <f>1+L314*2+L316</f>
        <v>16</v>
      </c>
      <c r="M311" s="248" t="str">
        <f>IFERROR(VLOOKUP(G311,[1]MATERIALES!$D$5:$I$1368,2,FALSE),0)</f>
        <v xml:space="preserve">Suplidores electricos </v>
      </c>
      <c r="N311" s="367" t="e">
        <f t="shared" si="192"/>
        <v>#VALUE!</v>
      </c>
      <c r="O311" s="140" t="e">
        <f t="shared" si="197"/>
        <v>#VALUE!</v>
      </c>
      <c r="P311" s="367" t="e">
        <f t="shared" si="198"/>
        <v>#VALUE!</v>
      </c>
      <c r="Q311" s="140" t="e">
        <f t="shared" si="193"/>
        <v>#VALUE!</v>
      </c>
      <c r="R311" s="368" t="e">
        <f t="shared" si="194"/>
        <v>#VALUE!</v>
      </c>
      <c r="S311" s="140">
        <f t="shared" si="199"/>
        <v>0</v>
      </c>
      <c r="T311" s="139">
        <f t="shared" si="200"/>
        <v>0</v>
      </c>
      <c r="U311" s="357"/>
      <c r="V311" s="358"/>
      <c r="W311" s="144"/>
    </row>
    <row r="312" spans="1:23" ht="15" hidden="1" customHeight="1" outlineLevel="1" thickBot="1">
      <c r="A312" s="353"/>
      <c r="B312" s="359">
        <f t="shared" si="191"/>
        <v>15.04</v>
      </c>
      <c r="C312" s="360" t="s">
        <v>801</v>
      </c>
      <c r="D312" s="360" t="s">
        <v>788</v>
      </c>
      <c r="E312" s="360">
        <v>8</v>
      </c>
      <c r="F312" s="347" t="str">
        <f t="shared" si="195"/>
        <v>120V 1Ø</v>
      </c>
      <c r="G312" s="361" t="str">
        <f>IF(H312="PVC",VLOOKUP(I312,[1]MATERIALES!$C$33:$D$39,2,FALSE),IF(H312="EMT",VLOOKUP(I312,[1]MATERIALES!$C$61:$D$67,2,FALSE),IF(H312="IMC",VLOOKUP(I312,[1]MATERIALES!$C$103:$D$109,2,FALSE),"-")))</f>
        <v>Curva 90 PVC SDR 1/2"</v>
      </c>
      <c r="H312" s="366" t="str">
        <f>H309</f>
        <v>PVC</v>
      </c>
      <c r="I312" s="366" t="str">
        <f>I309</f>
        <v>13mm</v>
      </c>
      <c r="J312" s="316"/>
      <c r="K312" s="345" t="str">
        <f t="shared" si="196"/>
        <v>Unid.</v>
      </c>
      <c r="L312" s="28">
        <f>IF(H312="LFNC",0,(1+L324))</f>
        <v>2</v>
      </c>
      <c r="M312" s="140" t="str">
        <f>IF(H312="LFNC",0,VLOOKUP(G312,[1]MATERIALES!$D$5:$I$1368,2,FALSE))</f>
        <v xml:space="preserve">Suplidores electricos </v>
      </c>
      <c r="N312" s="367" t="e">
        <f t="shared" si="192"/>
        <v>#VALUE!</v>
      </c>
      <c r="O312" s="140" t="e">
        <f t="shared" si="197"/>
        <v>#VALUE!</v>
      </c>
      <c r="P312" s="367" t="e">
        <f t="shared" si="198"/>
        <v>#VALUE!</v>
      </c>
      <c r="Q312" s="140" t="e">
        <f t="shared" si="193"/>
        <v>#VALUE!</v>
      </c>
      <c r="R312" s="368" t="e">
        <f t="shared" si="194"/>
        <v>#VALUE!</v>
      </c>
      <c r="S312" s="140">
        <f t="shared" si="199"/>
        <v>0</v>
      </c>
      <c r="T312" s="139">
        <f t="shared" si="200"/>
        <v>0</v>
      </c>
      <c r="U312" s="357"/>
      <c r="V312" s="358"/>
      <c r="W312" s="144"/>
    </row>
    <row r="313" spans="1:23" ht="15" hidden="1" customHeight="1" outlineLevel="1" thickBot="1">
      <c r="A313" s="353"/>
      <c r="B313" s="359">
        <f t="shared" si="191"/>
        <v>15.049999999999999</v>
      </c>
      <c r="C313" s="360" t="s">
        <v>801</v>
      </c>
      <c r="D313" s="360" t="s">
        <v>788</v>
      </c>
      <c r="E313" s="360">
        <v>8</v>
      </c>
      <c r="F313" s="347" t="str">
        <f t="shared" si="195"/>
        <v>120V 1Ø</v>
      </c>
      <c r="G313" s="361" t="str">
        <f>VLOOKUP(I313,[1]MATERIALES!$C$68:$D$74,2,FALSE)</f>
        <v>Abrazadera EMT 1/2'' </v>
      </c>
      <c r="H313" s="316"/>
      <c r="I313" s="366" t="str">
        <f>I309</f>
        <v>13mm</v>
      </c>
      <c r="J313" s="316"/>
      <c r="K313" s="345" t="str">
        <f t="shared" si="196"/>
        <v>Unid.</v>
      </c>
      <c r="L313" s="28">
        <f>ROUNDUP(J309,0)</f>
        <v>39</v>
      </c>
      <c r="M313" s="248" t="str">
        <f>IFERROR(VLOOKUP(G313,[1]MATERIALES!$D$5:$I$1368,2,FALSE),0)</f>
        <v xml:space="preserve">Suplidores electricos </v>
      </c>
      <c r="N313" s="367" t="e">
        <f t="shared" si="192"/>
        <v>#VALUE!</v>
      </c>
      <c r="O313" s="140" t="e">
        <f t="shared" si="197"/>
        <v>#VALUE!</v>
      </c>
      <c r="P313" s="367" t="e">
        <f t="shared" si="198"/>
        <v>#VALUE!</v>
      </c>
      <c r="Q313" s="140" t="e">
        <f t="shared" si="193"/>
        <v>#VALUE!</v>
      </c>
      <c r="R313" s="368" t="e">
        <f t="shared" si="194"/>
        <v>#VALUE!</v>
      </c>
      <c r="S313" s="140">
        <f t="shared" si="199"/>
        <v>0</v>
      </c>
      <c r="T313" s="139">
        <f t="shared" si="200"/>
        <v>0</v>
      </c>
      <c r="U313" s="357"/>
      <c r="V313" s="358"/>
      <c r="W313" s="144"/>
    </row>
    <row r="314" spans="1:23" ht="15" hidden="1" customHeight="1" outlineLevel="1" thickBot="1">
      <c r="A314" s="353"/>
      <c r="B314" s="359">
        <f t="shared" si="191"/>
        <v>15.059999999999999</v>
      </c>
      <c r="C314" s="360" t="s">
        <v>801</v>
      </c>
      <c r="D314" s="360" t="s">
        <v>788</v>
      </c>
      <c r="E314" s="360">
        <v>8</v>
      </c>
      <c r="F314" s="347" t="str">
        <f t="shared" si="195"/>
        <v>120V 1Ø</v>
      </c>
      <c r="G314" s="361" t="str" cm="1">
        <f t="array" ref="G314">_xlfn.SWITCH(I314,"13mm",(IF(H314="Rectangular",VLOOKUP(I314,[1]MATERIALES!$C$124:$D$125,2,FALSE),IF(H314="Octagonal",VLOOKUP(I314,[1]MATERIALES!$C$126:$D$127,2,FALSE),IF(H314="WP",VLOOKUP(I314,[1]MATERIALES!$C$128:$D$129,2,FALSE),IF(H314="5x5",VLOOKUP(I314,[1]MATERIALES!$C$130:$D$132,2,FALSE)))))),"19mm",(IF(H314="Rectangular",VLOOKUP(I314,[1]MATERIALES!$C$124:$D$125,2,FALSE),IF(H314="Octagonal",VLOOKUP(I314,[1]MATERIALES!$C$126:$D$127,2,FALSE),IF(H314="WP",VLOOKUP(I314,[1]MATERIALES!$C$128:$D$129,2,FALSE),IF(H314="5x5",VLOOKUP(I314,[1]MATERIALES!$C$130:$D$132,2,FALSE)))))),"25mm",IF(H314="Rectangular","-",IF(H314="Octagonal","--",IF(H314="WP","---",IF(H314="5x5",VLOOKUP(I314,[1]MATERIALES!$C$130:$D$132,2,FALSE),0)))),"38mm","-","50mm","-","75mm","-","100mm","-")</f>
        <v>Caja octagonal EMT 1/2" USA UL</v>
      </c>
      <c r="H314" s="369" t="s">
        <v>194</v>
      </c>
      <c r="I314" s="366" t="str">
        <f>I309</f>
        <v>13mm</v>
      </c>
      <c r="J314" s="316"/>
      <c r="K314" s="345" t="str">
        <f t="shared" si="196"/>
        <v>Unid.</v>
      </c>
      <c r="L314" s="28">
        <f>1+L324+L325+L326</f>
        <v>7</v>
      </c>
      <c r="M314" s="248" t="str">
        <f>IFERROR(VLOOKUP(G314,[1]MATERIALES!$D$5:$I$1368,2,FALSE),0)</f>
        <v xml:space="preserve">Suplidores electricos </v>
      </c>
      <c r="N314" s="367" t="e">
        <f t="shared" si="192"/>
        <v>#VALUE!</v>
      </c>
      <c r="O314" s="140" t="e">
        <f t="shared" si="197"/>
        <v>#VALUE!</v>
      </c>
      <c r="P314" s="367" t="e">
        <f t="shared" si="198"/>
        <v>#VALUE!</v>
      </c>
      <c r="Q314" s="140" t="e">
        <f t="shared" si="193"/>
        <v>#VALUE!</v>
      </c>
      <c r="R314" s="368" t="e">
        <f t="shared" si="194"/>
        <v>#VALUE!</v>
      </c>
      <c r="S314" s="140">
        <f t="shared" si="199"/>
        <v>0</v>
      </c>
      <c r="T314" s="139">
        <f t="shared" si="200"/>
        <v>0</v>
      </c>
      <c r="U314" s="357"/>
      <c r="V314" s="358"/>
      <c r="W314" s="144"/>
    </row>
    <row r="315" spans="1:23" ht="15" hidden="1" customHeight="1" outlineLevel="1" thickBot="1">
      <c r="A315" s="353"/>
      <c r="B315" s="359">
        <f t="shared" si="191"/>
        <v>15.069999999999999</v>
      </c>
      <c r="C315" s="360" t="s">
        <v>801</v>
      </c>
      <c r="D315" s="360" t="s">
        <v>788</v>
      </c>
      <c r="E315" s="360">
        <v>8</v>
      </c>
      <c r="F315" s="347" t="str">
        <f t="shared" si="195"/>
        <v>120V 1Ø</v>
      </c>
      <c r="G315" s="361" t="str">
        <f>IF(H315="Rectangular",[1]MATERIALES!$D$133,IF(H314="Octagonal",[1]MATERIALES!$D$134,IF(H314="WP",[1]MATERIALES!$D$135,IF(H314="5x5",[1]MATERIALES!$D$136,0))))</f>
        <v>Tapa caja EMT 2x4 Inoxidable.</v>
      </c>
      <c r="H315" s="369" t="str">
        <f>H314</f>
        <v>Octagonal</v>
      </c>
      <c r="I315" s="366" t="str">
        <f>I309</f>
        <v>13mm</v>
      </c>
      <c r="J315" s="316"/>
      <c r="K315" s="345" t="str">
        <f t="shared" si="196"/>
        <v>Unid.</v>
      </c>
      <c r="L315" s="28">
        <f>L314</f>
        <v>7</v>
      </c>
      <c r="M315" s="248" t="str">
        <f>IFERROR(VLOOKUP(G315,[1]MATERIALES!$D$5:$I$1368,2,FALSE),0)</f>
        <v xml:space="preserve">Suplidores electricos </v>
      </c>
      <c r="N315" s="367" t="e">
        <f t="shared" si="192"/>
        <v>#VALUE!</v>
      </c>
      <c r="O315" s="140" t="e">
        <f t="shared" si="197"/>
        <v>#VALUE!</v>
      </c>
      <c r="P315" s="367" t="e">
        <f t="shared" si="198"/>
        <v>#VALUE!</v>
      </c>
      <c r="Q315" s="140" t="e">
        <f t="shared" si="193"/>
        <v>#VALUE!</v>
      </c>
      <c r="R315" s="368" t="e">
        <f t="shared" si="194"/>
        <v>#VALUE!</v>
      </c>
      <c r="S315" s="140">
        <f t="shared" si="199"/>
        <v>0</v>
      </c>
      <c r="T315" s="139">
        <f t="shared" si="200"/>
        <v>0</v>
      </c>
      <c r="U315" s="357"/>
      <c r="V315" s="358"/>
      <c r="W315" s="144"/>
    </row>
    <row r="316" spans="1:23" ht="15" hidden="1" customHeight="1" outlineLevel="1" thickBot="1">
      <c r="A316" s="353"/>
      <c r="B316" s="359">
        <f t="shared" si="191"/>
        <v>15.079999999999998</v>
      </c>
      <c r="C316" s="360" t="s">
        <v>801</v>
      </c>
      <c r="D316" s="360" t="s">
        <v>788</v>
      </c>
      <c r="E316" s="360">
        <v>8</v>
      </c>
      <c r="F316" s="347" t="str">
        <f t="shared" si="195"/>
        <v>120V 1Ø</v>
      </c>
      <c r="G316" s="361" t="str" cm="1">
        <f t="array" ref="G316">_xlfn.SWITCH(I316,"13mm",(IF(H316="Rectangular",VLOOKUP(I316,[1]MATERIALES!$C$124:$D$125,2,FALSE),IF(H316="Octagonal",VLOOKUP(I316,[1]MATERIALES!$C$126:$D$127,2,FALSE),IF(H316="WP",VLOOKUP(I316,[1]MATERIALES!$C$128:$D$129,2,FALSE),IF(H316="5x5",VLOOKUP(I316,[1]MATERIALES!$C$130:$D$132,2,FALSE)))))),"19mm",(IF(H316="Rectangular",VLOOKUP(I316,[1]MATERIALES!$C$124:$D$125,2,FALSE),IF(H316="Octagonal",VLOOKUP(I316,[1]MATERIALES!$C$126:$D$127,2,FALSE),IF(H316="WP",VLOOKUP(I316,[1]MATERIALES!$C$128:$D$129,2,FALSE),IF(H316="5x5",VLOOKUP(I316,[1]MATERIALES!$C$130:$D$132,2,FALSE)))))),"25mm",IF(H316="Rectangular","-",IF(H316="Octagonal","--",IF(H316="WP","---",IF(H316="5x5",VLOOKUP(I316,[1]MATERIALES!$C$130:$D$132,2,FALSE),0)))),"38mm","-","50mm","-","75mm","-","100mm","-")</f>
        <v>Caja EMT 2x4 1/2" USA UL</v>
      </c>
      <c r="H316" s="369" t="s">
        <v>188</v>
      </c>
      <c r="I316" s="366" t="str">
        <f>I311</f>
        <v>13mm</v>
      </c>
      <c r="J316" s="316"/>
      <c r="K316" s="345" t="str">
        <f t="shared" si="196"/>
        <v>Unid.</v>
      </c>
      <c r="L316" s="28">
        <f>L324+L325</f>
        <v>1</v>
      </c>
      <c r="M316" s="248" t="str">
        <f>IFERROR(VLOOKUP(G316,[1]MATERIALES!$D$5:$I$1368,2,FALSE),0)</f>
        <v xml:space="preserve">Suplidores electricos </v>
      </c>
      <c r="N316" s="367" t="e">
        <f t="shared" si="192"/>
        <v>#VALUE!</v>
      </c>
      <c r="O316" s="140" t="e">
        <f t="shared" si="197"/>
        <v>#VALUE!</v>
      </c>
      <c r="P316" s="367" t="e">
        <f t="shared" si="198"/>
        <v>#VALUE!</v>
      </c>
      <c r="Q316" s="140" t="e">
        <f t="shared" si="193"/>
        <v>#VALUE!</v>
      </c>
      <c r="R316" s="368" t="e">
        <f t="shared" si="194"/>
        <v>#VALUE!</v>
      </c>
      <c r="S316" s="140">
        <f t="shared" si="199"/>
        <v>0</v>
      </c>
      <c r="T316" s="139">
        <f t="shared" si="200"/>
        <v>0</v>
      </c>
      <c r="U316" s="357"/>
      <c r="V316" s="358"/>
      <c r="W316" s="144"/>
    </row>
    <row r="317" spans="1:23" ht="15" hidden="1" customHeight="1" outlineLevel="1" thickBot="1">
      <c r="A317" s="353"/>
      <c r="B317" s="359">
        <f t="shared" si="191"/>
        <v>15.089999999999998</v>
      </c>
      <c r="C317" s="360" t="s">
        <v>801</v>
      </c>
      <c r="D317" s="360" t="s">
        <v>788</v>
      </c>
      <c r="E317" s="360">
        <v>8</v>
      </c>
      <c r="F317" s="347" t="str">
        <f t="shared" si="195"/>
        <v>120V 1Ø</v>
      </c>
      <c r="G317" s="361" t="str">
        <f>IF(H317="Rectangular",[1]MATERIALES!$D$133,IF(H316="Octagonal",[1]MATERIALES!$D$134,IF(H316="WP",[1]MATERIALES!#REF!,IF(H316="5x5",[1]MATERIALES!$D$136,0))))</f>
        <v>CAJA REG. 12X12X4 N3R</v>
      </c>
      <c r="H317" s="369" t="str">
        <f>H316</f>
        <v>Rectangular</v>
      </c>
      <c r="I317" s="366" t="str">
        <f>I311</f>
        <v>13mm</v>
      </c>
      <c r="J317" s="316"/>
      <c r="K317" s="345" t="str">
        <f t="shared" si="196"/>
        <v>Unid.</v>
      </c>
      <c r="L317" s="28">
        <f>L316</f>
        <v>1</v>
      </c>
      <c r="M317" s="248" t="str">
        <f>IFERROR(VLOOKUP(G317,[1]MATERIALES!$D$5:$I$1368,2,FALSE),0)</f>
        <v xml:space="preserve">Suplidores electricos </v>
      </c>
      <c r="N317" s="367" t="e">
        <f t="shared" si="192"/>
        <v>#VALUE!</v>
      </c>
      <c r="O317" s="140" t="e">
        <f t="shared" si="197"/>
        <v>#VALUE!</v>
      </c>
      <c r="P317" s="367" t="e">
        <f t="shared" si="198"/>
        <v>#VALUE!</v>
      </c>
      <c r="Q317" s="140" t="e">
        <f t="shared" si="193"/>
        <v>#VALUE!</v>
      </c>
      <c r="R317" s="368" t="e">
        <f t="shared" si="194"/>
        <v>#VALUE!</v>
      </c>
      <c r="S317" s="140">
        <f t="shared" si="199"/>
        <v>0</v>
      </c>
      <c r="T317" s="139">
        <f t="shared" si="200"/>
        <v>0</v>
      </c>
      <c r="U317" s="357"/>
      <c r="V317" s="358"/>
      <c r="W317" s="144"/>
    </row>
    <row r="318" spans="1:23" ht="15" hidden="1" customHeight="1" outlineLevel="1" thickBot="1">
      <c r="A318" s="353"/>
      <c r="B318" s="359">
        <f t="shared" si="191"/>
        <v>15.099999999999998</v>
      </c>
      <c r="C318" s="360" t="s">
        <v>801</v>
      </c>
      <c r="D318" s="360" t="s">
        <v>788</v>
      </c>
      <c r="E318" s="360">
        <v>8</v>
      </c>
      <c r="F318" s="347" t="str">
        <f t="shared" si="195"/>
        <v>120V 1Ø</v>
      </c>
      <c r="G318" s="371" t="str">
        <f>"Fase A"&amp;": "&amp;I318</f>
        <v>Fase A: Conductor 12 AWG THHN</v>
      </c>
      <c r="H318" s="366" t="s">
        <v>181</v>
      </c>
      <c r="I318" s="366" t="s">
        <v>189</v>
      </c>
      <c r="J318" s="366">
        <f>J309</f>
        <v>38.380000000000003</v>
      </c>
      <c r="K318" s="345" t="str">
        <f>IF(OR(H318="Conductores Americanos",H318="Conductores Europeos"),"Pies","Unid.")</f>
        <v>Pies</v>
      </c>
      <c r="L318" s="28">
        <f t="shared" ref="L318:L323" si="201">ROUNDUP(J318*3.28,0)</f>
        <v>126</v>
      </c>
      <c r="M318" s="140" t="str">
        <f>VLOOKUP(I318,[1]MATERIALES!$D$5:$I$1368,2,FALSE)</f>
        <v xml:space="preserve">Suplidores electricos </v>
      </c>
      <c r="N318" s="367" t="e">
        <f t="shared" si="192"/>
        <v>#VALUE!</v>
      </c>
      <c r="O318" s="140" t="e">
        <f t="shared" si="197"/>
        <v>#VALUE!</v>
      </c>
      <c r="P318" s="367" t="e">
        <f t="shared" si="198"/>
        <v>#VALUE!</v>
      </c>
      <c r="Q318" s="140" t="e">
        <f t="shared" si="193"/>
        <v>#VALUE!</v>
      </c>
      <c r="R318" s="368" t="e">
        <f t="shared" si="194"/>
        <v>#VALUE!</v>
      </c>
      <c r="S318" s="140">
        <f t="shared" si="199"/>
        <v>0</v>
      </c>
      <c r="T318" s="139">
        <f t="shared" si="200"/>
        <v>0</v>
      </c>
      <c r="U318" s="357"/>
      <c r="V318" s="358"/>
      <c r="W318" s="144"/>
    </row>
    <row r="319" spans="1:23" ht="15" hidden="1" customHeight="1" outlineLevel="1" thickBot="1">
      <c r="A319" s="353"/>
      <c r="B319" s="359">
        <f t="shared" si="191"/>
        <v>15.109999999999998</v>
      </c>
      <c r="C319" s="360" t="s">
        <v>801</v>
      </c>
      <c r="D319" s="360" t="s">
        <v>788</v>
      </c>
      <c r="E319" s="360">
        <v>8</v>
      </c>
      <c r="F319" s="347" t="str">
        <f t="shared" si="195"/>
        <v>120V 1Ø</v>
      </c>
      <c r="G319" s="371" t="str">
        <f>IF(F319="120V 1Ø","-",("Fase B"&amp;": "&amp;I319))</f>
        <v>-</v>
      </c>
      <c r="H319" s="366" t="str">
        <f t="shared" ref="H319:I322" si="202">H318</f>
        <v>Conductores Americanos</v>
      </c>
      <c r="I319" s="366" t="str">
        <f t="shared" si="202"/>
        <v>Conductor 12 AWG THHN</v>
      </c>
      <c r="J319" s="366">
        <f>IF(G319="-",0,J309)</f>
        <v>0</v>
      </c>
      <c r="K319" s="345" t="str">
        <f t="shared" ref="K319:K327" si="203">IF(OR(H319="Conductores Americanos",H319="Conductores Europeos"),"Pies","Unid.")</f>
        <v>Pies</v>
      </c>
      <c r="L319" s="28">
        <f t="shared" si="201"/>
        <v>0</v>
      </c>
      <c r="M319" s="140" t="str">
        <f>VLOOKUP(I319,[1]MATERIALES!$D$5:$I$1368,2,FALSE)</f>
        <v xml:space="preserve">Suplidores electricos </v>
      </c>
      <c r="N319" s="367" t="e">
        <f t="shared" si="192"/>
        <v>#VALUE!</v>
      </c>
      <c r="O319" s="140" t="e">
        <f t="shared" si="197"/>
        <v>#VALUE!</v>
      </c>
      <c r="P319" s="367" t="e">
        <f t="shared" si="198"/>
        <v>#VALUE!</v>
      </c>
      <c r="Q319" s="140" t="e">
        <f t="shared" si="193"/>
        <v>#VALUE!</v>
      </c>
      <c r="R319" s="368" t="e">
        <f t="shared" si="194"/>
        <v>#VALUE!</v>
      </c>
      <c r="S319" s="140">
        <f t="shared" si="199"/>
        <v>0</v>
      </c>
      <c r="T319" s="139">
        <f t="shared" si="200"/>
        <v>0</v>
      </c>
      <c r="U319" s="357"/>
      <c r="V319" s="358"/>
      <c r="W319" s="144"/>
    </row>
    <row r="320" spans="1:23" ht="15" hidden="1" customHeight="1" outlineLevel="1" thickBot="1">
      <c r="A320" s="353"/>
      <c r="B320" s="359">
        <f t="shared" si="191"/>
        <v>15.119999999999997</v>
      </c>
      <c r="C320" s="360" t="s">
        <v>801</v>
      </c>
      <c r="D320" s="360" t="s">
        <v>788</v>
      </c>
      <c r="E320" s="360">
        <v>8</v>
      </c>
      <c r="F320" s="347" t="str">
        <f t="shared" si="195"/>
        <v>120V 1Ø</v>
      </c>
      <c r="G320" s="371" t="str">
        <f>IF(F320="120V 1Ø","-",IF(F320="240V 1Ø","-",("Fase C"&amp;": "&amp;I318)))</f>
        <v>-</v>
      </c>
      <c r="H320" s="366" t="str">
        <f t="shared" si="202"/>
        <v>Conductores Americanos</v>
      </c>
      <c r="I320" s="366" t="str">
        <f t="shared" si="202"/>
        <v>Conductor 12 AWG THHN</v>
      </c>
      <c r="J320" s="366">
        <f>IF(G320="-",0,J310)</f>
        <v>0</v>
      </c>
      <c r="K320" s="345" t="str">
        <f t="shared" si="203"/>
        <v>Pies</v>
      </c>
      <c r="L320" s="28">
        <f t="shared" si="201"/>
        <v>0</v>
      </c>
      <c r="M320" s="140" t="str">
        <f>VLOOKUP(I320,[1]MATERIALES!$D$5:$I$1368,2,FALSE)</f>
        <v xml:space="preserve">Suplidores electricos </v>
      </c>
      <c r="N320" s="367" t="e">
        <f t="shared" si="192"/>
        <v>#VALUE!</v>
      </c>
      <c r="O320" s="140" t="e">
        <f t="shared" si="197"/>
        <v>#VALUE!</v>
      </c>
      <c r="P320" s="367" t="e">
        <f t="shared" si="198"/>
        <v>#VALUE!</v>
      </c>
      <c r="Q320" s="140" t="e">
        <f t="shared" si="193"/>
        <v>#VALUE!</v>
      </c>
      <c r="R320" s="368" t="e">
        <f t="shared" si="194"/>
        <v>#VALUE!</v>
      </c>
      <c r="S320" s="140">
        <f t="shared" si="199"/>
        <v>0</v>
      </c>
      <c r="T320" s="139">
        <f t="shared" si="200"/>
        <v>0</v>
      </c>
      <c r="U320" s="357"/>
      <c r="V320" s="358"/>
      <c r="W320" s="144"/>
    </row>
    <row r="321" spans="1:23" ht="15" hidden="1" customHeight="1" outlineLevel="1" thickBot="1">
      <c r="A321" s="353"/>
      <c r="B321" s="359">
        <f t="shared" si="191"/>
        <v>15.129999999999997</v>
      </c>
      <c r="C321" s="360" t="s">
        <v>801</v>
      </c>
      <c r="D321" s="360" t="s">
        <v>788</v>
      </c>
      <c r="E321" s="360">
        <v>8</v>
      </c>
      <c r="F321" s="347" t="str">
        <f t="shared" si="195"/>
        <v>120V 1Ø</v>
      </c>
      <c r="G321" s="372" t="str">
        <f>"Retorno"&amp;": "&amp;I321</f>
        <v>Retorno: Conductor 12 AWG THHN</v>
      </c>
      <c r="H321" s="366" t="str">
        <f t="shared" si="202"/>
        <v>Conductores Americanos</v>
      </c>
      <c r="I321" s="366" t="str">
        <f t="shared" si="202"/>
        <v>Conductor 12 AWG THHN</v>
      </c>
      <c r="J321" s="366">
        <f>J318/3+J318*L325/3</f>
        <v>12.793333333333335</v>
      </c>
      <c r="K321" s="345" t="str">
        <f t="shared" si="203"/>
        <v>Pies</v>
      </c>
      <c r="L321" s="28">
        <f t="shared" si="201"/>
        <v>42</v>
      </c>
      <c r="M321" s="140" t="str">
        <f>VLOOKUP(I321,[1]MATERIALES!$D$5:$I$1368,2,FALSE)</f>
        <v xml:space="preserve">Suplidores electricos </v>
      </c>
      <c r="N321" s="367" t="e">
        <f t="shared" si="192"/>
        <v>#VALUE!</v>
      </c>
      <c r="O321" s="140" t="e">
        <f t="shared" si="197"/>
        <v>#VALUE!</v>
      </c>
      <c r="P321" s="367" t="e">
        <f t="shared" si="198"/>
        <v>#VALUE!</v>
      </c>
      <c r="Q321" s="140" t="e">
        <f t="shared" si="193"/>
        <v>#VALUE!</v>
      </c>
      <c r="R321" s="368" t="e">
        <f t="shared" si="194"/>
        <v>#VALUE!</v>
      </c>
      <c r="S321" s="140">
        <f t="shared" si="199"/>
        <v>0</v>
      </c>
      <c r="T321" s="139">
        <f t="shared" si="200"/>
        <v>0</v>
      </c>
      <c r="U321" s="357"/>
      <c r="V321" s="358"/>
      <c r="W321" s="144"/>
    </row>
    <row r="322" spans="1:23" ht="15" hidden="1" customHeight="1" outlineLevel="1" thickBot="1">
      <c r="A322" s="353"/>
      <c r="B322" s="359">
        <f t="shared" si="191"/>
        <v>15.139999999999997</v>
      </c>
      <c r="C322" s="360" t="s">
        <v>801</v>
      </c>
      <c r="D322" s="360" t="s">
        <v>788</v>
      </c>
      <c r="E322" s="360">
        <v>8</v>
      </c>
      <c r="F322" s="347" t="str">
        <f t="shared" si="195"/>
        <v>120V 1Ø</v>
      </c>
      <c r="G322" s="372" t="str">
        <f>IF(F322="240V 1Ø","-",IF(F322="480V 3Ø","-",("Neutro"&amp;": "&amp;I319)))</f>
        <v>Neutro: Conductor 12 AWG THHN</v>
      </c>
      <c r="H322" s="366" t="str">
        <f>H320</f>
        <v>Conductores Americanos</v>
      </c>
      <c r="I322" s="366" t="str">
        <f t="shared" si="202"/>
        <v>Conductor 12 AWG THHN</v>
      </c>
      <c r="J322" s="366">
        <f>IF(G322="-",0,J309)</f>
        <v>38.380000000000003</v>
      </c>
      <c r="K322" s="345" t="str">
        <f t="shared" si="203"/>
        <v>Pies</v>
      </c>
      <c r="L322" s="28">
        <f t="shared" si="201"/>
        <v>126</v>
      </c>
      <c r="M322" s="140" t="str">
        <f>VLOOKUP(I322,[1]MATERIALES!$D$5:$I$1368,2,FALSE)</f>
        <v xml:space="preserve">Suplidores electricos </v>
      </c>
      <c r="N322" s="367" t="e">
        <f t="shared" si="192"/>
        <v>#VALUE!</v>
      </c>
      <c r="O322" s="140" t="e">
        <f t="shared" si="197"/>
        <v>#VALUE!</v>
      </c>
      <c r="P322" s="367" t="e">
        <f t="shared" si="198"/>
        <v>#VALUE!</v>
      </c>
      <c r="Q322" s="140" t="e">
        <f t="shared" si="193"/>
        <v>#VALUE!</v>
      </c>
      <c r="R322" s="368" t="e">
        <f t="shared" si="194"/>
        <v>#VALUE!</v>
      </c>
      <c r="S322" s="140">
        <f t="shared" si="199"/>
        <v>0</v>
      </c>
      <c r="T322" s="139">
        <f t="shared" si="200"/>
        <v>0</v>
      </c>
      <c r="U322" s="357"/>
      <c r="V322" s="358"/>
      <c r="W322" s="144"/>
    </row>
    <row r="323" spans="1:23" ht="15" hidden="1" customHeight="1" outlineLevel="1" thickBot="1">
      <c r="A323" s="353"/>
      <c r="B323" s="359">
        <f t="shared" si="191"/>
        <v>15.149999999999997</v>
      </c>
      <c r="C323" s="360" t="s">
        <v>801</v>
      </c>
      <c r="D323" s="360" t="s">
        <v>788</v>
      </c>
      <c r="E323" s="360">
        <v>8</v>
      </c>
      <c r="F323" s="347" t="str">
        <f t="shared" si="195"/>
        <v>120V 1Ø</v>
      </c>
      <c r="G323" s="372" t="str">
        <f>"Tierra"&amp;": "&amp;I323</f>
        <v>Tierra: Conductor 12 AWG THHN</v>
      </c>
      <c r="H323" s="366" t="str">
        <f>H322</f>
        <v>Conductores Americanos</v>
      </c>
      <c r="I323" s="366" t="str">
        <f>I322</f>
        <v>Conductor 12 AWG THHN</v>
      </c>
      <c r="J323" s="366">
        <f>J309</f>
        <v>38.380000000000003</v>
      </c>
      <c r="K323" s="345" t="str">
        <f t="shared" si="203"/>
        <v>Pies</v>
      </c>
      <c r="L323" s="28">
        <f t="shared" si="201"/>
        <v>126</v>
      </c>
      <c r="M323" s="140" t="str">
        <f>VLOOKUP(I323,[1]MATERIALES!$D$5:$I$1368,2,FALSE)</f>
        <v xml:space="preserve">Suplidores electricos </v>
      </c>
      <c r="N323" s="367" t="e">
        <f t="shared" si="192"/>
        <v>#VALUE!</v>
      </c>
      <c r="O323" s="140" t="e">
        <f t="shared" si="197"/>
        <v>#VALUE!</v>
      </c>
      <c r="P323" s="367" t="e">
        <f t="shared" si="198"/>
        <v>#VALUE!</v>
      </c>
      <c r="Q323" s="140" t="e">
        <f t="shared" si="193"/>
        <v>#VALUE!</v>
      </c>
      <c r="R323" s="368" t="e">
        <f t="shared" si="194"/>
        <v>#VALUE!</v>
      </c>
      <c r="S323" s="140">
        <f t="shared" si="199"/>
        <v>0</v>
      </c>
      <c r="T323" s="139">
        <f t="shared" si="200"/>
        <v>0</v>
      </c>
      <c r="U323" s="357"/>
      <c r="V323" s="358"/>
      <c r="W323" s="144"/>
    </row>
    <row r="324" spans="1:23" ht="15" hidden="1" customHeight="1" outlineLevel="1" thickBot="1">
      <c r="A324" s="353"/>
      <c r="B324" s="359">
        <f t="shared" si="191"/>
        <v>15.159999999999997</v>
      </c>
      <c r="C324" s="360" t="s">
        <v>801</v>
      </c>
      <c r="D324" s="360" t="s">
        <v>788</v>
      </c>
      <c r="E324" s="360">
        <v>8</v>
      </c>
      <c r="F324" s="347" t="str">
        <f t="shared" si="195"/>
        <v>120V 1Ø</v>
      </c>
      <c r="G324" s="361" t="str" cm="1">
        <f t="array" ref="G324">IFERROR(VLOOKUP(H324&amp;"|"&amp;I324,CHOOSE({1,2},[1]MATERIALES!B325:B2069&amp;"|"&amp;[1]MATERIALES!C325:C337,[1]MATERIALES!D325:D337),2,0),"-")</f>
        <v>-</v>
      </c>
      <c r="H324" s="373"/>
      <c r="I324" s="373" t="s">
        <v>603</v>
      </c>
      <c r="J324" s="316"/>
      <c r="K324" s="345" t="str">
        <f t="shared" si="203"/>
        <v>Unid.</v>
      </c>
      <c r="L324" s="218">
        <v>1</v>
      </c>
      <c r="M324" s="248">
        <f>IFERROR(VLOOKUP(G324,[1]MATERIALES!$D$5:$I$1368,2,FALSE),0)</f>
        <v>0</v>
      </c>
      <c r="N324" s="367">
        <f t="shared" si="192"/>
        <v>0</v>
      </c>
      <c r="O324" s="140">
        <f t="shared" si="197"/>
        <v>0</v>
      </c>
      <c r="P324" s="367">
        <f t="shared" si="198"/>
        <v>0</v>
      </c>
      <c r="Q324" s="140">
        <f t="shared" si="193"/>
        <v>0</v>
      </c>
      <c r="R324" s="368">
        <f t="shared" si="194"/>
        <v>0</v>
      </c>
      <c r="S324" s="140">
        <f t="shared" si="199"/>
        <v>0</v>
      </c>
      <c r="T324" s="139">
        <f t="shared" si="200"/>
        <v>0</v>
      </c>
      <c r="U324" s="357"/>
      <c r="V324" s="358"/>
      <c r="W324" s="144"/>
    </row>
    <row r="325" spans="1:23" ht="15" hidden="1" customHeight="1" outlineLevel="1" thickBot="1">
      <c r="A325" s="353"/>
      <c r="B325" s="359">
        <f t="shared" si="191"/>
        <v>15.169999999999996</v>
      </c>
      <c r="C325" s="360" t="s">
        <v>801</v>
      </c>
      <c r="D325" s="360" t="s">
        <v>788</v>
      </c>
      <c r="E325" s="360">
        <v>8</v>
      </c>
      <c r="F325" s="347" t="str">
        <f t="shared" si="195"/>
        <v>120V 1Ø</v>
      </c>
      <c r="G325" s="361" t="str" cm="1">
        <f t="array" ref="G325">IFERROR(VLOOKUP(H325&amp;"|"&amp;I325,CHOOSE({1,2},[1]MATERIALES!B326:B2070&amp;"|"&amp;[1]MATERIALES!C326:C338,[1]MATERIALES!D326:D338),2,0),"-")</f>
        <v>-</v>
      </c>
      <c r="H325" s="373"/>
      <c r="I325" s="373" t="s">
        <v>469</v>
      </c>
      <c r="J325" s="316"/>
      <c r="K325" s="345" t="str">
        <f t="shared" si="203"/>
        <v>Unid.</v>
      </c>
      <c r="L325" s="218">
        <v>0</v>
      </c>
      <c r="M325" s="248">
        <f>IFERROR(VLOOKUP(G325,[1]MATERIALES!$D$5:$I$1368,2,FALSE),0)</f>
        <v>0</v>
      </c>
      <c r="N325" s="367">
        <f t="shared" si="192"/>
        <v>0</v>
      </c>
      <c r="O325" s="140">
        <f t="shared" si="197"/>
        <v>0</v>
      </c>
      <c r="P325" s="367">
        <f t="shared" si="198"/>
        <v>0</v>
      </c>
      <c r="Q325" s="140">
        <f t="shared" si="193"/>
        <v>0</v>
      </c>
      <c r="R325" s="368">
        <f t="shared" si="194"/>
        <v>0</v>
      </c>
      <c r="S325" s="140">
        <f t="shared" si="199"/>
        <v>0</v>
      </c>
      <c r="T325" s="139">
        <f t="shared" si="200"/>
        <v>0</v>
      </c>
      <c r="U325" s="357"/>
      <c r="V325" s="358"/>
      <c r="W325" s="144"/>
    </row>
    <row r="326" spans="1:23" ht="15" hidden="1" customHeight="1" outlineLevel="1" thickBot="1">
      <c r="A326" s="353"/>
      <c r="B326" s="359">
        <f t="shared" si="191"/>
        <v>15.179999999999996</v>
      </c>
      <c r="C326" s="360" t="s">
        <v>801</v>
      </c>
      <c r="D326" s="360" t="s">
        <v>788</v>
      </c>
      <c r="E326" s="360">
        <v>8</v>
      </c>
      <c r="F326" s="347" t="str">
        <f t="shared" si="195"/>
        <v>120V 1Ø</v>
      </c>
      <c r="G326" s="361" t="s">
        <v>794</v>
      </c>
      <c r="H326" s="316"/>
      <c r="I326" s="316"/>
      <c r="J326" s="316"/>
      <c r="K326" s="345" t="str">
        <f t="shared" si="203"/>
        <v>Unid.</v>
      </c>
      <c r="L326" s="218">
        <v>5</v>
      </c>
      <c r="M326" s="248">
        <f>IFERROR(VLOOKUP(G326,[1]MATERIALES!$D$5:$I$1368,2,FALSE),0)</f>
        <v>0</v>
      </c>
      <c r="N326" s="367">
        <f t="shared" si="192"/>
        <v>0</v>
      </c>
      <c r="O326" s="140">
        <f t="shared" si="197"/>
        <v>0</v>
      </c>
      <c r="P326" s="367">
        <f t="shared" si="198"/>
        <v>0</v>
      </c>
      <c r="Q326" s="140">
        <f t="shared" si="193"/>
        <v>0</v>
      </c>
      <c r="R326" s="368">
        <f t="shared" si="194"/>
        <v>0</v>
      </c>
      <c r="S326" s="140">
        <f t="shared" si="199"/>
        <v>0</v>
      </c>
      <c r="T326" s="139">
        <f t="shared" si="200"/>
        <v>0</v>
      </c>
      <c r="U326" s="357"/>
      <c r="V326" s="358"/>
      <c r="W326" s="144"/>
    </row>
    <row r="327" spans="1:23" ht="15" hidden="1" customHeight="1" outlineLevel="1" thickBot="1">
      <c r="A327" s="353"/>
      <c r="B327" s="359">
        <f t="shared" si="191"/>
        <v>15.189999999999996</v>
      </c>
      <c r="C327" s="360" t="s">
        <v>801</v>
      </c>
      <c r="D327" s="360" t="s">
        <v>788</v>
      </c>
      <c r="E327" s="360">
        <v>8</v>
      </c>
      <c r="F327" s="347" t="str">
        <f t="shared" si="195"/>
        <v>120V 1Ø</v>
      </c>
      <c r="G327" s="361" t="s">
        <v>422</v>
      </c>
      <c r="H327" s="316"/>
      <c r="I327" s="316"/>
      <c r="J327" s="316"/>
      <c r="K327" s="345" t="str">
        <f t="shared" si="203"/>
        <v>Unid.</v>
      </c>
      <c r="L327" s="345">
        <f>3*(L314)</f>
        <v>21</v>
      </c>
      <c r="M327" s="248">
        <f>IFERROR(VLOOKUP(G327,[1]MATERIALES!$D$5:$I$1368,2,FALSE),0)</f>
        <v>0</v>
      </c>
      <c r="N327" s="367">
        <f t="shared" si="192"/>
        <v>0</v>
      </c>
      <c r="O327" s="140">
        <f t="shared" si="197"/>
        <v>0</v>
      </c>
      <c r="P327" s="367">
        <f t="shared" si="198"/>
        <v>0</v>
      </c>
      <c r="Q327" s="140">
        <f t="shared" si="193"/>
        <v>0</v>
      </c>
      <c r="R327" s="368">
        <f t="shared" si="194"/>
        <v>0</v>
      </c>
      <c r="S327" s="140">
        <f t="shared" si="199"/>
        <v>0</v>
      </c>
      <c r="T327" s="139">
        <f t="shared" si="200"/>
        <v>0</v>
      </c>
      <c r="U327" s="357" t="e">
        <f>SUM(R327:R329)</f>
        <v>#VALUE!</v>
      </c>
      <c r="V327" s="358" t="e">
        <f>'[1]1. OFERTA'!#REF!</f>
        <v>#REF!</v>
      </c>
      <c r="W327" s="144" t="e">
        <f>U327-V327</f>
        <v>#VALUE!</v>
      </c>
    </row>
    <row r="328" spans="1:23" ht="15" hidden="1" customHeight="1" outlineLevel="1" thickBot="1">
      <c r="A328" s="353"/>
      <c r="B328" s="359">
        <f t="shared" si="191"/>
        <v>15.199999999999996</v>
      </c>
      <c r="C328" s="360" t="s">
        <v>801</v>
      </c>
      <c r="D328" s="360" t="s">
        <v>788</v>
      </c>
      <c r="E328" s="360">
        <v>8</v>
      </c>
      <c r="F328" s="347" t="str">
        <f t="shared" si="195"/>
        <v>120V 1Ø</v>
      </c>
      <c r="G328" s="361" t="s">
        <v>424</v>
      </c>
      <c r="H328" s="316"/>
      <c r="I328" s="316"/>
      <c r="J328" s="316"/>
      <c r="K328" s="345" t="s">
        <v>784</v>
      </c>
      <c r="L328" s="28">
        <f>ROUNDUP(L313+L314+L316,0)</f>
        <v>47</v>
      </c>
      <c r="M328" s="248">
        <f>IFERROR(VLOOKUP(G328,[1]MATERIALES!$D$5:$I$1368,2,FALSE),0)</f>
        <v>0</v>
      </c>
      <c r="N328" s="367">
        <f t="shared" si="192"/>
        <v>0</v>
      </c>
      <c r="O328" s="140">
        <f t="shared" si="197"/>
        <v>0</v>
      </c>
      <c r="P328" s="367">
        <f t="shared" si="198"/>
        <v>0</v>
      </c>
      <c r="Q328" s="140">
        <f t="shared" si="193"/>
        <v>0</v>
      </c>
      <c r="R328" s="368">
        <f t="shared" si="194"/>
        <v>0</v>
      </c>
      <c r="S328" s="140">
        <f t="shared" si="199"/>
        <v>0</v>
      </c>
      <c r="T328" s="139">
        <f t="shared" si="200"/>
        <v>0</v>
      </c>
      <c r="U328" s="357"/>
      <c r="V328" s="358"/>
      <c r="W328" s="144"/>
    </row>
    <row r="329" spans="1:23" ht="15" hidden="1" customHeight="1" outlineLevel="1" thickBot="1">
      <c r="A329" s="353"/>
      <c r="B329" s="359">
        <f t="shared" si="191"/>
        <v>15.209999999999996</v>
      </c>
      <c r="C329" s="360" t="s">
        <v>801</v>
      </c>
      <c r="D329" s="360" t="s">
        <v>788</v>
      </c>
      <c r="E329" s="360">
        <v>8</v>
      </c>
      <c r="F329" s="347" t="str">
        <f t="shared" si="195"/>
        <v>120V 1Ø</v>
      </c>
      <c r="G329" s="361" t="s">
        <v>168</v>
      </c>
      <c r="H329" s="316"/>
      <c r="I329" s="316"/>
      <c r="J329" s="316"/>
      <c r="K329" s="345" t="s">
        <v>784</v>
      </c>
      <c r="L329" s="28">
        <f>L328</f>
        <v>47</v>
      </c>
      <c r="M329" s="248" t="str">
        <f>IFERROR(VLOOKUP(G329,[1]MATERIALES!$D$5:$I$1368,2,FALSE),0)</f>
        <v xml:space="preserve">Marba Dominicana </v>
      </c>
      <c r="N329" s="367" t="e">
        <f t="shared" si="192"/>
        <v>#VALUE!</v>
      </c>
      <c r="O329" s="140" t="e">
        <f t="shared" si="197"/>
        <v>#VALUE!</v>
      </c>
      <c r="P329" s="367" t="e">
        <f t="shared" si="198"/>
        <v>#VALUE!</v>
      </c>
      <c r="Q329" s="140" t="e">
        <f t="shared" si="193"/>
        <v>#VALUE!</v>
      </c>
      <c r="R329" s="368" t="e">
        <f t="shared" si="194"/>
        <v>#VALUE!</v>
      </c>
      <c r="S329" s="140">
        <f t="shared" si="199"/>
        <v>0</v>
      </c>
      <c r="T329" s="139">
        <f t="shared" si="200"/>
        <v>0</v>
      </c>
      <c r="U329" s="357"/>
      <c r="V329" s="358"/>
      <c r="W329" s="144"/>
    </row>
    <row r="330" spans="1:23" ht="15" customHeight="1" collapsed="1" thickBot="1">
      <c r="A330" s="353"/>
      <c r="B330" s="354">
        <v>16</v>
      </c>
      <c r="C330" s="355" t="s">
        <v>802</v>
      </c>
      <c r="D330" s="269" t="s">
        <v>782</v>
      </c>
      <c r="E330" s="269">
        <v>5</v>
      </c>
      <c r="F330" s="270" t="s">
        <v>783</v>
      </c>
      <c r="G330" s="271"/>
      <c r="H330" s="272"/>
      <c r="I330" s="272"/>
      <c r="J330" s="272"/>
      <c r="K330" s="268"/>
      <c r="L330" s="268"/>
      <c r="M330" s="273"/>
      <c r="N330" s="274"/>
      <c r="O330" s="273"/>
      <c r="P330" s="274"/>
      <c r="Q330" s="273"/>
      <c r="R330" s="275"/>
      <c r="S330" s="273"/>
      <c r="T330" s="276"/>
      <c r="U330" s="357" t="e">
        <f>SUM(R331:R349)</f>
        <v>#VALUE!</v>
      </c>
      <c r="V330" s="358" t="e">
        <f>'[1]1. OFERTA'!#REF!</f>
        <v>#REF!</v>
      </c>
      <c r="W330" s="144" t="e">
        <f>U330-V330</f>
        <v>#VALUE!</v>
      </c>
    </row>
    <row r="331" spans="1:23" ht="15" hidden="1" customHeight="1" outlineLevel="1" thickBot="1">
      <c r="A331" s="353"/>
      <c r="B331" s="359">
        <f t="shared" si="191"/>
        <v>16.010000000000002</v>
      </c>
      <c r="C331" s="360" t="s">
        <v>802</v>
      </c>
      <c r="D331" s="360" t="s">
        <v>782</v>
      </c>
      <c r="E331" s="360">
        <v>5</v>
      </c>
      <c r="F331" s="347" t="s">
        <v>783</v>
      </c>
      <c r="G331" s="361" t="str">
        <f>IF(H331="PVC",VLOOKUP(I331,[1]MATERIALES!$C$5:$D$11,2,FALSE),IF(H331="EMT",VLOOKUP(I331,[1]MATERIALES!$C$40:$D$46,2,FALSE),IF(H331="IMC",VLOOKUP(I331,[1]MATERIALES!$C$82:$D$88,2,FALSE),IF(H331="LFNC",VLOOKUP(I331,[1]MATERIALES!$C$110:$D$116,2,FALSE),0))))</f>
        <v>Tubería PVC SDR-26 1/2"</v>
      </c>
      <c r="H331" s="362" t="s">
        <v>184</v>
      </c>
      <c r="I331" s="362" t="s">
        <v>216</v>
      </c>
      <c r="J331" s="362">
        <v>25.6</v>
      </c>
      <c r="K331" s="134" t="str">
        <f>IF(OR(H331="Conductores Americanos",H331="Conductores Europeos"),"Pies","Unid.")</f>
        <v>Unid.</v>
      </c>
      <c r="L331" s="363">
        <f>IF(H331="PVC",ROUNDUP(J331/6,0),IF(H331="EMT",ROUNDUP(J331/3,0),IF(H331="IMC",ROUNDUP(J331/3,0),IF(H331="LFNC",ROUNDUP(3.28*J331,0),0))))</f>
        <v>5</v>
      </c>
      <c r="M331" s="248" t="str">
        <f>IFERROR(VLOOKUP(G331,[1]MATERIALES!$D$5:$I$1368,2,FALSE),0)</f>
        <v xml:space="preserve">Suplidores electricos </v>
      </c>
      <c r="N331" s="364" t="e">
        <f t="shared" ref="N331:N349" si="204">M331/$N$2</f>
        <v>#VALUE!</v>
      </c>
      <c r="O331" s="248" t="e">
        <f>+L331*M331</f>
        <v>#VALUE!</v>
      </c>
      <c r="P331" s="364" t="e">
        <f>L331*N331</f>
        <v>#VALUE!</v>
      </c>
      <c r="Q331" s="248" t="e">
        <f t="shared" ref="Q331:Q349" si="205">+$O331+($O331*$R$2)</f>
        <v>#VALUE!</v>
      </c>
      <c r="R331" s="365" t="e">
        <f t="shared" ref="R331:R349" si="206">+$P331+($P331*$R$2)</f>
        <v>#VALUE!</v>
      </c>
      <c r="S331" s="248">
        <f>+IFERROR(Q331/L331,0)</f>
        <v>0</v>
      </c>
      <c r="T331" s="146">
        <f>+IFERROR(R331/L331,0)</f>
        <v>0</v>
      </c>
      <c r="U331" s="357"/>
      <c r="V331" s="358"/>
      <c r="W331" s="144"/>
    </row>
    <row r="332" spans="1:23" ht="15" hidden="1" customHeight="1" outlineLevel="1" thickBot="1">
      <c r="A332" s="353"/>
      <c r="B332" s="359">
        <f t="shared" si="191"/>
        <v>16.020000000000003</v>
      </c>
      <c r="C332" s="360" t="s">
        <v>802</v>
      </c>
      <c r="D332" s="360" t="s">
        <v>782</v>
      </c>
      <c r="E332" s="360">
        <v>5</v>
      </c>
      <c r="F332" s="347" t="str">
        <f t="shared" ref="F332:F349" si="207">F331</f>
        <v>120V 1Ø</v>
      </c>
      <c r="G332" s="361" t="str">
        <f>IF(H332="PVC",VLOOKUP(I332,[1]MATERIALES!$C$12:$D$18,2,FALSE),IF(H332="EMT",VLOOKUP(I332,[1]MATERIALES!$C$47:$D$53,2,FALSE),IF(H332="IMC",VLOOKUP(I332,[1]MATERIALES!$C$89:$D$96,2,FALSE),"-")))</f>
        <v>Coupling PVC 1/2"</v>
      </c>
      <c r="H332" s="366" t="str">
        <f>H331</f>
        <v>PVC</v>
      </c>
      <c r="I332" s="366" t="str">
        <f>I331</f>
        <v>13mm</v>
      </c>
      <c r="J332" s="316"/>
      <c r="K332" s="345" t="str">
        <f t="shared" ref="K332:K339" si="208">IF(OR(H332="Conductores Americanos",H332="Conductores Europeos"),"Pies","Unid.")</f>
        <v>Unid.</v>
      </c>
      <c r="L332" s="28">
        <f>IF(H332="LFNC",0,L331)</f>
        <v>5</v>
      </c>
      <c r="M332" s="140" t="str">
        <f>IF(H332="LFNC",0,VLOOKUP(G332,[1]MATERIALES!$D$5:$I$1368,2,FALSE))</f>
        <v xml:space="preserve">Suplidores electricos </v>
      </c>
      <c r="N332" s="367" t="e">
        <f t="shared" si="204"/>
        <v>#VALUE!</v>
      </c>
      <c r="O332" s="140" t="e">
        <f t="shared" ref="O332:O349" si="209">+L332*M332</f>
        <v>#VALUE!</v>
      </c>
      <c r="P332" s="367" t="e">
        <f t="shared" ref="P332:P349" si="210">L332*N332</f>
        <v>#VALUE!</v>
      </c>
      <c r="Q332" s="140" t="e">
        <f t="shared" si="205"/>
        <v>#VALUE!</v>
      </c>
      <c r="R332" s="368" t="e">
        <f t="shared" si="206"/>
        <v>#VALUE!</v>
      </c>
      <c r="S332" s="140">
        <f t="shared" ref="S332:S349" si="211">+IFERROR(Q332/L332,0)</f>
        <v>0</v>
      </c>
      <c r="T332" s="139">
        <f t="shared" ref="T332:T349" si="212">+IFERROR(R332/L332,0)</f>
        <v>0</v>
      </c>
      <c r="U332" s="357"/>
      <c r="V332" s="358"/>
      <c r="W332" s="144"/>
    </row>
    <row r="333" spans="1:23" ht="15" hidden="1" customHeight="1" outlineLevel="1" thickBot="1">
      <c r="A333" s="353"/>
      <c r="B333" s="359">
        <f t="shared" si="191"/>
        <v>16.030000000000005</v>
      </c>
      <c r="C333" s="360" t="s">
        <v>802</v>
      </c>
      <c r="D333" s="360" t="s">
        <v>782</v>
      </c>
      <c r="E333" s="360">
        <v>5</v>
      </c>
      <c r="F333" s="347" t="str">
        <f t="shared" si="207"/>
        <v>120V 1Ø</v>
      </c>
      <c r="G333" s="361" t="str">
        <f>IF(H333="PVC",VLOOKUP(I333,[1]MATERIALES!$C$19:$D$25,2,FALSE),IF(H333="EMT",VLOOKUP(I333,[1]MATERIALES!$C$54:$D$60,2,FALSE),IF(H333="IMC",VLOOKUP(I333,[1]MATERIALES!$C$96:$D$102,2,FALSE),IF(H333="LFNC",VLOOKUP(I333,[1]MATERIALES!$C$117:$D$123,2,FALSE),0))))</f>
        <v>Adaptador Macho PVC 1/2"</v>
      </c>
      <c r="H333" s="366" t="str">
        <f>H331</f>
        <v>PVC</v>
      </c>
      <c r="I333" s="366" t="str">
        <f>I331</f>
        <v>13mm</v>
      </c>
      <c r="J333" s="316"/>
      <c r="K333" s="345" t="str">
        <f t="shared" si="208"/>
        <v>Unid.</v>
      </c>
      <c r="L333" s="28">
        <f>1+L336*2+L338</f>
        <v>3</v>
      </c>
      <c r="M333" s="248" t="str">
        <f>IFERROR(VLOOKUP(G333,[1]MATERIALES!$D$5:$I$1368,2,FALSE),0)</f>
        <v xml:space="preserve">Suplidores electricos </v>
      </c>
      <c r="N333" s="367" t="e">
        <f t="shared" si="204"/>
        <v>#VALUE!</v>
      </c>
      <c r="O333" s="140" t="e">
        <f t="shared" si="209"/>
        <v>#VALUE!</v>
      </c>
      <c r="P333" s="367" t="e">
        <f t="shared" si="210"/>
        <v>#VALUE!</v>
      </c>
      <c r="Q333" s="140" t="e">
        <f t="shared" si="205"/>
        <v>#VALUE!</v>
      </c>
      <c r="R333" s="368" t="e">
        <f t="shared" si="206"/>
        <v>#VALUE!</v>
      </c>
      <c r="S333" s="140">
        <f t="shared" si="211"/>
        <v>0</v>
      </c>
      <c r="T333" s="139">
        <f t="shared" si="212"/>
        <v>0</v>
      </c>
      <c r="U333" s="357"/>
      <c r="V333" s="358"/>
      <c r="W333" s="144"/>
    </row>
    <row r="334" spans="1:23" ht="15" hidden="1" customHeight="1" outlineLevel="1" thickBot="1">
      <c r="A334" s="353"/>
      <c r="B334" s="359">
        <f t="shared" si="191"/>
        <v>16.040000000000006</v>
      </c>
      <c r="C334" s="360" t="s">
        <v>802</v>
      </c>
      <c r="D334" s="360" t="s">
        <v>782</v>
      </c>
      <c r="E334" s="360">
        <v>5</v>
      </c>
      <c r="F334" s="347" t="str">
        <f t="shared" si="207"/>
        <v>120V 1Ø</v>
      </c>
      <c r="G334" s="361" t="str">
        <f>IF(H334="PVC",VLOOKUP(I334,[1]MATERIALES!$C$33:$D$39,2,FALSE),IF(H334="EMT",VLOOKUP(I334,[1]MATERIALES!$C$61:$D$67,2,FALSE),IF(H334="IMC",VLOOKUP(I334,[1]MATERIALES!$C$103:$D$109,2,FALSE),"-")))</f>
        <v>Curva 90 PVC SDR 1/2"</v>
      </c>
      <c r="H334" s="366" t="str">
        <f>H331</f>
        <v>PVC</v>
      </c>
      <c r="I334" s="366" t="str">
        <f>I331</f>
        <v>13mm</v>
      </c>
      <c r="J334" s="316"/>
      <c r="K334" s="345" t="str">
        <f t="shared" si="208"/>
        <v>Unid.</v>
      </c>
      <c r="L334" s="28">
        <f>IF(H334="LFNC",0,(1+L345))</f>
        <v>1</v>
      </c>
      <c r="M334" s="140" t="str">
        <f>IF(H334="LFNC",0,VLOOKUP(G334,[1]MATERIALES!$D$5:$I$1368,2,FALSE))</f>
        <v xml:space="preserve">Suplidores electricos </v>
      </c>
      <c r="N334" s="367" t="e">
        <f t="shared" si="204"/>
        <v>#VALUE!</v>
      </c>
      <c r="O334" s="140" t="e">
        <f t="shared" si="209"/>
        <v>#VALUE!</v>
      </c>
      <c r="P334" s="367" t="e">
        <f t="shared" si="210"/>
        <v>#VALUE!</v>
      </c>
      <c r="Q334" s="140" t="e">
        <f t="shared" si="205"/>
        <v>#VALUE!</v>
      </c>
      <c r="R334" s="368" t="e">
        <f t="shared" si="206"/>
        <v>#VALUE!</v>
      </c>
      <c r="S334" s="140">
        <f t="shared" si="211"/>
        <v>0</v>
      </c>
      <c r="T334" s="139">
        <f t="shared" si="212"/>
        <v>0</v>
      </c>
      <c r="U334" s="357"/>
      <c r="V334" s="358"/>
      <c r="W334" s="144"/>
    </row>
    <row r="335" spans="1:23" ht="15" hidden="1" customHeight="1" outlineLevel="1" thickBot="1">
      <c r="A335" s="353"/>
      <c r="B335" s="359">
        <f t="shared" si="191"/>
        <v>16.050000000000008</v>
      </c>
      <c r="C335" s="360" t="s">
        <v>802</v>
      </c>
      <c r="D335" s="360" t="s">
        <v>782</v>
      </c>
      <c r="E335" s="360">
        <v>5</v>
      </c>
      <c r="F335" s="347" t="str">
        <f t="shared" si="207"/>
        <v>120V 1Ø</v>
      </c>
      <c r="G335" s="361" t="str">
        <f>VLOOKUP(I335,[1]MATERIALES!$C$68:$D$74,2,FALSE)</f>
        <v>Abrazadera EMT 1/2'' </v>
      </c>
      <c r="H335" s="316"/>
      <c r="I335" s="366" t="str">
        <f>I331</f>
        <v>13mm</v>
      </c>
      <c r="J335" s="316"/>
      <c r="K335" s="345" t="str">
        <f t="shared" si="208"/>
        <v>Unid.</v>
      </c>
      <c r="L335" s="28">
        <f>ROUNDUP(J331,0)</f>
        <v>26</v>
      </c>
      <c r="M335" s="248" t="str">
        <f>IFERROR(VLOOKUP(G335,[1]MATERIALES!$D$5:$I$1368,2,FALSE),0)</f>
        <v xml:space="preserve">Suplidores electricos </v>
      </c>
      <c r="N335" s="367" t="e">
        <f t="shared" si="204"/>
        <v>#VALUE!</v>
      </c>
      <c r="O335" s="140" t="e">
        <f t="shared" si="209"/>
        <v>#VALUE!</v>
      </c>
      <c r="P335" s="367" t="e">
        <f t="shared" si="210"/>
        <v>#VALUE!</v>
      </c>
      <c r="Q335" s="140" t="e">
        <f t="shared" si="205"/>
        <v>#VALUE!</v>
      </c>
      <c r="R335" s="368" t="e">
        <f t="shared" si="206"/>
        <v>#VALUE!</v>
      </c>
      <c r="S335" s="140">
        <f t="shared" si="211"/>
        <v>0</v>
      </c>
      <c r="T335" s="139">
        <f t="shared" si="212"/>
        <v>0</v>
      </c>
      <c r="U335" s="357"/>
      <c r="V335" s="358"/>
      <c r="W335" s="144"/>
    </row>
    <row r="336" spans="1:23" ht="15" hidden="1" customHeight="1" outlineLevel="1" thickBot="1">
      <c r="A336" s="353"/>
      <c r="B336" s="359">
        <f t="shared" si="191"/>
        <v>16.060000000000009</v>
      </c>
      <c r="C336" s="360" t="s">
        <v>802</v>
      </c>
      <c r="D336" s="360" t="s">
        <v>782</v>
      </c>
      <c r="E336" s="360">
        <v>5</v>
      </c>
      <c r="F336" s="347" t="str">
        <f t="shared" si="207"/>
        <v>120V 1Ø</v>
      </c>
      <c r="G336" s="361" t="str" cm="1">
        <f t="array" ref="G336">_xlfn.SWITCH(I336,"13mm",(IF(H336="Rectangular",VLOOKUP(I336,[1]MATERIALES!$C$124:$D$125,2,FALSE),IF(H336="Octagonal",VLOOKUP(I336,[1]MATERIALES!$C$126:$D$127,2,FALSE),IF(H336="WP",VLOOKUP(I336,[1]MATERIALES!$C$128:$D$129,2,FALSE),IF(H336="5x5",VLOOKUP(I336,[1]MATERIALES!$C$130:$D$132,2,FALSE)))))),"19mm",(IF(H336="Rectangular",VLOOKUP(I336,[1]MATERIALES!$C$124:$D$125,2,FALSE),IF(H336="Octagonal",VLOOKUP(I336,[1]MATERIALES!$C$126:$D$127,2,FALSE),IF(H336="WP",VLOOKUP(I336,[1]MATERIALES!$C$128:$D$129,2,FALSE),IF(H336="5x5",VLOOKUP(I336,[1]MATERIALES!$C$130:$D$132,2,FALSE)))))),"25mm",IF(H336="Rectangular","-",IF(H336="Octagonal","--",IF(H336="WP","---",IF(H336="5x5",VLOOKUP(I336,[1]MATERIALES!$C$130:$D$132,2,FALSE),0)))),"38mm","-","50mm","-","75mm","-","100mm","-")</f>
        <v>Caja 2x4 waterproof 1/2"</v>
      </c>
      <c r="H336" s="369" t="s">
        <v>199</v>
      </c>
      <c r="I336" s="366" t="str">
        <f>I331</f>
        <v>13mm</v>
      </c>
      <c r="J336" s="316"/>
      <c r="K336" s="345" t="str">
        <f t="shared" si="208"/>
        <v>Unid.</v>
      </c>
      <c r="L336" s="28">
        <f>1+L345</f>
        <v>1</v>
      </c>
      <c r="M336" s="248">
        <f>IFERROR(VLOOKUP(G336,[1]MATERIALES!$D$5:$I$1368,2,FALSE),0)</f>
        <v>0</v>
      </c>
      <c r="N336" s="367">
        <f t="shared" si="204"/>
        <v>0</v>
      </c>
      <c r="O336" s="140">
        <f t="shared" si="209"/>
        <v>0</v>
      </c>
      <c r="P336" s="367">
        <f t="shared" si="210"/>
        <v>0</v>
      </c>
      <c r="Q336" s="140">
        <f t="shared" si="205"/>
        <v>0</v>
      </c>
      <c r="R336" s="368">
        <f t="shared" si="206"/>
        <v>0</v>
      </c>
      <c r="S336" s="140">
        <f t="shared" si="211"/>
        <v>0</v>
      </c>
      <c r="T336" s="139">
        <f t="shared" si="212"/>
        <v>0</v>
      </c>
      <c r="U336" s="357"/>
      <c r="V336" s="358"/>
      <c r="W336" s="144"/>
    </row>
    <row r="337" spans="1:23" ht="15" hidden="1" customHeight="1" outlineLevel="1" thickBot="1">
      <c r="A337" s="353"/>
      <c r="B337" s="359">
        <f t="shared" si="191"/>
        <v>16.070000000000011</v>
      </c>
      <c r="C337" s="360" t="s">
        <v>802</v>
      </c>
      <c r="D337" s="360" t="s">
        <v>782</v>
      </c>
      <c r="E337" s="360">
        <v>5</v>
      </c>
      <c r="F337" s="347" t="str">
        <f t="shared" si="207"/>
        <v>120V 1Ø</v>
      </c>
      <c r="G337" s="370" t="str">
        <f>IF(H337="Rectangular",[1]MATERIALES!$D$133,IF(H336="Octagonal",[1]MATERIALES!$D$134,IF(H336="WP",[1]MATERIALES!$D$135,IF(H336="5x5",[1]MATERIALES!$D$136,0))))</f>
        <v>Tapa caja octagonal EMT USA UL</v>
      </c>
      <c r="H337" s="369" t="str">
        <f>H336</f>
        <v>WP</v>
      </c>
      <c r="I337" s="366" t="str">
        <f>I331</f>
        <v>13mm</v>
      </c>
      <c r="J337" s="316"/>
      <c r="K337" s="345" t="str">
        <f t="shared" si="208"/>
        <v>Unid.</v>
      </c>
      <c r="L337" s="28">
        <f>L336</f>
        <v>1</v>
      </c>
      <c r="M337" s="248" t="str">
        <f>IFERROR(VLOOKUP(G337,[1]MATERIALES!$D$5:$I$1368,2,FALSE),0)</f>
        <v xml:space="preserve">Suplidores electricos </v>
      </c>
      <c r="N337" s="367" t="e">
        <f t="shared" si="204"/>
        <v>#VALUE!</v>
      </c>
      <c r="O337" s="140" t="e">
        <f t="shared" si="209"/>
        <v>#VALUE!</v>
      </c>
      <c r="P337" s="367" t="e">
        <f t="shared" si="210"/>
        <v>#VALUE!</v>
      </c>
      <c r="Q337" s="140" t="e">
        <f t="shared" si="205"/>
        <v>#VALUE!</v>
      </c>
      <c r="R337" s="368" t="e">
        <f t="shared" si="206"/>
        <v>#VALUE!</v>
      </c>
      <c r="S337" s="140">
        <f t="shared" si="211"/>
        <v>0</v>
      </c>
      <c r="T337" s="139">
        <f t="shared" si="212"/>
        <v>0</v>
      </c>
      <c r="U337" s="357"/>
      <c r="V337" s="358"/>
      <c r="W337" s="144"/>
    </row>
    <row r="338" spans="1:23" ht="15" hidden="1" customHeight="1" outlineLevel="1" thickBot="1">
      <c r="A338" s="353"/>
      <c r="B338" s="359">
        <f t="shared" si="191"/>
        <v>16.080000000000013</v>
      </c>
      <c r="C338" s="360" t="s">
        <v>802</v>
      </c>
      <c r="D338" s="360" t="s">
        <v>782</v>
      </c>
      <c r="E338" s="360">
        <v>5</v>
      </c>
      <c r="F338" s="347" t="str">
        <f t="shared" si="207"/>
        <v>120V 1Ø</v>
      </c>
      <c r="G338" s="361" t="str" cm="1">
        <f t="array" ref="G338">_xlfn.SWITCH(I338,"13mm",(IF(H338="Rectangular",VLOOKUP(I338,[1]MATERIALES!$C$124:$D$125,2,FALSE),IF(H338="Octagonal",VLOOKUP(I338,[1]MATERIALES!$C$126:$D$127,2,FALSE),IF(H338="WP",VLOOKUP(I338,[1]MATERIALES!$C$128:$D$129,2,FALSE),IF(H338="5x5",VLOOKUP(I338,[1]MATERIALES!$C$130:$D$132,2,FALSE)))))),"19mm",(IF(H338="Rectangular",VLOOKUP(I338,[1]MATERIALES!$C$124:$D$125,2,FALSE),IF(H338="Octagonal",VLOOKUP(I338,[1]MATERIALES!$C$126:$D$127,2,FALSE),IF(H338="WP",VLOOKUP(I338,[1]MATERIALES!$C$128:$D$129,2,FALSE),IF(H338="5x5",VLOOKUP(I338,[1]MATERIALES!$C$130:$D$132,2,FALSE)))))),"25mm",IF(H338="Rectangular","-",IF(H338="Octagonal","--",IF(H338="WP","---",IF(H338="5x5",VLOOKUP(I338,[1]MATERIALES!$C$130:$D$132,2,FALSE),0)))),"38mm","-","50mm","-","75mm","-","100mm","-")</f>
        <v>Caja 2x4 waterproof 1/2"</v>
      </c>
      <c r="H338" s="369" t="s">
        <v>199</v>
      </c>
      <c r="I338" s="366" t="str">
        <f>I333</f>
        <v>13mm</v>
      </c>
      <c r="J338" s="316"/>
      <c r="K338" s="345" t="str">
        <f t="shared" si="208"/>
        <v>Unid.</v>
      </c>
      <c r="L338" s="28">
        <f>L345</f>
        <v>0</v>
      </c>
      <c r="M338" s="248">
        <f>IFERROR(VLOOKUP(G338,[1]MATERIALES!$D$5:$I$1368,2,FALSE),0)</f>
        <v>0</v>
      </c>
      <c r="N338" s="367">
        <f t="shared" si="204"/>
        <v>0</v>
      </c>
      <c r="O338" s="140">
        <f t="shared" si="209"/>
        <v>0</v>
      </c>
      <c r="P338" s="367">
        <f t="shared" si="210"/>
        <v>0</v>
      </c>
      <c r="Q338" s="140">
        <f t="shared" si="205"/>
        <v>0</v>
      </c>
      <c r="R338" s="368">
        <f t="shared" si="206"/>
        <v>0</v>
      </c>
      <c r="S338" s="140">
        <f t="shared" si="211"/>
        <v>0</v>
      </c>
      <c r="T338" s="139">
        <f t="shared" si="212"/>
        <v>0</v>
      </c>
      <c r="U338" s="357"/>
      <c r="V338" s="358"/>
      <c r="W338" s="144"/>
    </row>
    <row r="339" spans="1:23" ht="15" hidden="1" customHeight="1" outlineLevel="1" thickBot="1">
      <c r="A339" s="353"/>
      <c r="B339" s="359">
        <f t="shared" si="191"/>
        <v>16.090000000000014</v>
      </c>
      <c r="C339" s="360" t="s">
        <v>802</v>
      </c>
      <c r="D339" s="360" t="s">
        <v>782</v>
      </c>
      <c r="E339" s="360">
        <v>5</v>
      </c>
      <c r="F339" s="347" t="str">
        <f t="shared" si="207"/>
        <v>120V 1Ø</v>
      </c>
      <c r="G339" s="370" t="str">
        <f>IF(H339="Rectangular",[1]MATERIALES!$D$133,IF(H338="Octagonal",[1]MATERIALES!$D$134,IF(H338="WP",[1]MATERIALES!$D$135,IF(H338="5x5",[1]MATERIALES!$D$136,0))))</f>
        <v>Tapa caja octagonal EMT USA UL</v>
      </c>
      <c r="H339" s="369" t="str">
        <f>H338</f>
        <v>WP</v>
      </c>
      <c r="I339" s="366" t="str">
        <f>I333</f>
        <v>13mm</v>
      </c>
      <c r="J339" s="316"/>
      <c r="K339" s="345" t="str">
        <f t="shared" si="208"/>
        <v>Unid.</v>
      </c>
      <c r="L339" s="28">
        <f>L338</f>
        <v>0</v>
      </c>
      <c r="M339" s="248" t="str">
        <f>IFERROR(VLOOKUP(G339,[1]MATERIALES!$D$5:$I$1368,2,FALSE),0)</f>
        <v xml:space="preserve">Suplidores electricos </v>
      </c>
      <c r="N339" s="367" t="e">
        <f t="shared" si="204"/>
        <v>#VALUE!</v>
      </c>
      <c r="O339" s="140" t="e">
        <f t="shared" si="209"/>
        <v>#VALUE!</v>
      </c>
      <c r="P339" s="367" t="e">
        <f t="shared" si="210"/>
        <v>#VALUE!</v>
      </c>
      <c r="Q339" s="140" t="e">
        <f t="shared" si="205"/>
        <v>#VALUE!</v>
      </c>
      <c r="R339" s="368" t="e">
        <f t="shared" si="206"/>
        <v>#VALUE!</v>
      </c>
      <c r="S339" s="140">
        <f t="shared" si="211"/>
        <v>0</v>
      </c>
      <c r="T339" s="139">
        <f t="shared" si="212"/>
        <v>0</v>
      </c>
      <c r="U339" s="357"/>
      <c r="V339" s="358"/>
      <c r="W339" s="144"/>
    </row>
    <row r="340" spans="1:23" ht="15" hidden="1" customHeight="1" outlineLevel="1" thickBot="1">
      <c r="A340" s="353"/>
      <c r="B340" s="359">
        <f t="shared" si="191"/>
        <v>16.100000000000016</v>
      </c>
      <c r="C340" s="360" t="s">
        <v>802</v>
      </c>
      <c r="D340" s="360" t="s">
        <v>782</v>
      </c>
      <c r="E340" s="360">
        <v>5</v>
      </c>
      <c r="F340" s="347" t="str">
        <f t="shared" si="207"/>
        <v>120V 1Ø</v>
      </c>
      <c r="G340" s="371" t="str">
        <f>"Fase A"&amp;": "&amp;I340</f>
        <v>Fase A: Conductor 12 AWG THHN</v>
      </c>
      <c r="H340" s="366" t="s">
        <v>181</v>
      </c>
      <c r="I340" s="366" t="s">
        <v>189</v>
      </c>
      <c r="J340" s="366">
        <f>J331</f>
        <v>25.6</v>
      </c>
      <c r="K340" s="345" t="str">
        <f>IF(OR(H340="Conductores Americanos",H340="Conductores Europeos"),"Pies","Unid.")</f>
        <v>Pies</v>
      </c>
      <c r="L340" s="28">
        <f>ROUNDUP(J340*3.28,0)</f>
        <v>84</v>
      </c>
      <c r="M340" s="140" t="str">
        <f>VLOOKUP(I340,[1]MATERIALES!$D$5:$I$1368,2,FALSE)</f>
        <v xml:space="preserve">Suplidores electricos </v>
      </c>
      <c r="N340" s="367" t="e">
        <f t="shared" si="204"/>
        <v>#VALUE!</v>
      </c>
      <c r="O340" s="140" t="e">
        <f t="shared" si="209"/>
        <v>#VALUE!</v>
      </c>
      <c r="P340" s="367" t="e">
        <f t="shared" si="210"/>
        <v>#VALUE!</v>
      </c>
      <c r="Q340" s="140" t="e">
        <f t="shared" si="205"/>
        <v>#VALUE!</v>
      </c>
      <c r="R340" s="368" t="e">
        <f t="shared" si="206"/>
        <v>#VALUE!</v>
      </c>
      <c r="S340" s="140">
        <f t="shared" si="211"/>
        <v>0</v>
      </c>
      <c r="T340" s="139">
        <f t="shared" si="212"/>
        <v>0</v>
      </c>
      <c r="U340" s="357"/>
      <c r="V340" s="358"/>
      <c r="W340" s="144"/>
    </row>
    <row r="341" spans="1:23" ht="15" hidden="1" customHeight="1" outlineLevel="1" thickBot="1">
      <c r="A341" s="353"/>
      <c r="B341" s="359">
        <f t="shared" si="191"/>
        <v>16.110000000000017</v>
      </c>
      <c r="C341" s="360" t="s">
        <v>802</v>
      </c>
      <c r="D341" s="360" t="s">
        <v>782</v>
      </c>
      <c r="E341" s="360">
        <v>5</v>
      </c>
      <c r="F341" s="347" t="str">
        <f t="shared" si="207"/>
        <v>120V 1Ø</v>
      </c>
      <c r="G341" s="371" t="str">
        <f>IF(F341="120V 1Ø","-",("Fase B"&amp;": "&amp;I341))</f>
        <v>-</v>
      </c>
      <c r="H341" s="366" t="str">
        <f t="shared" ref="H341:I343" si="213">H340</f>
        <v>Conductores Americanos</v>
      </c>
      <c r="I341" s="366" t="str">
        <f t="shared" si="213"/>
        <v>Conductor 12 AWG THHN</v>
      </c>
      <c r="J341" s="366">
        <f>IF(G341="-",0,J331)</f>
        <v>0</v>
      </c>
      <c r="K341" s="345" t="str">
        <f t="shared" ref="K341:K347" si="214">IF(OR(H341="Conductores Americanos",H341="Conductores Europeos"),"Pies","Unid.")</f>
        <v>Pies</v>
      </c>
      <c r="L341" s="28">
        <f>ROUNDUP(J341*3.28,0)</f>
        <v>0</v>
      </c>
      <c r="M341" s="140" t="str">
        <f>VLOOKUP(I341,[1]MATERIALES!$D$5:$I$1368,2,FALSE)</f>
        <v xml:space="preserve">Suplidores electricos </v>
      </c>
      <c r="N341" s="367" t="e">
        <f t="shared" si="204"/>
        <v>#VALUE!</v>
      </c>
      <c r="O341" s="140" t="e">
        <f t="shared" si="209"/>
        <v>#VALUE!</v>
      </c>
      <c r="P341" s="367" t="e">
        <f t="shared" si="210"/>
        <v>#VALUE!</v>
      </c>
      <c r="Q341" s="140" t="e">
        <f t="shared" si="205"/>
        <v>#VALUE!</v>
      </c>
      <c r="R341" s="368" t="e">
        <f t="shared" si="206"/>
        <v>#VALUE!</v>
      </c>
      <c r="S341" s="140">
        <f t="shared" si="211"/>
        <v>0</v>
      </c>
      <c r="T341" s="139">
        <f t="shared" si="212"/>
        <v>0</v>
      </c>
      <c r="U341" s="357"/>
      <c r="V341" s="358"/>
      <c r="W341" s="144"/>
    </row>
    <row r="342" spans="1:23" ht="15" hidden="1" customHeight="1" outlineLevel="1" thickBot="1">
      <c r="A342" s="353"/>
      <c r="B342" s="359">
        <f t="shared" si="191"/>
        <v>16.120000000000019</v>
      </c>
      <c r="C342" s="360" t="s">
        <v>802</v>
      </c>
      <c r="D342" s="360" t="s">
        <v>782</v>
      </c>
      <c r="E342" s="360">
        <v>5</v>
      </c>
      <c r="F342" s="347" t="str">
        <f t="shared" si="207"/>
        <v>120V 1Ø</v>
      </c>
      <c r="G342" s="371" t="str">
        <f>IF(F342="120V 1Ø","-",IF(F342="240V 1Ø","-",("Fase C"&amp;": "&amp;I340)))</f>
        <v>-</v>
      </c>
      <c r="H342" s="366" t="str">
        <f t="shared" si="213"/>
        <v>Conductores Americanos</v>
      </c>
      <c r="I342" s="366" t="str">
        <f t="shared" si="213"/>
        <v>Conductor 12 AWG THHN</v>
      </c>
      <c r="J342" s="366">
        <f>IF(G342="-",0,J331)</f>
        <v>0</v>
      </c>
      <c r="K342" s="345" t="str">
        <f t="shared" si="214"/>
        <v>Pies</v>
      </c>
      <c r="L342" s="28">
        <f>ROUNDUP(J342*3.28,0)</f>
        <v>0</v>
      </c>
      <c r="M342" s="140" t="str">
        <f>VLOOKUP(I342,[1]MATERIALES!$D$5:$I$1368,2,FALSE)</f>
        <v xml:space="preserve">Suplidores electricos </v>
      </c>
      <c r="N342" s="367" t="e">
        <f t="shared" si="204"/>
        <v>#VALUE!</v>
      </c>
      <c r="O342" s="140" t="e">
        <f t="shared" si="209"/>
        <v>#VALUE!</v>
      </c>
      <c r="P342" s="367" t="e">
        <f t="shared" si="210"/>
        <v>#VALUE!</v>
      </c>
      <c r="Q342" s="140" t="e">
        <f t="shared" si="205"/>
        <v>#VALUE!</v>
      </c>
      <c r="R342" s="368" t="e">
        <f t="shared" si="206"/>
        <v>#VALUE!</v>
      </c>
      <c r="S342" s="140">
        <f t="shared" si="211"/>
        <v>0</v>
      </c>
      <c r="T342" s="139">
        <f t="shared" si="212"/>
        <v>0</v>
      </c>
      <c r="U342" s="357"/>
      <c r="V342" s="358"/>
      <c r="W342" s="144"/>
    </row>
    <row r="343" spans="1:23" ht="15" hidden="1" customHeight="1" outlineLevel="1" thickBot="1">
      <c r="A343" s="353"/>
      <c r="B343" s="359">
        <f t="shared" si="191"/>
        <v>16.13000000000002</v>
      </c>
      <c r="C343" s="360" t="s">
        <v>802</v>
      </c>
      <c r="D343" s="360" t="s">
        <v>782</v>
      </c>
      <c r="E343" s="360">
        <v>5</v>
      </c>
      <c r="F343" s="347" t="str">
        <f t="shared" si="207"/>
        <v>120V 1Ø</v>
      </c>
      <c r="G343" s="372" t="str">
        <f>IF(F343="240V 1Ø","-",IF(F343="480V 3Ø","-",("Neutro"&amp;": "&amp;I340)))</f>
        <v>Neutro: Conductor 12 AWG THHN</v>
      </c>
      <c r="H343" s="366" t="str">
        <f t="shared" si="213"/>
        <v>Conductores Americanos</v>
      </c>
      <c r="I343" s="366" t="str">
        <f t="shared" si="213"/>
        <v>Conductor 12 AWG THHN</v>
      </c>
      <c r="J343" s="366">
        <f>IF(G343="-",0,J331)</f>
        <v>25.6</v>
      </c>
      <c r="K343" s="345" t="str">
        <f t="shared" si="214"/>
        <v>Pies</v>
      </c>
      <c r="L343" s="28">
        <f>ROUNDUP(J343*3.28,0)</f>
        <v>84</v>
      </c>
      <c r="M343" s="140" t="str">
        <f>VLOOKUP(I343,[1]MATERIALES!$D$5:$I$1368,2,FALSE)</f>
        <v xml:space="preserve">Suplidores electricos </v>
      </c>
      <c r="N343" s="367" t="e">
        <f t="shared" si="204"/>
        <v>#VALUE!</v>
      </c>
      <c r="O343" s="140" t="e">
        <f t="shared" si="209"/>
        <v>#VALUE!</v>
      </c>
      <c r="P343" s="367" t="e">
        <f t="shared" si="210"/>
        <v>#VALUE!</v>
      </c>
      <c r="Q343" s="140" t="e">
        <f t="shared" si="205"/>
        <v>#VALUE!</v>
      </c>
      <c r="R343" s="368" t="e">
        <f t="shared" si="206"/>
        <v>#VALUE!</v>
      </c>
      <c r="S343" s="140">
        <f t="shared" si="211"/>
        <v>0</v>
      </c>
      <c r="T343" s="139">
        <f t="shared" si="212"/>
        <v>0</v>
      </c>
      <c r="U343" s="357"/>
      <c r="V343" s="358"/>
      <c r="W343" s="144"/>
    </row>
    <row r="344" spans="1:23" ht="15" hidden="1" customHeight="1" outlineLevel="1" thickBot="1">
      <c r="A344" s="353"/>
      <c r="B344" s="359">
        <f t="shared" si="191"/>
        <v>16.140000000000022</v>
      </c>
      <c r="C344" s="360" t="s">
        <v>802</v>
      </c>
      <c r="D344" s="360" t="s">
        <v>782</v>
      </c>
      <c r="E344" s="360">
        <v>5</v>
      </c>
      <c r="F344" s="347" t="str">
        <f t="shared" si="207"/>
        <v>120V 1Ø</v>
      </c>
      <c r="G344" s="372" t="str">
        <f>"Tierra"&amp;": "&amp;I344</f>
        <v>Tierra: Conductor 12 AWG THHN</v>
      </c>
      <c r="H344" s="366" t="str">
        <f>H343</f>
        <v>Conductores Americanos</v>
      </c>
      <c r="I344" s="366" t="str">
        <f>I343</f>
        <v>Conductor 12 AWG THHN</v>
      </c>
      <c r="J344" s="366">
        <f>J331</f>
        <v>25.6</v>
      </c>
      <c r="K344" s="345" t="str">
        <f t="shared" si="214"/>
        <v>Pies</v>
      </c>
      <c r="L344" s="28">
        <f>ROUNDUP(J344*3.28,0)</f>
        <v>84</v>
      </c>
      <c r="M344" s="140" t="str">
        <f>VLOOKUP(I344,[1]MATERIALES!$D$5:$I$1368,2,FALSE)</f>
        <v xml:space="preserve">Suplidores electricos </v>
      </c>
      <c r="N344" s="367" t="e">
        <f t="shared" si="204"/>
        <v>#VALUE!</v>
      </c>
      <c r="O344" s="140" t="e">
        <f t="shared" si="209"/>
        <v>#VALUE!</v>
      </c>
      <c r="P344" s="367" t="e">
        <f t="shared" si="210"/>
        <v>#VALUE!</v>
      </c>
      <c r="Q344" s="140" t="e">
        <f t="shared" si="205"/>
        <v>#VALUE!</v>
      </c>
      <c r="R344" s="368" t="e">
        <f t="shared" si="206"/>
        <v>#VALUE!</v>
      </c>
      <c r="S344" s="140">
        <f t="shared" si="211"/>
        <v>0</v>
      </c>
      <c r="T344" s="139">
        <f t="shared" si="212"/>
        <v>0</v>
      </c>
      <c r="U344" s="357"/>
      <c r="V344" s="358"/>
      <c r="W344" s="144"/>
    </row>
    <row r="345" spans="1:23" ht="15" hidden="1" customHeight="1" outlineLevel="1" thickBot="1">
      <c r="A345" s="353"/>
      <c r="B345" s="359">
        <f t="shared" si="191"/>
        <v>16.150000000000023</v>
      </c>
      <c r="C345" s="360" t="s">
        <v>802</v>
      </c>
      <c r="D345" s="360" t="s">
        <v>782</v>
      </c>
      <c r="E345" s="360">
        <v>5</v>
      </c>
      <c r="F345" s="347" t="str">
        <f t="shared" si="207"/>
        <v>120V 1Ø</v>
      </c>
      <c r="G345" s="361" t="str" cm="1">
        <f t="array" ref="G345">IFERROR(VLOOKUP(H345&amp;"|"&amp;I345,CHOOSE({1,2},[1]MATERIALES!$B$168:$B$175&amp;"|"&amp;[1]MATERIALES!$C$168:$C$175,[1]MATERIALES!$D$168:$D$175),2,0),"-")</f>
        <v>Tomacorriente 15A Matix (AM5115D + 503SB/SA)</v>
      </c>
      <c r="H345" s="373" t="s">
        <v>382</v>
      </c>
      <c r="I345" s="373" t="s">
        <v>380</v>
      </c>
      <c r="J345" s="316"/>
      <c r="K345" s="345" t="str">
        <f t="shared" si="214"/>
        <v>Unid.</v>
      </c>
      <c r="L345" s="218">
        <v>0</v>
      </c>
      <c r="M345" s="248">
        <f>IFERROR(VLOOKUP(G345,[1]MATERIALES!$D$5:$I$1368,2,FALSE),0)</f>
        <v>0</v>
      </c>
      <c r="N345" s="367">
        <f t="shared" si="204"/>
        <v>0</v>
      </c>
      <c r="O345" s="140">
        <f t="shared" si="209"/>
        <v>0</v>
      </c>
      <c r="P345" s="367">
        <f t="shared" si="210"/>
        <v>0</v>
      </c>
      <c r="Q345" s="140">
        <f t="shared" si="205"/>
        <v>0</v>
      </c>
      <c r="R345" s="368">
        <f t="shared" si="206"/>
        <v>0</v>
      </c>
      <c r="S345" s="140">
        <f t="shared" si="211"/>
        <v>0</v>
      </c>
      <c r="T345" s="139">
        <f t="shared" si="212"/>
        <v>0</v>
      </c>
      <c r="U345" s="357"/>
      <c r="V345" s="358"/>
      <c r="W345" s="144"/>
    </row>
    <row r="346" spans="1:23" ht="15" hidden="1" customHeight="1" outlineLevel="1" thickBot="1">
      <c r="A346" s="353"/>
      <c r="B346" s="359">
        <f t="shared" si="191"/>
        <v>16.160000000000025</v>
      </c>
      <c r="C346" s="360" t="s">
        <v>802</v>
      </c>
      <c r="D346" s="360" t="s">
        <v>782</v>
      </c>
      <c r="E346" s="360">
        <v>5</v>
      </c>
      <c r="F346" s="347" t="str">
        <f t="shared" si="207"/>
        <v>120V 1Ø</v>
      </c>
      <c r="G346" s="361" t="str" cm="1">
        <f t="array" ref="G346">IFERROR(VLOOKUP(H346&amp;"|"&amp;I346,CHOOSE({1,2},[1]MATERIALES!$B$176:$B$185&amp;"|"&amp;[1]MATERIALES!$C$176:$C$185,[1]MATERIALES!$D$176:$D$185),2,0),"-")</f>
        <v>Tapa para tomacorriente MATIX (AM503/3N)</v>
      </c>
      <c r="H346" s="366" t="str">
        <f>H345</f>
        <v>MATIX</v>
      </c>
      <c r="I346" s="373" t="s">
        <v>392</v>
      </c>
      <c r="J346" s="316"/>
      <c r="K346" s="345" t="str">
        <f t="shared" si="214"/>
        <v>Unid.</v>
      </c>
      <c r="L346" s="345">
        <f>L345</f>
        <v>0</v>
      </c>
      <c r="M346" s="248">
        <f>IFERROR(VLOOKUP(G346,[1]MATERIALES!$D$5:$I$1368,2,FALSE),0)</f>
        <v>0</v>
      </c>
      <c r="N346" s="367">
        <f t="shared" si="204"/>
        <v>0</v>
      </c>
      <c r="O346" s="140">
        <f t="shared" si="209"/>
        <v>0</v>
      </c>
      <c r="P346" s="367">
        <f t="shared" si="210"/>
        <v>0</v>
      </c>
      <c r="Q346" s="140">
        <f t="shared" si="205"/>
        <v>0</v>
      </c>
      <c r="R346" s="368">
        <f t="shared" si="206"/>
        <v>0</v>
      </c>
      <c r="S346" s="140">
        <f t="shared" si="211"/>
        <v>0</v>
      </c>
      <c r="T346" s="139">
        <f t="shared" si="212"/>
        <v>0</v>
      </c>
      <c r="U346" s="357"/>
      <c r="V346" s="358"/>
      <c r="W346" s="144"/>
    </row>
    <row r="347" spans="1:23" ht="15" hidden="1" customHeight="1" outlineLevel="1" thickBot="1">
      <c r="A347" s="353"/>
      <c r="B347" s="359">
        <f t="shared" si="191"/>
        <v>16.170000000000027</v>
      </c>
      <c r="C347" s="360" t="s">
        <v>802</v>
      </c>
      <c r="D347" s="360" t="s">
        <v>782</v>
      </c>
      <c r="E347" s="360">
        <v>5</v>
      </c>
      <c r="F347" s="347" t="str">
        <f t="shared" si="207"/>
        <v>120V 1Ø</v>
      </c>
      <c r="G347" s="371" t="s">
        <v>422</v>
      </c>
      <c r="H347" s="316"/>
      <c r="I347" s="316"/>
      <c r="J347" s="316"/>
      <c r="K347" s="345" t="str">
        <f t="shared" si="214"/>
        <v>Unid.</v>
      </c>
      <c r="L347" s="345">
        <f>3*(L336)</f>
        <v>3</v>
      </c>
      <c r="M347" s="248">
        <f>IFERROR(VLOOKUP(G347,[1]MATERIALES!$D$5:$I$1368,2,FALSE),0)</f>
        <v>0</v>
      </c>
      <c r="N347" s="367">
        <f t="shared" si="204"/>
        <v>0</v>
      </c>
      <c r="O347" s="140">
        <f t="shared" si="209"/>
        <v>0</v>
      </c>
      <c r="P347" s="367">
        <f t="shared" si="210"/>
        <v>0</v>
      </c>
      <c r="Q347" s="140">
        <f t="shared" si="205"/>
        <v>0</v>
      </c>
      <c r="R347" s="368">
        <f t="shared" si="206"/>
        <v>0</v>
      </c>
      <c r="S347" s="140">
        <f t="shared" si="211"/>
        <v>0</v>
      </c>
      <c r="T347" s="139">
        <f t="shared" si="212"/>
        <v>0</v>
      </c>
      <c r="U347" s="357" t="e">
        <f>SUM(R347:R349)</f>
        <v>#VALUE!</v>
      </c>
      <c r="V347" s="358" t="e">
        <f>'[1]1. OFERTA'!#REF!</f>
        <v>#REF!</v>
      </c>
      <c r="W347" s="144" t="e">
        <f>U347-V347</f>
        <v>#VALUE!</v>
      </c>
    </row>
    <row r="348" spans="1:23" ht="15" hidden="1" customHeight="1" outlineLevel="1" thickBot="1">
      <c r="A348" s="353"/>
      <c r="B348" s="359">
        <f t="shared" si="191"/>
        <v>16.180000000000028</v>
      </c>
      <c r="C348" s="360" t="s">
        <v>802</v>
      </c>
      <c r="D348" s="360" t="s">
        <v>782</v>
      </c>
      <c r="E348" s="360">
        <v>5</v>
      </c>
      <c r="F348" s="347" t="str">
        <f t="shared" si="207"/>
        <v>120V 1Ø</v>
      </c>
      <c r="G348" s="374" t="s">
        <v>424</v>
      </c>
      <c r="H348" s="316"/>
      <c r="I348" s="316"/>
      <c r="J348" s="316"/>
      <c r="K348" s="345" t="s">
        <v>784</v>
      </c>
      <c r="L348" s="28">
        <f>ROUNDUP(L335+L336+L338,0)</f>
        <v>27</v>
      </c>
      <c r="M348" s="248">
        <f>IFERROR(VLOOKUP(G348,[1]MATERIALES!$D$5:$I$1368,2,FALSE),0)</f>
        <v>0</v>
      </c>
      <c r="N348" s="367">
        <f t="shared" si="204"/>
        <v>0</v>
      </c>
      <c r="O348" s="140">
        <f t="shared" si="209"/>
        <v>0</v>
      </c>
      <c r="P348" s="367">
        <f t="shared" si="210"/>
        <v>0</v>
      </c>
      <c r="Q348" s="140">
        <f t="shared" si="205"/>
        <v>0</v>
      </c>
      <c r="R348" s="368">
        <f t="shared" si="206"/>
        <v>0</v>
      </c>
      <c r="S348" s="140">
        <f t="shared" si="211"/>
        <v>0</v>
      </c>
      <c r="T348" s="139">
        <f t="shared" si="212"/>
        <v>0</v>
      </c>
      <c r="U348" s="357"/>
      <c r="V348" s="358"/>
      <c r="W348" s="144"/>
    </row>
    <row r="349" spans="1:23" ht="15" hidden="1" customHeight="1" outlineLevel="1" thickBot="1">
      <c r="A349" s="353"/>
      <c r="B349" s="359">
        <f t="shared" si="191"/>
        <v>16.19000000000003</v>
      </c>
      <c r="C349" s="360" t="s">
        <v>802</v>
      </c>
      <c r="D349" s="360" t="s">
        <v>782</v>
      </c>
      <c r="E349" s="360">
        <v>5</v>
      </c>
      <c r="F349" s="347" t="str">
        <f t="shared" si="207"/>
        <v>120V 1Ø</v>
      </c>
      <c r="G349" s="374" t="s">
        <v>168</v>
      </c>
      <c r="H349" s="316"/>
      <c r="I349" s="316"/>
      <c r="J349" s="316"/>
      <c r="K349" s="345" t="s">
        <v>784</v>
      </c>
      <c r="L349" s="28">
        <f>L348</f>
        <v>27</v>
      </c>
      <c r="M349" s="248" t="str">
        <f>IFERROR(VLOOKUP(G349,[1]MATERIALES!$D$5:$I$1368,2,FALSE),0)</f>
        <v xml:space="preserve">Marba Dominicana </v>
      </c>
      <c r="N349" s="367" t="e">
        <f t="shared" si="204"/>
        <v>#VALUE!</v>
      </c>
      <c r="O349" s="140" t="e">
        <f t="shared" si="209"/>
        <v>#VALUE!</v>
      </c>
      <c r="P349" s="367" t="e">
        <f t="shared" si="210"/>
        <v>#VALUE!</v>
      </c>
      <c r="Q349" s="140" t="e">
        <f t="shared" si="205"/>
        <v>#VALUE!</v>
      </c>
      <c r="R349" s="368" t="e">
        <f t="shared" si="206"/>
        <v>#VALUE!</v>
      </c>
      <c r="S349" s="140">
        <f t="shared" si="211"/>
        <v>0</v>
      </c>
      <c r="T349" s="139">
        <f t="shared" si="212"/>
        <v>0</v>
      </c>
      <c r="U349" s="357"/>
      <c r="V349" s="358"/>
      <c r="W349" s="144"/>
    </row>
    <row r="350" spans="1:23" ht="15" customHeight="1" collapsed="1" thickBot="1">
      <c r="A350" s="353"/>
      <c r="B350" s="354">
        <v>17</v>
      </c>
      <c r="C350" s="355" t="s">
        <v>803</v>
      </c>
      <c r="D350" s="269" t="s">
        <v>788</v>
      </c>
      <c r="E350" s="269">
        <v>14</v>
      </c>
      <c r="F350" s="270" t="s">
        <v>783</v>
      </c>
      <c r="G350" s="271"/>
      <c r="H350" s="272"/>
      <c r="I350" s="272"/>
      <c r="J350" s="272"/>
      <c r="K350" s="268"/>
      <c r="L350" s="268"/>
      <c r="M350" s="273"/>
      <c r="N350" s="274"/>
      <c r="O350" s="273"/>
      <c r="P350" s="274"/>
      <c r="Q350" s="273"/>
      <c r="R350" s="275"/>
      <c r="S350" s="273"/>
      <c r="T350" s="276"/>
      <c r="U350" s="357" t="e">
        <f>SUM(R351:R369)</f>
        <v>#VALUE!</v>
      </c>
      <c r="V350" s="358" t="e">
        <f>'[1]1. OFERTA'!#REF!</f>
        <v>#REF!</v>
      </c>
      <c r="W350" s="144" t="e">
        <f>U350-V350</f>
        <v>#VALUE!</v>
      </c>
    </row>
    <row r="351" spans="1:23" ht="15" hidden="1" customHeight="1" outlineLevel="1" thickBot="1">
      <c r="A351" s="353"/>
      <c r="B351" s="359">
        <f t="shared" si="191"/>
        <v>17.010000000000002</v>
      </c>
      <c r="C351" s="360" t="s">
        <v>803</v>
      </c>
      <c r="D351" s="360" t="s">
        <v>788</v>
      </c>
      <c r="E351" s="360">
        <v>14</v>
      </c>
      <c r="F351" s="347" t="s">
        <v>783</v>
      </c>
      <c r="G351" s="361" t="str">
        <f>IF(H351="PVC",VLOOKUP(I351,[1]MATERIALES!$C$5:$D$11,2,FALSE),IF(H351="EMT",VLOOKUP(I351,[1]MATERIALES!$C$40:$D$46,2,FALSE),IF(H351="IMC",VLOOKUP(I351,[1]MATERIALES!$C$82:$D$88,2,FALSE),IF(H351="LFNC",VLOOKUP(I351,[1]MATERIALES!$C$110:$D$116,2,FALSE),0))))</f>
        <v>Tubería PVC SDR-26 1/2"</v>
      </c>
      <c r="H351" s="362" t="s">
        <v>184</v>
      </c>
      <c r="I351" s="362" t="s">
        <v>216</v>
      </c>
      <c r="J351" s="362">
        <v>15.08</v>
      </c>
      <c r="K351" s="134" t="str">
        <f>IF(OR(H351="Conductores Americanos",H351="Conductores Europeos"),"Pies","Unid.")</f>
        <v>Unid.</v>
      </c>
      <c r="L351" s="363">
        <f>IF(H351="PVC",ROUNDUP(J351/6,0),IF(H351="EMT",ROUNDUP(J351/3,0),IF(H351="IMC",ROUNDUP(J351/3,0),IF(H351="LFNC",ROUNDUP(3.28*J351,0),0))))</f>
        <v>3</v>
      </c>
      <c r="M351" s="248" t="str">
        <f>IFERROR(VLOOKUP(G351,[1]MATERIALES!$D$5:$I$1368,2,FALSE),0)</f>
        <v xml:space="preserve">Suplidores electricos </v>
      </c>
      <c r="N351" s="364" t="e">
        <f t="shared" ref="N351:N369" si="215">M351/$N$2</f>
        <v>#VALUE!</v>
      </c>
      <c r="O351" s="248" t="e">
        <f>+L351*M351</f>
        <v>#VALUE!</v>
      </c>
      <c r="P351" s="364" t="e">
        <f>L351*N351</f>
        <v>#VALUE!</v>
      </c>
      <c r="Q351" s="248" t="e">
        <f t="shared" ref="Q351:Q369" si="216">+$O351+($O351*$R$2)</f>
        <v>#VALUE!</v>
      </c>
      <c r="R351" s="365" t="e">
        <f t="shared" ref="R351:R369" si="217">+$P351+($P351*$R$2)</f>
        <v>#VALUE!</v>
      </c>
      <c r="S351" s="248">
        <f>+IFERROR(Q351/L351,0)</f>
        <v>0</v>
      </c>
      <c r="T351" s="146">
        <f>+IFERROR(R351/L351,0)</f>
        <v>0</v>
      </c>
      <c r="U351" s="357"/>
      <c r="V351" s="358"/>
      <c r="W351" s="144"/>
    </row>
    <row r="352" spans="1:23" ht="15" hidden="1" customHeight="1" outlineLevel="1" thickBot="1">
      <c r="A352" s="353"/>
      <c r="B352" s="359">
        <f t="shared" si="191"/>
        <v>17.020000000000003</v>
      </c>
      <c r="C352" s="360" t="s">
        <v>803</v>
      </c>
      <c r="D352" s="360" t="s">
        <v>788</v>
      </c>
      <c r="E352" s="360">
        <v>14</v>
      </c>
      <c r="F352" s="347" t="str">
        <f t="shared" ref="F352:F369" si="218">F351</f>
        <v>120V 1Ø</v>
      </c>
      <c r="G352" s="361" t="str">
        <f>IF(H352="PVC",VLOOKUP(I352,[1]MATERIALES!$C$12:$D$18,2,FALSE),IF(H352="EMT",VLOOKUP(I352,[1]MATERIALES!$C$47:$D$53,2,FALSE),IF(H352="IMC",VLOOKUP(I352,[1]MATERIALES!$C$89:$D$96,2,FALSE),"-")))</f>
        <v>Coupling PVC 1/2"</v>
      </c>
      <c r="H352" s="366" t="str">
        <f>H351</f>
        <v>PVC</v>
      </c>
      <c r="I352" s="366" t="str">
        <f>I351</f>
        <v>13mm</v>
      </c>
      <c r="J352" s="316"/>
      <c r="K352" s="345" t="str">
        <f t="shared" ref="K352:K359" si="219">IF(OR(H352="Conductores Americanos",H352="Conductores Europeos"),"Pies","Unid.")</f>
        <v>Unid.</v>
      </c>
      <c r="L352" s="28">
        <f>IF(H352="LFNC",0,L351)</f>
        <v>3</v>
      </c>
      <c r="M352" s="140" t="str">
        <f>IF(H352="LFNC",0,VLOOKUP(G352,[1]MATERIALES!$D$5:$I$1368,2,FALSE))</f>
        <v xml:space="preserve">Suplidores electricos </v>
      </c>
      <c r="N352" s="367" t="e">
        <f t="shared" si="215"/>
        <v>#VALUE!</v>
      </c>
      <c r="O352" s="140" t="e">
        <f t="shared" ref="O352:O369" si="220">+L352*M352</f>
        <v>#VALUE!</v>
      </c>
      <c r="P352" s="367" t="e">
        <f t="shared" ref="P352:P369" si="221">L352*N352</f>
        <v>#VALUE!</v>
      </c>
      <c r="Q352" s="140" t="e">
        <f t="shared" si="216"/>
        <v>#VALUE!</v>
      </c>
      <c r="R352" s="368" t="e">
        <f t="shared" si="217"/>
        <v>#VALUE!</v>
      </c>
      <c r="S352" s="140">
        <f t="shared" ref="S352:S369" si="222">+IFERROR(Q352/L352,0)</f>
        <v>0</v>
      </c>
      <c r="T352" s="139">
        <f t="shared" ref="T352:T369" si="223">+IFERROR(R352/L352,0)</f>
        <v>0</v>
      </c>
      <c r="U352" s="357"/>
      <c r="V352" s="358"/>
      <c r="W352" s="144"/>
    </row>
    <row r="353" spans="1:23" ht="15" hidden="1" customHeight="1" outlineLevel="1" thickBot="1">
      <c r="A353" s="353"/>
      <c r="B353" s="359">
        <f t="shared" si="191"/>
        <v>17.030000000000005</v>
      </c>
      <c r="C353" s="360" t="s">
        <v>803</v>
      </c>
      <c r="D353" s="360" t="s">
        <v>788</v>
      </c>
      <c r="E353" s="360">
        <v>14</v>
      </c>
      <c r="F353" s="347" t="str">
        <f t="shared" si="218"/>
        <v>120V 1Ø</v>
      </c>
      <c r="G353" s="361" t="str">
        <f>IF(H353="PVC",VLOOKUP(I353,[1]MATERIALES!$C$19:$D$25,2,FALSE),IF(H353="EMT",VLOOKUP(I353,[1]MATERIALES!$C$54:$D$60,2,FALSE),IF(H353="IMC",VLOOKUP(I353,[1]MATERIALES!$C$96:$D$102,2,FALSE),IF(H353="LFNC",VLOOKUP(I353,[1]MATERIALES!$C$117:$D$123,2,FALSE),0))))</f>
        <v>Adaptador Macho PVC 1/2"</v>
      </c>
      <c r="H353" s="366" t="str">
        <f>H351</f>
        <v>PVC</v>
      </c>
      <c r="I353" s="366" t="str">
        <f>I351</f>
        <v>13mm</v>
      </c>
      <c r="J353" s="316"/>
      <c r="K353" s="345" t="str">
        <f t="shared" si="219"/>
        <v>Unid.</v>
      </c>
      <c r="L353" s="28">
        <f>1+L356*2+L358</f>
        <v>6</v>
      </c>
      <c r="M353" s="248" t="str">
        <f>IFERROR(VLOOKUP(G353,[1]MATERIALES!$D$5:$I$1368,2,FALSE),0)</f>
        <v xml:space="preserve">Suplidores electricos </v>
      </c>
      <c r="N353" s="367" t="e">
        <f t="shared" si="215"/>
        <v>#VALUE!</v>
      </c>
      <c r="O353" s="140" t="e">
        <f t="shared" si="220"/>
        <v>#VALUE!</v>
      </c>
      <c r="P353" s="367" t="e">
        <f t="shared" si="221"/>
        <v>#VALUE!</v>
      </c>
      <c r="Q353" s="140" t="e">
        <f t="shared" si="216"/>
        <v>#VALUE!</v>
      </c>
      <c r="R353" s="368" t="e">
        <f t="shared" si="217"/>
        <v>#VALUE!</v>
      </c>
      <c r="S353" s="140">
        <f t="shared" si="222"/>
        <v>0</v>
      </c>
      <c r="T353" s="139">
        <f t="shared" si="223"/>
        <v>0</v>
      </c>
      <c r="U353" s="357"/>
      <c r="V353" s="358"/>
      <c r="W353" s="144"/>
    </row>
    <row r="354" spans="1:23" ht="15" hidden="1" customHeight="1" outlineLevel="1" thickBot="1">
      <c r="A354" s="353"/>
      <c r="B354" s="359">
        <f t="shared" si="191"/>
        <v>17.040000000000006</v>
      </c>
      <c r="C354" s="360" t="s">
        <v>803</v>
      </c>
      <c r="D354" s="360" t="s">
        <v>788</v>
      </c>
      <c r="E354" s="360">
        <v>14</v>
      </c>
      <c r="F354" s="347" t="str">
        <f t="shared" si="218"/>
        <v>120V 1Ø</v>
      </c>
      <c r="G354" s="361" t="str">
        <f>IF(H354="PVC",VLOOKUP(I354,[1]MATERIALES!$C$33:$D$39,2,FALSE),IF(H354="EMT",VLOOKUP(I354,[1]MATERIALES!$C$61:$D$67,2,FALSE),IF(H354="IMC",VLOOKUP(I354,[1]MATERIALES!$C$103:$D$109,2,FALSE),"-")))</f>
        <v>Curva 90 PVC SDR 1/2"</v>
      </c>
      <c r="H354" s="366" t="str">
        <f>H351</f>
        <v>PVC</v>
      </c>
      <c r="I354" s="366" t="str">
        <f>I351</f>
        <v>13mm</v>
      </c>
      <c r="J354" s="316"/>
      <c r="K354" s="345" t="str">
        <f t="shared" si="219"/>
        <v>Unid.</v>
      </c>
      <c r="L354" s="28">
        <f>IF(H354="LFNC",0,(1+L365))</f>
        <v>2</v>
      </c>
      <c r="M354" s="140" t="str">
        <f>IF(H354="LFNC",0,VLOOKUP(G354,[1]MATERIALES!$D$5:$I$1368,2,FALSE))</f>
        <v xml:space="preserve">Suplidores electricos </v>
      </c>
      <c r="N354" s="367" t="e">
        <f t="shared" si="215"/>
        <v>#VALUE!</v>
      </c>
      <c r="O354" s="140" t="e">
        <f t="shared" si="220"/>
        <v>#VALUE!</v>
      </c>
      <c r="P354" s="367" t="e">
        <f t="shared" si="221"/>
        <v>#VALUE!</v>
      </c>
      <c r="Q354" s="140" t="e">
        <f t="shared" si="216"/>
        <v>#VALUE!</v>
      </c>
      <c r="R354" s="368" t="e">
        <f t="shared" si="217"/>
        <v>#VALUE!</v>
      </c>
      <c r="S354" s="140">
        <f t="shared" si="222"/>
        <v>0</v>
      </c>
      <c r="T354" s="139">
        <f t="shared" si="223"/>
        <v>0</v>
      </c>
      <c r="U354" s="357"/>
      <c r="V354" s="358"/>
      <c r="W354" s="144"/>
    </row>
    <row r="355" spans="1:23" ht="15" hidden="1" customHeight="1" outlineLevel="1" thickBot="1">
      <c r="A355" s="353"/>
      <c r="B355" s="359">
        <f t="shared" si="191"/>
        <v>17.050000000000008</v>
      </c>
      <c r="C355" s="360" t="s">
        <v>803</v>
      </c>
      <c r="D355" s="360" t="s">
        <v>788</v>
      </c>
      <c r="E355" s="360">
        <v>14</v>
      </c>
      <c r="F355" s="347" t="str">
        <f t="shared" si="218"/>
        <v>120V 1Ø</v>
      </c>
      <c r="G355" s="361" t="str">
        <f>VLOOKUP(I355,[1]MATERIALES!$C$68:$D$74,2,FALSE)</f>
        <v>Abrazadera EMT 1/2'' </v>
      </c>
      <c r="H355" s="316"/>
      <c r="I355" s="366" t="str">
        <f>I351</f>
        <v>13mm</v>
      </c>
      <c r="J355" s="316"/>
      <c r="K355" s="345" t="str">
        <f t="shared" si="219"/>
        <v>Unid.</v>
      </c>
      <c r="L355" s="28">
        <f>ROUNDUP(J351,0)</f>
        <v>16</v>
      </c>
      <c r="M355" s="248" t="str">
        <f>IFERROR(VLOOKUP(G355,[1]MATERIALES!$D$5:$I$1368,2,FALSE),0)</f>
        <v xml:space="preserve">Suplidores electricos </v>
      </c>
      <c r="N355" s="367" t="e">
        <f t="shared" si="215"/>
        <v>#VALUE!</v>
      </c>
      <c r="O355" s="140" t="e">
        <f t="shared" si="220"/>
        <v>#VALUE!</v>
      </c>
      <c r="P355" s="367" t="e">
        <f t="shared" si="221"/>
        <v>#VALUE!</v>
      </c>
      <c r="Q355" s="140" t="e">
        <f t="shared" si="216"/>
        <v>#VALUE!</v>
      </c>
      <c r="R355" s="368" t="e">
        <f t="shared" si="217"/>
        <v>#VALUE!</v>
      </c>
      <c r="S355" s="140">
        <f t="shared" si="222"/>
        <v>0</v>
      </c>
      <c r="T355" s="139">
        <f t="shared" si="223"/>
        <v>0</v>
      </c>
      <c r="U355" s="357"/>
      <c r="V355" s="358"/>
      <c r="W355" s="144"/>
    </row>
    <row r="356" spans="1:23" ht="15" hidden="1" customHeight="1" outlineLevel="1" thickBot="1">
      <c r="A356" s="353"/>
      <c r="B356" s="359">
        <f t="shared" si="191"/>
        <v>17.060000000000009</v>
      </c>
      <c r="C356" s="360" t="s">
        <v>803</v>
      </c>
      <c r="D356" s="360" t="s">
        <v>788</v>
      </c>
      <c r="E356" s="360">
        <v>14</v>
      </c>
      <c r="F356" s="347" t="str">
        <f t="shared" si="218"/>
        <v>120V 1Ø</v>
      </c>
      <c r="G356" s="361" t="str" cm="1">
        <f t="array" ref="G356">_xlfn.SWITCH(I356,"13mm",(IF(H356="Rectangular",VLOOKUP(I356,[1]MATERIALES!$C$124:$D$125,2,FALSE),IF(H356="Octagonal",VLOOKUP(I356,[1]MATERIALES!$C$126:$D$127,2,FALSE),IF(H356="WP",VLOOKUP(I356,[1]MATERIALES!$C$128:$D$129,2,FALSE),IF(H356="5x5",VLOOKUP(I356,[1]MATERIALES!$C$130:$D$132,2,FALSE)))))),"19mm",(IF(H356="Rectangular",VLOOKUP(I356,[1]MATERIALES!$C$124:$D$125,2,FALSE),IF(H356="Octagonal",VLOOKUP(I356,[1]MATERIALES!$C$126:$D$127,2,FALSE),IF(H356="WP",VLOOKUP(I356,[1]MATERIALES!$C$128:$D$129,2,FALSE),IF(H356="5x5",VLOOKUP(I356,[1]MATERIALES!$C$130:$D$132,2,FALSE)))))),"25mm",IF(H356="Rectangular","-",IF(H356="Octagonal","--",IF(H356="WP","---",IF(H356="5x5",VLOOKUP(I356,[1]MATERIALES!$C$130:$D$132,2,FALSE),0)))),"38mm","-","50mm","-","75mm","-","100mm","-")</f>
        <v>Caja EMT 2x4 1/2" USA UL</v>
      </c>
      <c r="H356" s="369" t="s">
        <v>188</v>
      </c>
      <c r="I356" s="366" t="str">
        <f>I351</f>
        <v>13mm</v>
      </c>
      <c r="J356" s="316"/>
      <c r="K356" s="345" t="str">
        <f t="shared" si="219"/>
        <v>Unid.</v>
      </c>
      <c r="L356" s="28">
        <f>1+L365</f>
        <v>2</v>
      </c>
      <c r="M356" s="248" t="str">
        <f>IFERROR(VLOOKUP(G356,[1]MATERIALES!$D$5:$I$1368,2,FALSE),0)</f>
        <v xml:space="preserve">Suplidores electricos </v>
      </c>
      <c r="N356" s="367" t="e">
        <f t="shared" si="215"/>
        <v>#VALUE!</v>
      </c>
      <c r="O356" s="140" t="e">
        <f t="shared" si="220"/>
        <v>#VALUE!</v>
      </c>
      <c r="P356" s="367" t="e">
        <f t="shared" si="221"/>
        <v>#VALUE!</v>
      </c>
      <c r="Q356" s="140" t="e">
        <f t="shared" si="216"/>
        <v>#VALUE!</v>
      </c>
      <c r="R356" s="368" t="e">
        <f t="shared" si="217"/>
        <v>#VALUE!</v>
      </c>
      <c r="S356" s="140">
        <f t="shared" si="222"/>
        <v>0</v>
      </c>
      <c r="T356" s="139">
        <f t="shared" si="223"/>
        <v>0</v>
      </c>
      <c r="U356" s="357"/>
      <c r="V356" s="358"/>
      <c r="W356" s="144"/>
    </row>
    <row r="357" spans="1:23" ht="15" hidden="1" customHeight="1" outlineLevel="1" thickBot="1">
      <c r="A357" s="353"/>
      <c r="B357" s="359">
        <f t="shared" si="191"/>
        <v>17.070000000000011</v>
      </c>
      <c r="C357" s="360" t="s">
        <v>803</v>
      </c>
      <c r="D357" s="360" t="s">
        <v>788</v>
      </c>
      <c r="E357" s="360">
        <v>14</v>
      </c>
      <c r="F357" s="347" t="str">
        <f t="shared" si="218"/>
        <v>120V 1Ø</v>
      </c>
      <c r="G357" s="370" t="str">
        <f>IF(H357="Rectangular",[1]MATERIALES!$D$133,IF(H356="Octagonal",[1]MATERIALES!$D$134,IF(H356="WP",[1]MATERIALES!$D$135,IF(H356="5x5",[1]MATERIALES!$D$136,0))))</f>
        <v>CAJA REG. 12X12X4 N3R</v>
      </c>
      <c r="H357" s="369" t="str">
        <f>H356</f>
        <v>Rectangular</v>
      </c>
      <c r="I357" s="366" t="str">
        <f>I351</f>
        <v>13mm</v>
      </c>
      <c r="J357" s="316"/>
      <c r="K357" s="345" t="str">
        <f t="shared" si="219"/>
        <v>Unid.</v>
      </c>
      <c r="L357" s="28">
        <f>L356</f>
        <v>2</v>
      </c>
      <c r="M357" s="248" t="str">
        <f>IFERROR(VLOOKUP(G357,[1]MATERIALES!$D$5:$I$1368,2,FALSE),0)</f>
        <v xml:space="preserve">Suplidores electricos </v>
      </c>
      <c r="N357" s="367" t="e">
        <f t="shared" si="215"/>
        <v>#VALUE!</v>
      </c>
      <c r="O357" s="140" t="e">
        <f t="shared" si="220"/>
        <v>#VALUE!</v>
      </c>
      <c r="P357" s="367" t="e">
        <f t="shared" si="221"/>
        <v>#VALUE!</v>
      </c>
      <c r="Q357" s="140" t="e">
        <f t="shared" si="216"/>
        <v>#VALUE!</v>
      </c>
      <c r="R357" s="368" t="e">
        <f t="shared" si="217"/>
        <v>#VALUE!</v>
      </c>
      <c r="S357" s="140">
        <f t="shared" si="222"/>
        <v>0</v>
      </c>
      <c r="T357" s="139">
        <f t="shared" si="223"/>
        <v>0</v>
      </c>
      <c r="U357" s="357"/>
      <c r="V357" s="358"/>
      <c r="W357" s="144"/>
    </row>
    <row r="358" spans="1:23" ht="15" hidden="1" customHeight="1" outlineLevel="1" thickBot="1">
      <c r="A358" s="353"/>
      <c r="B358" s="359">
        <f t="shared" si="191"/>
        <v>17.080000000000013</v>
      </c>
      <c r="C358" s="360" t="s">
        <v>803</v>
      </c>
      <c r="D358" s="360" t="s">
        <v>788</v>
      </c>
      <c r="E358" s="360">
        <v>14</v>
      </c>
      <c r="F358" s="347" t="str">
        <f t="shared" si="218"/>
        <v>120V 1Ø</v>
      </c>
      <c r="G358" s="361" t="str" cm="1">
        <f t="array" ref="G358">_xlfn.SWITCH(I358,"13mm",(IF(H358="Rectangular",VLOOKUP(I358,[1]MATERIALES!$C$124:$D$125,2,FALSE),IF(H358="Octagonal",VLOOKUP(I358,[1]MATERIALES!$C$126:$D$127,2,FALSE),IF(H358="WP",VLOOKUP(I358,[1]MATERIALES!$C$128:$D$129,2,FALSE),IF(H358="5x5",VLOOKUP(I358,[1]MATERIALES!$C$130:$D$132,2,FALSE)))))),"19mm",(IF(H358="Rectangular",VLOOKUP(I358,[1]MATERIALES!$C$124:$D$125,2,FALSE),IF(H358="Octagonal",VLOOKUP(I358,[1]MATERIALES!$C$126:$D$127,2,FALSE),IF(H358="WP",VLOOKUP(I358,[1]MATERIALES!$C$128:$D$129,2,FALSE),IF(H358="5x5",VLOOKUP(I358,[1]MATERIALES!$C$130:$D$132,2,FALSE)))))),"25mm",IF(H358="Rectangular","-",IF(H358="Octagonal","--",IF(H358="WP","---",IF(H358="5x5",VLOOKUP(I358,[1]MATERIALES!$C$130:$D$132,2,FALSE),0)))),"38mm","-","50mm","-","75mm","-","100mm","-")</f>
        <v>Caja EMT 2x4 1/2" USA UL</v>
      </c>
      <c r="H358" s="369" t="s">
        <v>188</v>
      </c>
      <c r="I358" s="366" t="str">
        <f>I353</f>
        <v>13mm</v>
      </c>
      <c r="J358" s="316"/>
      <c r="K358" s="345" t="str">
        <f t="shared" si="219"/>
        <v>Unid.</v>
      </c>
      <c r="L358" s="28">
        <f>L365</f>
        <v>1</v>
      </c>
      <c r="M358" s="248" t="str">
        <f>IFERROR(VLOOKUP(G358,[1]MATERIALES!$D$5:$I$1368,2,FALSE),0)</f>
        <v xml:space="preserve">Suplidores electricos </v>
      </c>
      <c r="N358" s="367" t="e">
        <f t="shared" si="215"/>
        <v>#VALUE!</v>
      </c>
      <c r="O358" s="140" t="e">
        <f t="shared" si="220"/>
        <v>#VALUE!</v>
      </c>
      <c r="P358" s="367" t="e">
        <f t="shared" si="221"/>
        <v>#VALUE!</v>
      </c>
      <c r="Q358" s="140" t="e">
        <f t="shared" si="216"/>
        <v>#VALUE!</v>
      </c>
      <c r="R358" s="368" t="e">
        <f t="shared" si="217"/>
        <v>#VALUE!</v>
      </c>
      <c r="S358" s="140">
        <f t="shared" si="222"/>
        <v>0</v>
      </c>
      <c r="T358" s="139">
        <f t="shared" si="223"/>
        <v>0</v>
      </c>
      <c r="U358" s="357"/>
      <c r="V358" s="358"/>
      <c r="W358" s="144"/>
    </row>
    <row r="359" spans="1:23" ht="15" hidden="1" customHeight="1" outlineLevel="1" thickBot="1">
      <c r="A359" s="353"/>
      <c r="B359" s="359">
        <f t="shared" si="191"/>
        <v>17.090000000000014</v>
      </c>
      <c r="C359" s="360" t="s">
        <v>803</v>
      </c>
      <c r="D359" s="360" t="s">
        <v>788</v>
      </c>
      <c r="E359" s="360">
        <v>14</v>
      </c>
      <c r="F359" s="347" t="str">
        <f t="shared" si="218"/>
        <v>120V 1Ø</v>
      </c>
      <c r="G359" s="370" t="str">
        <f>IF(H359="Rectangular",[1]MATERIALES!$D$133,IF(H358="Octagonal",[1]MATERIALES!$D$134,IF(H358="WP",[1]MATERIALES!#REF!,IF(H358="5x5",[1]MATERIALES!$D$136,0))))</f>
        <v>CAJA REG. 12X12X4 N3R</v>
      </c>
      <c r="H359" s="369" t="str">
        <f>H358</f>
        <v>Rectangular</v>
      </c>
      <c r="I359" s="366" t="str">
        <f>I353</f>
        <v>13mm</v>
      </c>
      <c r="J359" s="316"/>
      <c r="K359" s="345" t="str">
        <f t="shared" si="219"/>
        <v>Unid.</v>
      </c>
      <c r="L359" s="28">
        <f>L358</f>
        <v>1</v>
      </c>
      <c r="M359" s="248" t="str">
        <f>IFERROR(VLOOKUP(G359,[1]MATERIALES!$D$5:$I$1368,2,FALSE),0)</f>
        <v xml:space="preserve">Suplidores electricos </v>
      </c>
      <c r="N359" s="367" t="e">
        <f t="shared" si="215"/>
        <v>#VALUE!</v>
      </c>
      <c r="O359" s="140" t="e">
        <f t="shared" si="220"/>
        <v>#VALUE!</v>
      </c>
      <c r="P359" s="367" t="e">
        <f t="shared" si="221"/>
        <v>#VALUE!</v>
      </c>
      <c r="Q359" s="140" t="e">
        <f t="shared" si="216"/>
        <v>#VALUE!</v>
      </c>
      <c r="R359" s="368" t="e">
        <f t="shared" si="217"/>
        <v>#VALUE!</v>
      </c>
      <c r="S359" s="140">
        <f t="shared" si="222"/>
        <v>0</v>
      </c>
      <c r="T359" s="139">
        <f t="shared" si="223"/>
        <v>0</v>
      </c>
      <c r="U359" s="357"/>
      <c r="V359" s="358"/>
      <c r="W359" s="144"/>
    </row>
    <row r="360" spans="1:23" ht="15" hidden="1" customHeight="1" outlineLevel="1" thickBot="1">
      <c r="A360" s="353"/>
      <c r="B360" s="359">
        <f t="shared" si="191"/>
        <v>17.100000000000016</v>
      </c>
      <c r="C360" s="360" t="s">
        <v>803</v>
      </c>
      <c r="D360" s="360" t="s">
        <v>788</v>
      </c>
      <c r="E360" s="360">
        <v>14</v>
      </c>
      <c r="F360" s="347" t="str">
        <f t="shared" si="218"/>
        <v>120V 1Ø</v>
      </c>
      <c r="G360" s="371" t="str">
        <f>"Fase A"&amp;": "&amp;I360</f>
        <v>Fase A: Conductor 12 AWG THHN</v>
      </c>
      <c r="H360" s="366" t="s">
        <v>181</v>
      </c>
      <c r="I360" s="366" t="s">
        <v>189</v>
      </c>
      <c r="J360" s="366">
        <f>J351</f>
        <v>15.08</v>
      </c>
      <c r="K360" s="345" t="str">
        <f>IF(OR(H360="Conductores Americanos",H360="Conductores Europeos"),"Pies","Unid.")</f>
        <v>Pies</v>
      </c>
      <c r="L360" s="28">
        <f>ROUNDUP(J360*3.28,0)</f>
        <v>50</v>
      </c>
      <c r="M360" s="140" t="str">
        <f>VLOOKUP(I360,[1]MATERIALES!$D$5:$I$1368,2,FALSE)</f>
        <v xml:space="preserve">Suplidores electricos </v>
      </c>
      <c r="N360" s="367" t="e">
        <f t="shared" si="215"/>
        <v>#VALUE!</v>
      </c>
      <c r="O360" s="140" t="e">
        <f t="shared" si="220"/>
        <v>#VALUE!</v>
      </c>
      <c r="P360" s="367" t="e">
        <f t="shared" si="221"/>
        <v>#VALUE!</v>
      </c>
      <c r="Q360" s="140" t="e">
        <f t="shared" si="216"/>
        <v>#VALUE!</v>
      </c>
      <c r="R360" s="368" t="e">
        <f t="shared" si="217"/>
        <v>#VALUE!</v>
      </c>
      <c r="S360" s="140">
        <f t="shared" si="222"/>
        <v>0</v>
      </c>
      <c r="T360" s="139">
        <f t="shared" si="223"/>
        <v>0</v>
      </c>
      <c r="U360" s="357"/>
      <c r="V360" s="358"/>
      <c r="W360" s="144"/>
    </row>
    <row r="361" spans="1:23" ht="15" hidden="1" customHeight="1" outlineLevel="1" thickBot="1">
      <c r="A361" s="353"/>
      <c r="B361" s="359">
        <f t="shared" si="191"/>
        <v>17.110000000000017</v>
      </c>
      <c r="C361" s="360" t="s">
        <v>803</v>
      </c>
      <c r="D361" s="360" t="s">
        <v>788</v>
      </c>
      <c r="E361" s="360">
        <v>14</v>
      </c>
      <c r="F361" s="347" t="str">
        <f t="shared" si="218"/>
        <v>120V 1Ø</v>
      </c>
      <c r="G361" s="371" t="str">
        <f>IF(F361="120V 1Ø","-",("Fase B"&amp;": "&amp;I361))</f>
        <v>-</v>
      </c>
      <c r="H361" s="366" t="str">
        <f t="shared" ref="H361:I363" si="224">H360</f>
        <v>Conductores Americanos</v>
      </c>
      <c r="I361" s="366" t="str">
        <f t="shared" si="224"/>
        <v>Conductor 12 AWG THHN</v>
      </c>
      <c r="J361" s="366">
        <f>IF(G361="-",0,J351)</f>
        <v>0</v>
      </c>
      <c r="K361" s="345" t="str">
        <f t="shared" ref="K361:K367" si="225">IF(OR(H361="Conductores Americanos",H361="Conductores Europeos"),"Pies","Unid.")</f>
        <v>Pies</v>
      </c>
      <c r="L361" s="28">
        <f>ROUNDUP(J361*3.28,0)</f>
        <v>0</v>
      </c>
      <c r="M361" s="140" t="str">
        <f>VLOOKUP(I361,[1]MATERIALES!$D$5:$I$1368,2,FALSE)</f>
        <v xml:space="preserve">Suplidores electricos </v>
      </c>
      <c r="N361" s="367" t="e">
        <f t="shared" si="215"/>
        <v>#VALUE!</v>
      </c>
      <c r="O361" s="140" t="e">
        <f t="shared" si="220"/>
        <v>#VALUE!</v>
      </c>
      <c r="P361" s="367" t="e">
        <f t="shared" si="221"/>
        <v>#VALUE!</v>
      </c>
      <c r="Q361" s="140" t="e">
        <f t="shared" si="216"/>
        <v>#VALUE!</v>
      </c>
      <c r="R361" s="368" t="e">
        <f t="shared" si="217"/>
        <v>#VALUE!</v>
      </c>
      <c r="S361" s="140">
        <f t="shared" si="222"/>
        <v>0</v>
      </c>
      <c r="T361" s="139">
        <f t="shared" si="223"/>
        <v>0</v>
      </c>
      <c r="U361" s="357"/>
      <c r="V361" s="358"/>
      <c r="W361" s="144"/>
    </row>
    <row r="362" spans="1:23" ht="15" hidden="1" customHeight="1" outlineLevel="1" thickBot="1">
      <c r="A362" s="353"/>
      <c r="B362" s="359">
        <f t="shared" si="191"/>
        <v>17.120000000000019</v>
      </c>
      <c r="C362" s="360" t="s">
        <v>803</v>
      </c>
      <c r="D362" s="360" t="s">
        <v>788</v>
      </c>
      <c r="E362" s="360">
        <v>14</v>
      </c>
      <c r="F362" s="347" t="str">
        <f t="shared" si="218"/>
        <v>120V 1Ø</v>
      </c>
      <c r="G362" s="371" t="str">
        <f>IF(F362="120V 1Ø","-",IF(F362="240V 1Ø","-",("Fase C"&amp;": "&amp;I360)))</f>
        <v>-</v>
      </c>
      <c r="H362" s="366" t="str">
        <f t="shared" si="224"/>
        <v>Conductores Americanos</v>
      </c>
      <c r="I362" s="366" t="str">
        <f t="shared" si="224"/>
        <v>Conductor 12 AWG THHN</v>
      </c>
      <c r="J362" s="366">
        <f>IF(G362="-",0,J351)</f>
        <v>0</v>
      </c>
      <c r="K362" s="345" t="str">
        <f t="shared" si="225"/>
        <v>Pies</v>
      </c>
      <c r="L362" s="28">
        <f>ROUNDUP(J362*3.28,0)</f>
        <v>0</v>
      </c>
      <c r="M362" s="140" t="str">
        <f>VLOOKUP(I362,[1]MATERIALES!$D$5:$I$1368,2,FALSE)</f>
        <v xml:space="preserve">Suplidores electricos </v>
      </c>
      <c r="N362" s="367" t="e">
        <f t="shared" si="215"/>
        <v>#VALUE!</v>
      </c>
      <c r="O362" s="140" t="e">
        <f t="shared" si="220"/>
        <v>#VALUE!</v>
      </c>
      <c r="P362" s="367" t="e">
        <f t="shared" si="221"/>
        <v>#VALUE!</v>
      </c>
      <c r="Q362" s="140" t="e">
        <f t="shared" si="216"/>
        <v>#VALUE!</v>
      </c>
      <c r="R362" s="368" t="e">
        <f t="shared" si="217"/>
        <v>#VALUE!</v>
      </c>
      <c r="S362" s="140">
        <f t="shared" si="222"/>
        <v>0</v>
      </c>
      <c r="T362" s="139">
        <f t="shared" si="223"/>
        <v>0</v>
      </c>
      <c r="U362" s="357"/>
      <c r="V362" s="358"/>
      <c r="W362" s="144"/>
    </row>
    <row r="363" spans="1:23" ht="15" hidden="1" customHeight="1" outlineLevel="1" thickBot="1">
      <c r="A363" s="353"/>
      <c r="B363" s="359">
        <f t="shared" si="191"/>
        <v>17.13000000000002</v>
      </c>
      <c r="C363" s="360" t="s">
        <v>803</v>
      </c>
      <c r="D363" s="360" t="s">
        <v>788</v>
      </c>
      <c r="E363" s="360">
        <v>14</v>
      </c>
      <c r="F363" s="347" t="str">
        <f t="shared" si="218"/>
        <v>120V 1Ø</v>
      </c>
      <c r="G363" s="372" t="str">
        <f>IF(F363="240V 1Ø","-",IF(F363="480V 3Ø","-",("Neutro"&amp;": "&amp;I360)))</f>
        <v>Neutro: Conductor 12 AWG THHN</v>
      </c>
      <c r="H363" s="366" t="str">
        <f t="shared" si="224"/>
        <v>Conductores Americanos</v>
      </c>
      <c r="I363" s="366" t="str">
        <f t="shared" si="224"/>
        <v>Conductor 12 AWG THHN</v>
      </c>
      <c r="J363" s="366">
        <f>IF(G363="-",0,J351)</f>
        <v>15.08</v>
      </c>
      <c r="K363" s="345" t="str">
        <f t="shared" si="225"/>
        <v>Pies</v>
      </c>
      <c r="L363" s="28">
        <f>ROUNDUP(J363*3.28,0)</f>
        <v>50</v>
      </c>
      <c r="M363" s="140" t="str">
        <f>VLOOKUP(I363,[1]MATERIALES!$D$5:$I$1368,2,FALSE)</f>
        <v xml:space="preserve">Suplidores electricos </v>
      </c>
      <c r="N363" s="367" t="e">
        <f t="shared" si="215"/>
        <v>#VALUE!</v>
      </c>
      <c r="O363" s="140" t="e">
        <f t="shared" si="220"/>
        <v>#VALUE!</v>
      </c>
      <c r="P363" s="367" t="e">
        <f t="shared" si="221"/>
        <v>#VALUE!</v>
      </c>
      <c r="Q363" s="140" t="e">
        <f t="shared" si="216"/>
        <v>#VALUE!</v>
      </c>
      <c r="R363" s="368" t="e">
        <f t="shared" si="217"/>
        <v>#VALUE!</v>
      </c>
      <c r="S363" s="140">
        <f t="shared" si="222"/>
        <v>0</v>
      </c>
      <c r="T363" s="139">
        <f t="shared" si="223"/>
        <v>0</v>
      </c>
      <c r="U363" s="357"/>
      <c r="V363" s="358"/>
      <c r="W363" s="144"/>
    </row>
    <row r="364" spans="1:23" ht="15" hidden="1" customHeight="1" outlineLevel="1" thickBot="1">
      <c r="A364" s="353"/>
      <c r="B364" s="359">
        <f t="shared" si="191"/>
        <v>17.140000000000022</v>
      </c>
      <c r="C364" s="360" t="s">
        <v>803</v>
      </c>
      <c r="D364" s="360" t="s">
        <v>788</v>
      </c>
      <c r="E364" s="360">
        <v>14</v>
      </c>
      <c r="F364" s="347" t="str">
        <f t="shared" si="218"/>
        <v>120V 1Ø</v>
      </c>
      <c r="G364" s="372" t="str">
        <f>"Tierra"&amp;": "&amp;I364</f>
        <v>Tierra: Conductor 12 AWG THHN</v>
      </c>
      <c r="H364" s="366" t="str">
        <f>H363</f>
        <v>Conductores Americanos</v>
      </c>
      <c r="I364" s="366" t="str">
        <f>I363</f>
        <v>Conductor 12 AWG THHN</v>
      </c>
      <c r="J364" s="366">
        <f>J351</f>
        <v>15.08</v>
      </c>
      <c r="K364" s="345" t="str">
        <f t="shared" si="225"/>
        <v>Pies</v>
      </c>
      <c r="L364" s="28">
        <f>ROUNDUP(J364*3.28,0)</f>
        <v>50</v>
      </c>
      <c r="M364" s="140" t="str">
        <f>VLOOKUP(I364,[1]MATERIALES!$D$5:$I$1368,2,FALSE)</f>
        <v xml:space="preserve">Suplidores electricos </v>
      </c>
      <c r="N364" s="367" t="e">
        <f t="shared" si="215"/>
        <v>#VALUE!</v>
      </c>
      <c r="O364" s="140" t="e">
        <f t="shared" si="220"/>
        <v>#VALUE!</v>
      </c>
      <c r="P364" s="367" t="e">
        <f t="shared" si="221"/>
        <v>#VALUE!</v>
      </c>
      <c r="Q364" s="140" t="e">
        <f t="shared" si="216"/>
        <v>#VALUE!</v>
      </c>
      <c r="R364" s="368" t="e">
        <f t="shared" si="217"/>
        <v>#VALUE!</v>
      </c>
      <c r="S364" s="140">
        <f t="shared" si="222"/>
        <v>0</v>
      </c>
      <c r="T364" s="139">
        <f t="shared" si="223"/>
        <v>0</v>
      </c>
      <c r="U364" s="357"/>
      <c r="V364" s="358"/>
      <c r="W364" s="144"/>
    </row>
    <row r="365" spans="1:23" ht="15" hidden="1" customHeight="1" outlineLevel="1" thickBot="1">
      <c r="A365" s="353"/>
      <c r="B365" s="359">
        <f t="shared" si="191"/>
        <v>17.150000000000023</v>
      </c>
      <c r="C365" s="360" t="s">
        <v>803</v>
      </c>
      <c r="D365" s="360" t="s">
        <v>788</v>
      </c>
      <c r="E365" s="360">
        <v>14</v>
      </c>
      <c r="F365" s="347" t="str">
        <f t="shared" si="218"/>
        <v>120V 1Ø</v>
      </c>
      <c r="G365" s="361" t="str" cm="1">
        <f t="array" ref="G365">IFERROR(VLOOKUP(H365&amp;"|"&amp;I365,CHOOSE({1,2},[1]MATERIALES!$B$168:$B$175&amp;"|"&amp;[1]MATERIALES!$C$168:$C$175,[1]MATERIALES!$D$168:$D$175),2,0),"-")</f>
        <v>Tomacorriente 15A Matix (AM5115D + 503SB/SA)</v>
      </c>
      <c r="H365" s="373" t="s">
        <v>382</v>
      </c>
      <c r="I365" s="373" t="s">
        <v>380</v>
      </c>
      <c r="J365" s="316"/>
      <c r="K365" s="345" t="str">
        <f t="shared" si="225"/>
        <v>Unid.</v>
      </c>
      <c r="L365" s="218">
        <v>1</v>
      </c>
      <c r="M365" s="248">
        <f>IFERROR(VLOOKUP(G365,[1]MATERIALES!$D$5:$I$1368,2,FALSE),0)</f>
        <v>0</v>
      </c>
      <c r="N365" s="367">
        <f t="shared" si="215"/>
        <v>0</v>
      </c>
      <c r="O365" s="140">
        <f t="shared" si="220"/>
        <v>0</v>
      </c>
      <c r="P365" s="367">
        <f t="shared" si="221"/>
        <v>0</v>
      </c>
      <c r="Q365" s="140">
        <f t="shared" si="216"/>
        <v>0</v>
      </c>
      <c r="R365" s="368">
        <f t="shared" si="217"/>
        <v>0</v>
      </c>
      <c r="S365" s="140">
        <f t="shared" si="222"/>
        <v>0</v>
      </c>
      <c r="T365" s="139">
        <f t="shared" si="223"/>
        <v>0</v>
      </c>
      <c r="U365" s="357"/>
      <c r="V365" s="358"/>
      <c r="W365" s="144"/>
    </row>
    <row r="366" spans="1:23" ht="15" hidden="1" customHeight="1" outlineLevel="1" thickBot="1">
      <c r="A366" s="353"/>
      <c r="B366" s="359">
        <f t="shared" si="191"/>
        <v>17.160000000000025</v>
      </c>
      <c r="C366" s="360" t="s">
        <v>803</v>
      </c>
      <c r="D366" s="360" t="s">
        <v>788</v>
      </c>
      <c r="E366" s="360">
        <v>14</v>
      </c>
      <c r="F366" s="347" t="str">
        <f t="shared" si="218"/>
        <v>120V 1Ø</v>
      </c>
      <c r="G366" s="361" t="str" cm="1">
        <f t="array" ref="G366">IFERROR(VLOOKUP(H366&amp;"|"&amp;I366,CHOOSE({1,2},[1]MATERIALES!$B$176:$B$185&amp;"|"&amp;[1]MATERIALES!$C$176:$C$185,[1]MATERIALES!$D$176:$D$185),2,0),"-")</f>
        <v>Tapa para tomacorriente MATIX (AM503/3N)</v>
      </c>
      <c r="H366" s="366" t="str">
        <f>H365</f>
        <v>MATIX</v>
      </c>
      <c r="I366" s="373" t="s">
        <v>392</v>
      </c>
      <c r="J366" s="316"/>
      <c r="K366" s="345" t="str">
        <f t="shared" si="225"/>
        <v>Unid.</v>
      </c>
      <c r="L366" s="345">
        <f>L365</f>
        <v>1</v>
      </c>
      <c r="M366" s="248">
        <f>IFERROR(VLOOKUP(G366,[1]MATERIALES!$D$5:$I$1368,2,FALSE),0)</f>
        <v>0</v>
      </c>
      <c r="N366" s="367">
        <f t="shared" si="215"/>
        <v>0</v>
      </c>
      <c r="O366" s="140">
        <f t="shared" si="220"/>
        <v>0</v>
      </c>
      <c r="P366" s="367">
        <f t="shared" si="221"/>
        <v>0</v>
      </c>
      <c r="Q366" s="140">
        <f t="shared" si="216"/>
        <v>0</v>
      </c>
      <c r="R366" s="368">
        <f t="shared" si="217"/>
        <v>0</v>
      </c>
      <c r="S366" s="140">
        <f t="shared" si="222"/>
        <v>0</v>
      </c>
      <c r="T366" s="139">
        <f t="shared" si="223"/>
        <v>0</v>
      </c>
      <c r="U366" s="357"/>
      <c r="V366" s="358"/>
      <c r="W366" s="144"/>
    </row>
    <row r="367" spans="1:23" ht="15" hidden="1" customHeight="1" outlineLevel="1" thickBot="1">
      <c r="A367" s="353"/>
      <c r="B367" s="359">
        <f t="shared" si="191"/>
        <v>17.170000000000027</v>
      </c>
      <c r="C367" s="360" t="s">
        <v>803</v>
      </c>
      <c r="D367" s="360" t="s">
        <v>788</v>
      </c>
      <c r="E367" s="360">
        <v>14</v>
      </c>
      <c r="F367" s="347" t="str">
        <f t="shared" si="218"/>
        <v>120V 1Ø</v>
      </c>
      <c r="G367" s="371" t="s">
        <v>422</v>
      </c>
      <c r="H367" s="316"/>
      <c r="I367" s="316"/>
      <c r="J367" s="316"/>
      <c r="K367" s="345" t="str">
        <f t="shared" si="225"/>
        <v>Unid.</v>
      </c>
      <c r="L367" s="345">
        <f>3*(L356)</f>
        <v>6</v>
      </c>
      <c r="M367" s="248">
        <f>IFERROR(VLOOKUP(G367,[1]MATERIALES!$D$5:$I$1368,2,FALSE),0)</f>
        <v>0</v>
      </c>
      <c r="N367" s="367">
        <f t="shared" si="215"/>
        <v>0</v>
      </c>
      <c r="O367" s="140">
        <f t="shared" si="220"/>
        <v>0</v>
      </c>
      <c r="P367" s="367">
        <f t="shared" si="221"/>
        <v>0</v>
      </c>
      <c r="Q367" s="140">
        <f t="shared" si="216"/>
        <v>0</v>
      </c>
      <c r="R367" s="368">
        <f t="shared" si="217"/>
        <v>0</v>
      </c>
      <c r="S367" s="140">
        <f t="shared" si="222"/>
        <v>0</v>
      </c>
      <c r="T367" s="139">
        <f t="shared" si="223"/>
        <v>0</v>
      </c>
      <c r="U367" s="357" t="e">
        <f>SUM(R367:R369)</f>
        <v>#VALUE!</v>
      </c>
      <c r="V367" s="358" t="e">
        <f>'[1]1. OFERTA'!#REF!</f>
        <v>#REF!</v>
      </c>
      <c r="W367" s="144" t="e">
        <f>U367-V367</f>
        <v>#VALUE!</v>
      </c>
    </row>
    <row r="368" spans="1:23" ht="15" hidden="1" customHeight="1" outlineLevel="1" thickBot="1">
      <c r="A368" s="353"/>
      <c r="B368" s="359">
        <f t="shared" si="191"/>
        <v>17.180000000000028</v>
      </c>
      <c r="C368" s="360" t="s">
        <v>803</v>
      </c>
      <c r="D368" s="360" t="s">
        <v>788</v>
      </c>
      <c r="E368" s="360">
        <v>14</v>
      </c>
      <c r="F368" s="347" t="str">
        <f t="shared" si="218"/>
        <v>120V 1Ø</v>
      </c>
      <c r="G368" s="374" t="s">
        <v>424</v>
      </c>
      <c r="H368" s="316"/>
      <c r="I368" s="316"/>
      <c r="J368" s="316"/>
      <c r="K368" s="345" t="s">
        <v>784</v>
      </c>
      <c r="L368" s="28">
        <f>ROUNDUP(L355+L356+L358,0)</f>
        <v>19</v>
      </c>
      <c r="M368" s="248">
        <f>IFERROR(VLOOKUP(G368,[1]MATERIALES!$D$5:$I$1368,2,FALSE),0)</f>
        <v>0</v>
      </c>
      <c r="N368" s="367">
        <f t="shared" si="215"/>
        <v>0</v>
      </c>
      <c r="O368" s="140">
        <f t="shared" si="220"/>
        <v>0</v>
      </c>
      <c r="P368" s="367">
        <f t="shared" si="221"/>
        <v>0</v>
      </c>
      <c r="Q368" s="140">
        <f t="shared" si="216"/>
        <v>0</v>
      </c>
      <c r="R368" s="368">
        <f t="shared" si="217"/>
        <v>0</v>
      </c>
      <c r="S368" s="140">
        <f t="shared" si="222"/>
        <v>0</v>
      </c>
      <c r="T368" s="139">
        <f t="shared" si="223"/>
        <v>0</v>
      </c>
      <c r="U368" s="357"/>
      <c r="V368" s="358"/>
      <c r="W368" s="144"/>
    </row>
    <row r="369" spans="1:23" ht="15" hidden="1" customHeight="1" outlineLevel="1" thickBot="1">
      <c r="A369" s="353"/>
      <c r="B369" s="359">
        <f t="shared" si="191"/>
        <v>17.19000000000003</v>
      </c>
      <c r="C369" s="360" t="s">
        <v>803</v>
      </c>
      <c r="D369" s="360" t="s">
        <v>788</v>
      </c>
      <c r="E369" s="360">
        <v>14</v>
      </c>
      <c r="F369" s="347" t="str">
        <f t="shared" si="218"/>
        <v>120V 1Ø</v>
      </c>
      <c r="G369" s="374" t="s">
        <v>168</v>
      </c>
      <c r="H369" s="316"/>
      <c r="I369" s="316"/>
      <c r="J369" s="316"/>
      <c r="K369" s="345" t="s">
        <v>784</v>
      </c>
      <c r="L369" s="28">
        <f>L368</f>
        <v>19</v>
      </c>
      <c r="M369" s="248" t="str">
        <f>IFERROR(VLOOKUP(G369,[1]MATERIALES!$D$5:$I$1368,2,FALSE),0)</f>
        <v xml:space="preserve">Marba Dominicana </v>
      </c>
      <c r="N369" s="367" t="e">
        <f t="shared" si="215"/>
        <v>#VALUE!</v>
      </c>
      <c r="O369" s="140" t="e">
        <f t="shared" si="220"/>
        <v>#VALUE!</v>
      </c>
      <c r="P369" s="367" t="e">
        <f t="shared" si="221"/>
        <v>#VALUE!</v>
      </c>
      <c r="Q369" s="140" t="e">
        <f t="shared" si="216"/>
        <v>#VALUE!</v>
      </c>
      <c r="R369" s="368" t="e">
        <f t="shared" si="217"/>
        <v>#VALUE!</v>
      </c>
      <c r="S369" s="140">
        <f t="shared" si="222"/>
        <v>0</v>
      </c>
      <c r="T369" s="139">
        <f t="shared" si="223"/>
        <v>0</v>
      </c>
      <c r="U369" s="357"/>
      <c r="V369" s="358"/>
      <c r="W369" s="144"/>
    </row>
    <row r="370" spans="1:23" ht="15" customHeight="1" collapsed="1" thickBot="1">
      <c r="A370" s="353"/>
      <c r="B370" s="354">
        <v>18</v>
      </c>
      <c r="C370" s="355" t="s">
        <v>804</v>
      </c>
      <c r="D370" s="269" t="s">
        <v>788</v>
      </c>
      <c r="E370" s="269">
        <v>15</v>
      </c>
      <c r="F370" s="270" t="s">
        <v>783</v>
      </c>
      <c r="G370" s="271"/>
      <c r="H370" s="272"/>
      <c r="I370" s="272"/>
      <c r="J370" s="272"/>
      <c r="K370" s="268"/>
      <c r="L370" s="268"/>
      <c r="M370" s="273"/>
      <c r="N370" s="274"/>
      <c r="O370" s="273"/>
      <c r="P370" s="274"/>
      <c r="Q370" s="273"/>
      <c r="R370" s="275"/>
      <c r="S370" s="273"/>
      <c r="T370" s="276"/>
      <c r="U370" s="357" t="e">
        <f>SUM(R371:R389)</f>
        <v>#VALUE!</v>
      </c>
      <c r="V370" s="358" t="e">
        <f>'[1]1. OFERTA'!#REF!</f>
        <v>#REF!</v>
      </c>
      <c r="W370" s="144" t="e">
        <f>U370-V370</f>
        <v>#VALUE!</v>
      </c>
    </row>
    <row r="371" spans="1:23" ht="15" hidden="1" customHeight="1" outlineLevel="1" thickBot="1">
      <c r="A371" s="353"/>
      <c r="B371" s="359">
        <f t="shared" si="191"/>
        <v>18.010000000000002</v>
      </c>
      <c r="C371" s="360" t="s">
        <v>804</v>
      </c>
      <c r="D371" s="360" t="s">
        <v>788</v>
      </c>
      <c r="E371" s="360">
        <v>15</v>
      </c>
      <c r="F371" s="347" t="s">
        <v>783</v>
      </c>
      <c r="G371" s="361" t="str">
        <f>IF(H371="PVC",VLOOKUP(I371,[1]MATERIALES!$C$5:$D$11,2,FALSE),IF(H371="EMT",VLOOKUP(I371,[1]MATERIALES!$C$40:$D$46,2,FALSE),IF(H371="IMC",VLOOKUP(I371,[1]MATERIALES!$C$82:$D$88,2,FALSE),IF(H371="LFNC",VLOOKUP(I371,[1]MATERIALES!$C$110:$D$116,2,FALSE),0))))</f>
        <v>Tubería PVC SDR-26 1/2"</v>
      </c>
      <c r="H371" s="362" t="s">
        <v>184</v>
      </c>
      <c r="I371" s="362" t="s">
        <v>216</v>
      </c>
      <c r="J371" s="362">
        <v>39.85</v>
      </c>
      <c r="K371" s="134" t="str">
        <f>IF(OR(H371="Conductores Americanos",H371="Conductores Europeos"),"Pies","Unid.")</f>
        <v>Unid.</v>
      </c>
      <c r="L371" s="363">
        <f>IF(H371="PVC",ROUNDUP(J371/6,0),IF(H371="EMT",ROUNDUP(J371/3,0),IF(H371="IMC",ROUNDUP(J371/3,0),IF(H371="LFNC",ROUNDUP(3.28*J371,0),0))))</f>
        <v>7</v>
      </c>
      <c r="M371" s="248" t="str">
        <f>IFERROR(VLOOKUP(G371,[1]MATERIALES!$D$5:$I$1368,2,FALSE),0)</f>
        <v xml:space="preserve">Suplidores electricos </v>
      </c>
      <c r="N371" s="364" t="e">
        <f t="shared" ref="N371:N389" si="226">M371/$N$2</f>
        <v>#VALUE!</v>
      </c>
      <c r="O371" s="248" t="e">
        <f>+L371*M371</f>
        <v>#VALUE!</v>
      </c>
      <c r="P371" s="364" t="e">
        <f>L371*N371</f>
        <v>#VALUE!</v>
      </c>
      <c r="Q371" s="248" t="e">
        <f t="shared" ref="Q371:Q389" si="227">+$O371+($O371*$R$2)</f>
        <v>#VALUE!</v>
      </c>
      <c r="R371" s="365" t="e">
        <f t="shared" ref="R371:R389" si="228">+$P371+($P371*$R$2)</f>
        <v>#VALUE!</v>
      </c>
      <c r="S371" s="248">
        <f>+IFERROR(Q371/L371,0)</f>
        <v>0</v>
      </c>
      <c r="T371" s="146">
        <f>+IFERROR(R371/L371,0)</f>
        <v>0</v>
      </c>
      <c r="U371" s="357"/>
      <c r="V371" s="358"/>
      <c r="W371" s="144"/>
    </row>
    <row r="372" spans="1:23" ht="15" hidden="1" customHeight="1" outlineLevel="1" thickBot="1">
      <c r="A372" s="353"/>
      <c r="B372" s="359">
        <f t="shared" si="191"/>
        <v>18.020000000000003</v>
      </c>
      <c r="C372" s="360" t="s">
        <v>804</v>
      </c>
      <c r="D372" s="360" t="s">
        <v>788</v>
      </c>
      <c r="E372" s="360">
        <v>15</v>
      </c>
      <c r="F372" s="347" t="str">
        <f t="shared" ref="F372:F389" si="229">F371</f>
        <v>120V 1Ø</v>
      </c>
      <c r="G372" s="361" t="str">
        <f>IF(H372="PVC",VLOOKUP(I372,[1]MATERIALES!$C$12:$D$18,2,FALSE),IF(H372="EMT",VLOOKUP(I372,[1]MATERIALES!$C$47:$D$53,2,FALSE),IF(H372="IMC",VLOOKUP(I372,[1]MATERIALES!$C$89:$D$96,2,FALSE),"-")))</f>
        <v>Coupling PVC 1/2"</v>
      </c>
      <c r="H372" s="366" t="str">
        <f>H371</f>
        <v>PVC</v>
      </c>
      <c r="I372" s="366" t="str">
        <f>I371</f>
        <v>13mm</v>
      </c>
      <c r="J372" s="316"/>
      <c r="K372" s="345" t="str">
        <f t="shared" ref="K372:K379" si="230">IF(OR(H372="Conductores Americanos",H372="Conductores Europeos"),"Pies","Unid.")</f>
        <v>Unid.</v>
      </c>
      <c r="L372" s="28">
        <f>IF(H372="LFNC",0,L371)</f>
        <v>7</v>
      </c>
      <c r="M372" s="140" t="str">
        <f>IF(H372="LFNC",0,VLOOKUP(G372,[1]MATERIALES!$D$5:$I$1368,2,FALSE))</f>
        <v xml:space="preserve">Suplidores electricos </v>
      </c>
      <c r="N372" s="367" t="e">
        <f t="shared" si="226"/>
        <v>#VALUE!</v>
      </c>
      <c r="O372" s="140" t="e">
        <f t="shared" ref="O372:O389" si="231">+L372*M372</f>
        <v>#VALUE!</v>
      </c>
      <c r="P372" s="367" t="e">
        <f t="shared" ref="P372:P389" si="232">L372*N372</f>
        <v>#VALUE!</v>
      </c>
      <c r="Q372" s="140" t="e">
        <f t="shared" si="227"/>
        <v>#VALUE!</v>
      </c>
      <c r="R372" s="368" t="e">
        <f t="shared" si="228"/>
        <v>#VALUE!</v>
      </c>
      <c r="S372" s="140">
        <f t="shared" ref="S372:S389" si="233">+IFERROR(Q372/L372,0)</f>
        <v>0</v>
      </c>
      <c r="T372" s="139">
        <f t="shared" ref="T372:T389" si="234">+IFERROR(R372/L372,0)</f>
        <v>0</v>
      </c>
      <c r="U372" s="357"/>
      <c r="V372" s="358"/>
      <c r="W372" s="144"/>
    </row>
    <row r="373" spans="1:23" ht="15" hidden="1" customHeight="1" outlineLevel="1" thickBot="1">
      <c r="A373" s="353"/>
      <c r="B373" s="359">
        <f t="shared" ref="B373:B389" si="235">B372+0.01</f>
        <v>18.030000000000005</v>
      </c>
      <c r="C373" s="360" t="s">
        <v>804</v>
      </c>
      <c r="D373" s="360" t="s">
        <v>788</v>
      </c>
      <c r="E373" s="360">
        <v>15</v>
      </c>
      <c r="F373" s="347" t="str">
        <f t="shared" si="229"/>
        <v>120V 1Ø</v>
      </c>
      <c r="G373" s="361" t="str">
        <f>IF(H373="PVC",VLOOKUP(I373,[1]MATERIALES!$C$19:$D$25,2,FALSE),IF(H373="EMT",VLOOKUP(I373,[1]MATERIALES!$C$54:$D$60,2,FALSE),IF(H373="IMC",VLOOKUP(I373,[1]MATERIALES!$C$96:$D$102,2,FALSE),IF(H373="LFNC",VLOOKUP(I373,[1]MATERIALES!$C$117:$D$123,2,FALSE),0))))</f>
        <v>Adaptador Macho PVC 1/2"</v>
      </c>
      <c r="H373" s="366" t="str">
        <f>H371</f>
        <v>PVC</v>
      </c>
      <c r="I373" s="366" t="str">
        <f>I371</f>
        <v>13mm</v>
      </c>
      <c r="J373" s="316"/>
      <c r="K373" s="345" t="str">
        <f t="shared" si="230"/>
        <v>Unid.</v>
      </c>
      <c r="L373" s="28">
        <f>1+L376*2+L378</f>
        <v>3</v>
      </c>
      <c r="M373" s="248" t="str">
        <f>IFERROR(VLOOKUP(G373,[1]MATERIALES!$D$5:$I$1368,2,FALSE),0)</f>
        <v xml:space="preserve">Suplidores electricos </v>
      </c>
      <c r="N373" s="367" t="e">
        <f t="shared" si="226"/>
        <v>#VALUE!</v>
      </c>
      <c r="O373" s="140" t="e">
        <f t="shared" si="231"/>
        <v>#VALUE!</v>
      </c>
      <c r="P373" s="367" t="e">
        <f t="shared" si="232"/>
        <v>#VALUE!</v>
      </c>
      <c r="Q373" s="140" t="e">
        <f t="shared" si="227"/>
        <v>#VALUE!</v>
      </c>
      <c r="R373" s="368" t="e">
        <f t="shared" si="228"/>
        <v>#VALUE!</v>
      </c>
      <c r="S373" s="140">
        <f t="shared" si="233"/>
        <v>0</v>
      </c>
      <c r="T373" s="139">
        <f t="shared" si="234"/>
        <v>0</v>
      </c>
      <c r="U373" s="357"/>
      <c r="V373" s="358"/>
      <c r="W373" s="144"/>
    </row>
    <row r="374" spans="1:23" ht="15" hidden="1" customHeight="1" outlineLevel="1" thickBot="1">
      <c r="A374" s="353"/>
      <c r="B374" s="359">
        <f t="shared" si="235"/>
        <v>18.040000000000006</v>
      </c>
      <c r="C374" s="360" t="s">
        <v>804</v>
      </c>
      <c r="D374" s="360" t="s">
        <v>788</v>
      </c>
      <c r="E374" s="360">
        <v>15</v>
      </c>
      <c r="F374" s="347" t="str">
        <f t="shared" si="229"/>
        <v>120V 1Ø</v>
      </c>
      <c r="G374" s="361" t="str">
        <f>IF(H374="PVC",VLOOKUP(I374,[1]MATERIALES!$C$33:$D$39,2,FALSE),IF(H374="EMT",VLOOKUP(I374,[1]MATERIALES!$C$61:$D$67,2,FALSE),IF(H374="IMC",VLOOKUP(I374,[1]MATERIALES!$C$103:$D$109,2,FALSE),"-")))</f>
        <v>Curva 90 PVC SDR 1/2"</v>
      </c>
      <c r="H374" s="366" t="str">
        <f>H371</f>
        <v>PVC</v>
      </c>
      <c r="I374" s="366" t="str">
        <f>I371</f>
        <v>13mm</v>
      </c>
      <c r="J374" s="316"/>
      <c r="K374" s="345" t="str">
        <f t="shared" si="230"/>
        <v>Unid.</v>
      </c>
      <c r="L374" s="28">
        <f>IF(H374="LFNC",0,(1+L385))</f>
        <v>1</v>
      </c>
      <c r="M374" s="140" t="str">
        <f>IF(H374="LFNC",0,VLOOKUP(G374,[1]MATERIALES!$D$5:$I$1368,2,FALSE))</f>
        <v xml:space="preserve">Suplidores electricos </v>
      </c>
      <c r="N374" s="367" t="e">
        <f t="shared" si="226"/>
        <v>#VALUE!</v>
      </c>
      <c r="O374" s="140" t="e">
        <f t="shared" si="231"/>
        <v>#VALUE!</v>
      </c>
      <c r="P374" s="367" t="e">
        <f t="shared" si="232"/>
        <v>#VALUE!</v>
      </c>
      <c r="Q374" s="140" t="e">
        <f t="shared" si="227"/>
        <v>#VALUE!</v>
      </c>
      <c r="R374" s="368" t="e">
        <f t="shared" si="228"/>
        <v>#VALUE!</v>
      </c>
      <c r="S374" s="140">
        <f t="shared" si="233"/>
        <v>0</v>
      </c>
      <c r="T374" s="139">
        <f t="shared" si="234"/>
        <v>0</v>
      </c>
      <c r="U374" s="357"/>
      <c r="V374" s="358"/>
      <c r="W374" s="144"/>
    </row>
    <row r="375" spans="1:23" ht="15" hidden="1" customHeight="1" outlineLevel="1" thickBot="1">
      <c r="A375" s="353"/>
      <c r="B375" s="359">
        <f t="shared" si="235"/>
        <v>18.050000000000008</v>
      </c>
      <c r="C375" s="360" t="s">
        <v>804</v>
      </c>
      <c r="D375" s="360" t="s">
        <v>788</v>
      </c>
      <c r="E375" s="360">
        <v>15</v>
      </c>
      <c r="F375" s="347" t="str">
        <f t="shared" si="229"/>
        <v>120V 1Ø</v>
      </c>
      <c r="G375" s="361" t="str">
        <f>VLOOKUP(I375,[1]MATERIALES!$C$68:$D$74,2,FALSE)</f>
        <v>Abrazadera EMT 1/2'' </v>
      </c>
      <c r="H375" s="316"/>
      <c r="I375" s="366" t="str">
        <f>I371</f>
        <v>13mm</v>
      </c>
      <c r="J375" s="316"/>
      <c r="K375" s="345" t="str">
        <f t="shared" si="230"/>
        <v>Unid.</v>
      </c>
      <c r="L375" s="28">
        <f>ROUNDUP(J371,0)</f>
        <v>40</v>
      </c>
      <c r="M375" s="248" t="str">
        <f>IFERROR(VLOOKUP(G375,[1]MATERIALES!$D$5:$I$1368,2,FALSE),0)</f>
        <v xml:space="preserve">Suplidores electricos </v>
      </c>
      <c r="N375" s="367" t="e">
        <f t="shared" si="226"/>
        <v>#VALUE!</v>
      </c>
      <c r="O375" s="140" t="e">
        <f t="shared" si="231"/>
        <v>#VALUE!</v>
      </c>
      <c r="P375" s="367" t="e">
        <f t="shared" si="232"/>
        <v>#VALUE!</v>
      </c>
      <c r="Q375" s="140" t="e">
        <f t="shared" si="227"/>
        <v>#VALUE!</v>
      </c>
      <c r="R375" s="368" t="e">
        <f t="shared" si="228"/>
        <v>#VALUE!</v>
      </c>
      <c r="S375" s="140">
        <f t="shared" si="233"/>
        <v>0</v>
      </c>
      <c r="T375" s="139">
        <f t="shared" si="234"/>
        <v>0</v>
      </c>
      <c r="U375" s="357"/>
      <c r="V375" s="358"/>
      <c r="W375" s="144"/>
    </row>
    <row r="376" spans="1:23" ht="15" hidden="1" customHeight="1" outlineLevel="1" thickBot="1">
      <c r="A376" s="353"/>
      <c r="B376" s="359">
        <f t="shared" si="235"/>
        <v>18.060000000000009</v>
      </c>
      <c r="C376" s="360" t="s">
        <v>804</v>
      </c>
      <c r="D376" s="360" t="s">
        <v>788</v>
      </c>
      <c r="E376" s="360">
        <v>15</v>
      </c>
      <c r="F376" s="347" t="str">
        <f t="shared" si="229"/>
        <v>120V 1Ø</v>
      </c>
      <c r="G376" s="361" t="str" cm="1">
        <f t="array" ref="G376">_xlfn.SWITCH(I376,"13mm",(IF(H376="Rectangular",VLOOKUP(I376,[1]MATERIALES!$C$124:$D$125,2,FALSE),IF(H376="Octagonal",VLOOKUP(I376,[1]MATERIALES!$C$126:$D$127,2,FALSE),IF(H376="WP",VLOOKUP(I376,[1]MATERIALES!$C$128:$D$129,2,FALSE),IF(H376="5x5",VLOOKUP(I376,[1]MATERIALES!$C$130:$D$132,2,FALSE)))))),"19mm",(IF(H376="Rectangular",VLOOKUP(I376,[1]MATERIALES!$C$124:$D$125,2,FALSE),IF(H376="Octagonal",VLOOKUP(I376,[1]MATERIALES!$C$126:$D$127,2,FALSE),IF(H376="WP",VLOOKUP(I376,[1]MATERIALES!$C$128:$D$129,2,FALSE),IF(H376="5x5",VLOOKUP(I376,[1]MATERIALES!$C$130:$D$132,2,FALSE)))))),"25mm",IF(H376="Rectangular","-",IF(H376="Octagonal","--",IF(H376="WP","---",IF(H376="5x5",VLOOKUP(I376,[1]MATERIALES!$C$130:$D$132,2,FALSE),0)))),"38mm","-","50mm","-","75mm","-","100mm","-")</f>
        <v>Caja 2x4 waterproof 1/2"</v>
      </c>
      <c r="H376" s="369" t="s">
        <v>199</v>
      </c>
      <c r="I376" s="366" t="str">
        <f>I371</f>
        <v>13mm</v>
      </c>
      <c r="J376" s="316"/>
      <c r="K376" s="345" t="str">
        <f t="shared" si="230"/>
        <v>Unid.</v>
      </c>
      <c r="L376" s="28">
        <f>1+L385</f>
        <v>1</v>
      </c>
      <c r="M376" s="248">
        <f>IFERROR(VLOOKUP(G376,[1]MATERIALES!$D$5:$I$1368,2,FALSE),0)</f>
        <v>0</v>
      </c>
      <c r="N376" s="367">
        <f t="shared" si="226"/>
        <v>0</v>
      </c>
      <c r="O376" s="140">
        <f t="shared" si="231"/>
        <v>0</v>
      </c>
      <c r="P376" s="367">
        <f t="shared" si="232"/>
        <v>0</v>
      </c>
      <c r="Q376" s="140">
        <f t="shared" si="227"/>
        <v>0</v>
      </c>
      <c r="R376" s="368">
        <f t="shared" si="228"/>
        <v>0</v>
      </c>
      <c r="S376" s="140">
        <f t="shared" si="233"/>
        <v>0</v>
      </c>
      <c r="T376" s="139">
        <f t="shared" si="234"/>
        <v>0</v>
      </c>
      <c r="U376" s="357"/>
      <c r="V376" s="358"/>
      <c r="W376" s="144"/>
    </row>
    <row r="377" spans="1:23" ht="15" hidden="1" customHeight="1" outlineLevel="1" thickBot="1">
      <c r="A377" s="353"/>
      <c r="B377" s="359">
        <f t="shared" si="235"/>
        <v>18.070000000000011</v>
      </c>
      <c r="C377" s="360" t="s">
        <v>804</v>
      </c>
      <c r="D377" s="360" t="s">
        <v>788</v>
      </c>
      <c r="E377" s="360">
        <v>15</v>
      </c>
      <c r="F377" s="347" t="str">
        <f t="shared" si="229"/>
        <v>120V 1Ø</v>
      </c>
      <c r="G377" s="370" t="str">
        <f>IF(H377="Rectangular",[1]MATERIALES!$D$133,IF(H376="Octagonal",[1]MATERIALES!$D$134,IF(H376="WP",[1]MATERIALES!$D$135,IF(H376="5x5",[1]MATERIALES!$D$136,0))))</f>
        <v>Tapa caja octagonal EMT USA UL</v>
      </c>
      <c r="H377" s="369" t="str">
        <f>H376</f>
        <v>WP</v>
      </c>
      <c r="I377" s="366" t="str">
        <f>I371</f>
        <v>13mm</v>
      </c>
      <c r="J377" s="316"/>
      <c r="K377" s="345" t="str">
        <f t="shared" si="230"/>
        <v>Unid.</v>
      </c>
      <c r="L377" s="28">
        <f>L376</f>
        <v>1</v>
      </c>
      <c r="M377" s="248" t="str">
        <f>IFERROR(VLOOKUP(G377,[1]MATERIALES!$D$5:$I$1368,2,FALSE),0)</f>
        <v xml:space="preserve">Suplidores electricos </v>
      </c>
      <c r="N377" s="367" t="e">
        <f t="shared" si="226"/>
        <v>#VALUE!</v>
      </c>
      <c r="O377" s="140" t="e">
        <f t="shared" si="231"/>
        <v>#VALUE!</v>
      </c>
      <c r="P377" s="367" t="e">
        <f t="shared" si="232"/>
        <v>#VALUE!</v>
      </c>
      <c r="Q377" s="140" t="e">
        <f t="shared" si="227"/>
        <v>#VALUE!</v>
      </c>
      <c r="R377" s="368" t="e">
        <f t="shared" si="228"/>
        <v>#VALUE!</v>
      </c>
      <c r="S377" s="140">
        <f t="shared" si="233"/>
        <v>0</v>
      </c>
      <c r="T377" s="139">
        <f t="shared" si="234"/>
        <v>0</v>
      </c>
      <c r="U377" s="357"/>
      <c r="V377" s="358"/>
      <c r="W377" s="144"/>
    </row>
    <row r="378" spans="1:23" ht="15" hidden="1" customHeight="1" outlineLevel="1" thickBot="1">
      <c r="A378" s="353"/>
      <c r="B378" s="359">
        <f t="shared" si="235"/>
        <v>18.080000000000013</v>
      </c>
      <c r="C378" s="360" t="s">
        <v>804</v>
      </c>
      <c r="D378" s="360" t="s">
        <v>788</v>
      </c>
      <c r="E378" s="360">
        <v>15</v>
      </c>
      <c r="F378" s="347" t="str">
        <f t="shared" si="229"/>
        <v>120V 1Ø</v>
      </c>
      <c r="G378" s="361" t="str" cm="1">
        <f t="array" ref="G378">_xlfn.SWITCH(I378,"13mm",(IF(H378="Rectangular",VLOOKUP(I378,[1]MATERIALES!$C$124:$D$125,2,FALSE),IF(H378="Octagonal",VLOOKUP(I378,[1]MATERIALES!$C$126:$D$127,2,FALSE),IF(H378="WP",VLOOKUP(I378,[1]MATERIALES!$C$128:$D$129,2,FALSE),IF(H378="5x5",VLOOKUP(I378,[1]MATERIALES!$C$130:$D$132,2,FALSE)))))),"19mm",(IF(H378="Rectangular",VLOOKUP(I378,[1]MATERIALES!$C$124:$D$125,2,FALSE),IF(H378="Octagonal",VLOOKUP(I378,[1]MATERIALES!$C$126:$D$127,2,FALSE),IF(H378="WP",VLOOKUP(I378,[1]MATERIALES!$C$128:$D$129,2,FALSE),IF(H378="5x5",VLOOKUP(I378,[1]MATERIALES!$C$130:$D$132,2,FALSE)))))),"25mm",IF(H378="Rectangular","-",IF(H378="Octagonal","--",IF(H378="WP","---",IF(H378="5x5",VLOOKUP(I378,[1]MATERIALES!$C$130:$D$132,2,FALSE),0)))),"38mm","-","50mm","-","75mm","-","100mm","-")</f>
        <v>Caja EMT 2x4 1/2" USA UL</v>
      </c>
      <c r="H378" s="369" t="s">
        <v>188</v>
      </c>
      <c r="I378" s="366" t="str">
        <f>I373</f>
        <v>13mm</v>
      </c>
      <c r="J378" s="316"/>
      <c r="K378" s="345" t="str">
        <f t="shared" si="230"/>
        <v>Unid.</v>
      </c>
      <c r="L378" s="28">
        <f>L385</f>
        <v>0</v>
      </c>
      <c r="M378" s="248" t="str">
        <f>IFERROR(VLOOKUP(G378,[1]MATERIALES!$D$5:$I$1368,2,FALSE),0)</f>
        <v xml:space="preserve">Suplidores electricos </v>
      </c>
      <c r="N378" s="367" t="e">
        <f t="shared" si="226"/>
        <v>#VALUE!</v>
      </c>
      <c r="O378" s="140" t="e">
        <f t="shared" si="231"/>
        <v>#VALUE!</v>
      </c>
      <c r="P378" s="367" t="e">
        <f t="shared" si="232"/>
        <v>#VALUE!</v>
      </c>
      <c r="Q378" s="140" t="e">
        <f t="shared" si="227"/>
        <v>#VALUE!</v>
      </c>
      <c r="R378" s="368" t="e">
        <f t="shared" si="228"/>
        <v>#VALUE!</v>
      </c>
      <c r="S378" s="140">
        <f t="shared" si="233"/>
        <v>0</v>
      </c>
      <c r="T378" s="139">
        <f t="shared" si="234"/>
        <v>0</v>
      </c>
      <c r="U378" s="357"/>
      <c r="V378" s="358"/>
      <c r="W378" s="144"/>
    </row>
    <row r="379" spans="1:23" ht="15" hidden="1" customHeight="1" outlineLevel="1" thickBot="1">
      <c r="A379" s="353"/>
      <c r="B379" s="359">
        <f t="shared" si="235"/>
        <v>18.090000000000014</v>
      </c>
      <c r="C379" s="360" t="s">
        <v>804</v>
      </c>
      <c r="D379" s="360" t="s">
        <v>788</v>
      </c>
      <c r="E379" s="360">
        <v>15</v>
      </c>
      <c r="F379" s="347" t="str">
        <f t="shared" si="229"/>
        <v>120V 1Ø</v>
      </c>
      <c r="G379" s="370" t="str">
        <f>IF(H379="Rectangular",[1]MATERIALES!$D$133,IF(H378="Octagonal",[1]MATERIALES!$D$134,IF(H378="WP",[1]MATERIALES!#REF!,IF(H378="5x5",[1]MATERIALES!$D$136,0))))</f>
        <v>CAJA REG. 12X12X4 N3R</v>
      </c>
      <c r="H379" s="369" t="str">
        <f>H378</f>
        <v>Rectangular</v>
      </c>
      <c r="I379" s="366" t="str">
        <f>I373</f>
        <v>13mm</v>
      </c>
      <c r="J379" s="316"/>
      <c r="K379" s="345" t="str">
        <f t="shared" si="230"/>
        <v>Unid.</v>
      </c>
      <c r="L379" s="28">
        <f>L378</f>
        <v>0</v>
      </c>
      <c r="M379" s="248" t="str">
        <f>IFERROR(VLOOKUP(G379,[1]MATERIALES!$D$5:$I$1368,2,FALSE),0)</f>
        <v xml:space="preserve">Suplidores electricos </v>
      </c>
      <c r="N379" s="367" t="e">
        <f t="shared" si="226"/>
        <v>#VALUE!</v>
      </c>
      <c r="O379" s="140" t="e">
        <f t="shared" si="231"/>
        <v>#VALUE!</v>
      </c>
      <c r="P379" s="367" t="e">
        <f t="shared" si="232"/>
        <v>#VALUE!</v>
      </c>
      <c r="Q379" s="140" t="e">
        <f t="shared" si="227"/>
        <v>#VALUE!</v>
      </c>
      <c r="R379" s="368" t="e">
        <f t="shared" si="228"/>
        <v>#VALUE!</v>
      </c>
      <c r="S379" s="140">
        <f t="shared" si="233"/>
        <v>0</v>
      </c>
      <c r="T379" s="139">
        <f t="shared" si="234"/>
        <v>0</v>
      </c>
      <c r="U379" s="357"/>
      <c r="V379" s="358"/>
      <c r="W379" s="144"/>
    </row>
    <row r="380" spans="1:23" ht="15" hidden="1" customHeight="1" outlineLevel="1" thickBot="1">
      <c r="A380" s="353"/>
      <c r="B380" s="359">
        <f t="shared" si="235"/>
        <v>18.100000000000016</v>
      </c>
      <c r="C380" s="360" t="s">
        <v>804</v>
      </c>
      <c r="D380" s="360" t="s">
        <v>788</v>
      </c>
      <c r="E380" s="360">
        <v>15</v>
      </c>
      <c r="F380" s="347" t="str">
        <f t="shared" si="229"/>
        <v>120V 1Ø</v>
      </c>
      <c r="G380" s="371" t="str">
        <f>"Fase A"&amp;": "&amp;I380</f>
        <v>Fase A: Conductor 12 AWG THHN</v>
      </c>
      <c r="H380" s="366" t="s">
        <v>181</v>
      </c>
      <c r="I380" s="366" t="s">
        <v>189</v>
      </c>
      <c r="J380" s="366">
        <f>J371</f>
        <v>39.85</v>
      </c>
      <c r="K380" s="345" t="str">
        <f>IF(OR(H380="Conductores Americanos",H380="Conductores Europeos"),"Pies","Unid.")</f>
        <v>Pies</v>
      </c>
      <c r="L380" s="28">
        <f>ROUNDUP(J380*3.28,0)</f>
        <v>131</v>
      </c>
      <c r="M380" s="140" t="str">
        <f>VLOOKUP(I380,[1]MATERIALES!$D$5:$I$1368,2,FALSE)</f>
        <v xml:space="preserve">Suplidores electricos </v>
      </c>
      <c r="N380" s="367" t="e">
        <f t="shared" si="226"/>
        <v>#VALUE!</v>
      </c>
      <c r="O380" s="140" t="e">
        <f t="shared" si="231"/>
        <v>#VALUE!</v>
      </c>
      <c r="P380" s="367" t="e">
        <f t="shared" si="232"/>
        <v>#VALUE!</v>
      </c>
      <c r="Q380" s="140" t="e">
        <f t="shared" si="227"/>
        <v>#VALUE!</v>
      </c>
      <c r="R380" s="368" t="e">
        <f t="shared" si="228"/>
        <v>#VALUE!</v>
      </c>
      <c r="S380" s="140">
        <f t="shared" si="233"/>
        <v>0</v>
      </c>
      <c r="T380" s="139">
        <f t="shared" si="234"/>
        <v>0</v>
      </c>
      <c r="U380" s="357"/>
      <c r="V380" s="358"/>
      <c r="W380" s="144"/>
    </row>
    <row r="381" spans="1:23" ht="15" hidden="1" customHeight="1" outlineLevel="1" thickBot="1">
      <c r="A381" s="353"/>
      <c r="B381" s="359">
        <f t="shared" si="235"/>
        <v>18.110000000000017</v>
      </c>
      <c r="C381" s="360" t="s">
        <v>804</v>
      </c>
      <c r="D381" s="360" t="s">
        <v>788</v>
      </c>
      <c r="E381" s="360">
        <v>15</v>
      </c>
      <c r="F381" s="347" t="str">
        <f t="shared" si="229"/>
        <v>120V 1Ø</v>
      </c>
      <c r="G381" s="371" t="str">
        <f>IF(F381="120V 1Ø","-",("Fase B"&amp;": "&amp;I381))</f>
        <v>-</v>
      </c>
      <c r="H381" s="366" t="str">
        <f t="shared" ref="H381:I383" si="236">H380</f>
        <v>Conductores Americanos</v>
      </c>
      <c r="I381" s="366" t="str">
        <f t="shared" si="236"/>
        <v>Conductor 12 AWG THHN</v>
      </c>
      <c r="J381" s="366">
        <f>IF(G381="-",0,J371)</f>
        <v>0</v>
      </c>
      <c r="K381" s="345" t="str">
        <f t="shared" ref="K381:K387" si="237">IF(OR(H381="Conductores Americanos",H381="Conductores Europeos"),"Pies","Unid.")</f>
        <v>Pies</v>
      </c>
      <c r="L381" s="28">
        <f>ROUNDUP(J381*3.28,0)</f>
        <v>0</v>
      </c>
      <c r="M381" s="140" t="str">
        <f>VLOOKUP(I381,[1]MATERIALES!$D$5:$I$1368,2,FALSE)</f>
        <v xml:space="preserve">Suplidores electricos </v>
      </c>
      <c r="N381" s="367" t="e">
        <f t="shared" si="226"/>
        <v>#VALUE!</v>
      </c>
      <c r="O381" s="140" t="e">
        <f t="shared" si="231"/>
        <v>#VALUE!</v>
      </c>
      <c r="P381" s="367" t="e">
        <f t="shared" si="232"/>
        <v>#VALUE!</v>
      </c>
      <c r="Q381" s="140" t="e">
        <f t="shared" si="227"/>
        <v>#VALUE!</v>
      </c>
      <c r="R381" s="368" t="e">
        <f t="shared" si="228"/>
        <v>#VALUE!</v>
      </c>
      <c r="S381" s="140">
        <f t="shared" si="233"/>
        <v>0</v>
      </c>
      <c r="T381" s="139">
        <f t="shared" si="234"/>
        <v>0</v>
      </c>
      <c r="U381" s="357"/>
      <c r="V381" s="358"/>
      <c r="W381" s="144"/>
    </row>
    <row r="382" spans="1:23" ht="15" hidden="1" customHeight="1" outlineLevel="1" thickBot="1">
      <c r="A382" s="353"/>
      <c r="B382" s="359">
        <f t="shared" si="235"/>
        <v>18.120000000000019</v>
      </c>
      <c r="C382" s="360" t="s">
        <v>804</v>
      </c>
      <c r="D382" s="360" t="s">
        <v>788</v>
      </c>
      <c r="E382" s="360">
        <v>15</v>
      </c>
      <c r="F382" s="347" t="str">
        <f t="shared" si="229"/>
        <v>120V 1Ø</v>
      </c>
      <c r="G382" s="371" t="str">
        <f>IF(F382="120V 1Ø","-",IF(F382="240V 1Ø","-",("Fase C"&amp;": "&amp;I380)))</f>
        <v>-</v>
      </c>
      <c r="H382" s="366" t="str">
        <f t="shared" si="236"/>
        <v>Conductores Americanos</v>
      </c>
      <c r="I382" s="366" t="str">
        <f t="shared" si="236"/>
        <v>Conductor 12 AWG THHN</v>
      </c>
      <c r="J382" s="366">
        <f>IF(G382="-",0,J371)</f>
        <v>0</v>
      </c>
      <c r="K382" s="345" t="str">
        <f t="shared" si="237"/>
        <v>Pies</v>
      </c>
      <c r="L382" s="28">
        <f>ROUNDUP(J382*3.28,0)</f>
        <v>0</v>
      </c>
      <c r="M382" s="140" t="str">
        <f>VLOOKUP(I382,[1]MATERIALES!$D$5:$I$1368,2,FALSE)</f>
        <v xml:space="preserve">Suplidores electricos </v>
      </c>
      <c r="N382" s="367" t="e">
        <f t="shared" si="226"/>
        <v>#VALUE!</v>
      </c>
      <c r="O382" s="140" t="e">
        <f t="shared" si="231"/>
        <v>#VALUE!</v>
      </c>
      <c r="P382" s="367" t="e">
        <f t="shared" si="232"/>
        <v>#VALUE!</v>
      </c>
      <c r="Q382" s="140" t="e">
        <f t="shared" si="227"/>
        <v>#VALUE!</v>
      </c>
      <c r="R382" s="368" t="e">
        <f t="shared" si="228"/>
        <v>#VALUE!</v>
      </c>
      <c r="S382" s="140">
        <f t="shared" si="233"/>
        <v>0</v>
      </c>
      <c r="T382" s="139">
        <f t="shared" si="234"/>
        <v>0</v>
      </c>
      <c r="U382" s="357"/>
      <c r="V382" s="358"/>
      <c r="W382" s="144"/>
    </row>
    <row r="383" spans="1:23" ht="15" hidden="1" customHeight="1" outlineLevel="1" thickBot="1">
      <c r="A383" s="353"/>
      <c r="B383" s="359">
        <f t="shared" si="235"/>
        <v>18.13000000000002</v>
      </c>
      <c r="C383" s="360" t="s">
        <v>804</v>
      </c>
      <c r="D383" s="360" t="s">
        <v>788</v>
      </c>
      <c r="E383" s="360">
        <v>15</v>
      </c>
      <c r="F383" s="347" t="str">
        <f t="shared" si="229"/>
        <v>120V 1Ø</v>
      </c>
      <c r="G383" s="372" t="str">
        <f>IF(F383="240V 1Ø","-",IF(F383="480V 3Ø","-",("Neutro"&amp;": "&amp;I380)))</f>
        <v>Neutro: Conductor 12 AWG THHN</v>
      </c>
      <c r="H383" s="366" t="str">
        <f t="shared" si="236"/>
        <v>Conductores Americanos</v>
      </c>
      <c r="I383" s="366" t="str">
        <f t="shared" si="236"/>
        <v>Conductor 12 AWG THHN</v>
      </c>
      <c r="J383" s="366">
        <f>IF(G383="-",0,J371)</f>
        <v>39.85</v>
      </c>
      <c r="K383" s="345" t="str">
        <f t="shared" si="237"/>
        <v>Pies</v>
      </c>
      <c r="L383" s="28">
        <f>ROUNDUP(J383*3.28,0)</f>
        <v>131</v>
      </c>
      <c r="M383" s="140" t="str">
        <f>VLOOKUP(I383,[1]MATERIALES!$D$5:$I$1368,2,FALSE)</f>
        <v xml:space="preserve">Suplidores electricos </v>
      </c>
      <c r="N383" s="367" t="e">
        <f t="shared" si="226"/>
        <v>#VALUE!</v>
      </c>
      <c r="O383" s="140" t="e">
        <f t="shared" si="231"/>
        <v>#VALUE!</v>
      </c>
      <c r="P383" s="367" t="e">
        <f t="shared" si="232"/>
        <v>#VALUE!</v>
      </c>
      <c r="Q383" s="140" t="e">
        <f t="shared" si="227"/>
        <v>#VALUE!</v>
      </c>
      <c r="R383" s="368" t="e">
        <f t="shared" si="228"/>
        <v>#VALUE!</v>
      </c>
      <c r="S383" s="140">
        <f t="shared" si="233"/>
        <v>0</v>
      </c>
      <c r="T383" s="139">
        <f t="shared" si="234"/>
        <v>0</v>
      </c>
      <c r="U383" s="357"/>
      <c r="V383" s="358"/>
      <c r="W383" s="144"/>
    </row>
    <row r="384" spans="1:23" ht="15" hidden="1" customHeight="1" outlineLevel="1" thickBot="1">
      <c r="A384" s="353"/>
      <c r="B384" s="359">
        <f t="shared" si="235"/>
        <v>18.140000000000022</v>
      </c>
      <c r="C384" s="360" t="s">
        <v>804</v>
      </c>
      <c r="D384" s="360" t="s">
        <v>788</v>
      </c>
      <c r="E384" s="360">
        <v>15</v>
      </c>
      <c r="F384" s="347" t="str">
        <f t="shared" si="229"/>
        <v>120V 1Ø</v>
      </c>
      <c r="G384" s="372" t="str">
        <f>"Tierra"&amp;": "&amp;I384</f>
        <v>Tierra: Conductor 12 AWG THHN</v>
      </c>
      <c r="H384" s="366" t="str">
        <f>H383</f>
        <v>Conductores Americanos</v>
      </c>
      <c r="I384" s="366" t="str">
        <f>I383</f>
        <v>Conductor 12 AWG THHN</v>
      </c>
      <c r="J384" s="366">
        <f>J371</f>
        <v>39.85</v>
      </c>
      <c r="K384" s="345" t="str">
        <f t="shared" si="237"/>
        <v>Pies</v>
      </c>
      <c r="L384" s="28">
        <f>ROUNDUP(J384*3.28,0)</f>
        <v>131</v>
      </c>
      <c r="M384" s="140" t="str">
        <f>VLOOKUP(I384,[1]MATERIALES!$D$5:$I$1368,2,FALSE)</f>
        <v xml:space="preserve">Suplidores electricos </v>
      </c>
      <c r="N384" s="367" t="e">
        <f t="shared" si="226"/>
        <v>#VALUE!</v>
      </c>
      <c r="O384" s="140" t="e">
        <f t="shared" si="231"/>
        <v>#VALUE!</v>
      </c>
      <c r="P384" s="367" t="e">
        <f t="shared" si="232"/>
        <v>#VALUE!</v>
      </c>
      <c r="Q384" s="140" t="e">
        <f t="shared" si="227"/>
        <v>#VALUE!</v>
      </c>
      <c r="R384" s="368" t="e">
        <f t="shared" si="228"/>
        <v>#VALUE!</v>
      </c>
      <c r="S384" s="140">
        <f t="shared" si="233"/>
        <v>0</v>
      </c>
      <c r="T384" s="139">
        <f t="shared" si="234"/>
        <v>0</v>
      </c>
      <c r="U384" s="357"/>
      <c r="V384" s="358"/>
      <c r="W384" s="144"/>
    </row>
    <row r="385" spans="1:23" ht="15" hidden="1" customHeight="1" outlineLevel="1" thickBot="1">
      <c r="A385" s="353"/>
      <c r="B385" s="359">
        <f t="shared" si="235"/>
        <v>18.150000000000023</v>
      </c>
      <c r="C385" s="360" t="s">
        <v>804</v>
      </c>
      <c r="D385" s="360" t="s">
        <v>788</v>
      </c>
      <c r="E385" s="360">
        <v>15</v>
      </c>
      <c r="F385" s="347" t="str">
        <f t="shared" si="229"/>
        <v>120V 1Ø</v>
      </c>
      <c r="G385" s="361" t="str" cm="1">
        <f t="array" ref="G385">IFERROR(VLOOKUP(H385&amp;"|"&amp;I385,CHOOSE({1,2},[1]MATERIALES!$B$168:$B$175&amp;"|"&amp;[1]MATERIALES!$C$168:$C$175,[1]MATERIALES!$D$168:$D$175),2,0),"-")</f>
        <v>Tomacorriente 15A Matix (AM5115D + 503SB/SA)</v>
      </c>
      <c r="H385" s="373" t="s">
        <v>382</v>
      </c>
      <c r="I385" s="373" t="s">
        <v>380</v>
      </c>
      <c r="J385" s="316"/>
      <c r="K385" s="345" t="str">
        <f t="shared" si="237"/>
        <v>Unid.</v>
      </c>
      <c r="L385" s="218">
        <v>0</v>
      </c>
      <c r="M385" s="248">
        <f>IFERROR(VLOOKUP(G385,[1]MATERIALES!$D$5:$I$1368,2,FALSE),0)</f>
        <v>0</v>
      </c>
      <c r="N385" s="367">
        <f t="shared" si="226"/>
        <v>0</v>
      </c>
      <c r="O385" s="140">
        <f t="shared" si="231"/>
        <v>0</v>
      </c>
      <c r="P385" s="367">
        <f t="shared" si="232"/>
        <v>0</v>
      </c>
      <c r="Q385" s="140">
        <f t="shared" si="227"/>
        <v>0</v>
      </c>
      <c r="R385" s="368">
        <f t="shared" si="228"/>
        <v>0</v>
      </c>
      <c r="S385" s="140">
        <f t="shared" si="233"/>
        <v>0</v>
      </c>
      <c r="T385" s="139">
        <f t="shared" si="234"/>
        <v>0</v>
      </c>
      <c r="U385" s="357"/>
      <c r="V385" s="358"/>
      <c r="W385" s="144"/>
    </row>
    <row r="386" spans="1:23" ht="15" hidden="1" customHeight="1" outlineLevel="1" thickBot="1">
      <c r="A386" s="353"/>
      <c r="B386" s="359">
        <f t="shared" si="235"/>
        <v>18.160000000000025</v>
      </c>
      <c r="C386" s="360" t="s">
        <v>804</v>
      </c>
      <c r="D386" s="360" t="s">
        <v>788</v>
      </c>
      <c r="E386" s="360">
        <v>15</v>
      </c>
      <c r="F386" s="347" t="str">
        <f t="shared" si="229"/>
        <v>120V 1Ø</v>
      </c>
      <c r="G386" s="361" t="str" cm="1">
        <f t="array" ref="G386">IFERROR(VLOOKUP(H386&amp;"|"&amp;I386,CHOOSE({1,2},[1]MATERIALES!$B$176:$B$185&amp;"|"&amp;[1]MATERIALES!$C$176:$C$185,[1]MATERIALES!$D$176:$D$185),2,0),"-")</f>
        <v>Tapa para tomacorriente MATIX (AM503/3N)</v>
      </c>
      <c r="H386" s="366" t="str">
        <f>H385</f>
        <v>MATIX</v>
      </c>
      <c r="I386" s="373" t="s">
        <v>392</v>
      </c>
      <c r="J386" s="316"/>
      <c r="K386" s="345" t="str">
        <f t="shared" si="237"/>
        <v>Unid.</v>
      </c>
      <c r="L386" s="345">
        <f>L385</f>
        <v>0</v>
      </c>
      <c r="M386" s="248">
        <f>IFERROR(VLOOKUP(G386,[1]MATERIALES!$D$5:$I$1368,2,FALSE),0)</f>
        <v>0</v>
      </c>
      <c r="N386" s="367">
        <f t="shared" si="226"/>
        <v>0</v>
      </c>
      <c r="O386" s="140">
        <f t="shared" si="231"/>
        <v>0</v>
      </c>
      <c r="P386" s="367">
        <f t="shared" si="232"/>
        <v>0</v>
      </c>
      <c r="Q386" s="140">
        <f t="shared" si="227"/>
        <v>0</v>
      </c>
      <c r="R386" s="368">
        <f t="shared" si="228"/>
        <v>0</v>
      </c>
      <c r="S386" s="140">
        <f t="shared" si="233"/>
        <v>0</v>
      </c>
      <c r="T386" s="139">
        <f t="shared" si="234"/>
        <v>0</v>
      </c>
      <c r="U386" s="357"/>
      <c r="V386" s="358"/>
      <c r="W386" s="144"/>
    </row>
    <row r="387" spans="1:23" ht="15" hidden="1" customHeight="1" outlineLevel="1" thickBot="1">
      <c r="A387" s="353"/>
      <c r="B387" s="359">
        <f t="shared" si="235"/>
        <v>18.170000000000027</v>
      </c>
      <c r="C387" s="360" t="s">
        <v>804</v>
      </c>
      <c r="D387" s="360" t="s">
        <v>788</v>
      </c>
      <c r="E387" s="360">
        <v>15</v>
      </c>
      <c r="F387" s="347" t="str">
        <f t="shared" si="229"/>
        <v>120V 1Ø</v>
      </c>
      <c r="G387" s="371" t="s">
        <v>422</v>
      </c>
      <c r="H387" s="316"/>
      <c r="I387" s="316"/>
      <c r="J387" s="316"/>
      <c r="K387" s="345" t="str">
        <f t="shared" si="237"/>
        <v>Unid.</v>
      </c>
      <c r="L387" s="345">
        <f>3*(L376)</f>
        <v>3</v>
      </c>
      <c r="M387" s="248">
        <f>IFERROR(VLOOKUP(G387,[1]MATERIALES!$D$5:$I$1368,2,FALSE),0)</f>
        <v>0</v>
      </c>
      <c r="N387" s="367">
        <f t="shared" si="226"/>
        <v>0</v>
      </c>
      <c r="O387" s="140">
        <f t="shared" si="231"/>
        <v>0</v>
      </c>
      <c r="P387" s="367">
        <f t="shared" si="232"/>
        <v>0</v>
      </c>
      <c r="Q387" s="140">
        <f t="shared" si="227"/>
        <v>0</v>
      </c>
      <c r="R387" s="368">
        <f t="shared" si="228"/>
        <v>0</v>
      </c>
      <c r="S387" s="140">
        <f t="shared" si="233"/>
        <v>0</v>
      </c>
      <c r="T387" s="139">
        <f t="shared" si="234"/>
        <v>0</v>
      </c>
      <c r="U387" s="357" t="e">
        <f>SUM(R387:R389)</f>
        <v>#VALUE!</v>
      </c>
      <c r="V387" s="358" t="e">
        <f>'[1]1. OFERTA'!#REF!</f>
        <v>#REF!</v>
      </c>
      <c r="W387" s="144" t="e">
        <f>U387-V387</f>
        <v>#VALUE!</v>
      </c>
    </row>
    <row r="388" spans="1:23" ht="15" hidden="1" customHeight="1" outlineLevel="1" thickBot="1">
      <c r="A388" s="353"/>
      <c r="B388" s="359">
        <f t="shared" si="235"/>
        <v>18.180000000000028</v>
      </c>
      <c r="C388" s="360" t="s">
        <v>804</v>
      </c>
      <c r="D388" s="360" t="s">
        <v>788</v>
      </c>
      <c r="E388" s="360">
        <v>15</v>
      </c>
      <c r="F388" s="347" t="str">
        <f t="shared" si="229"/>
        <v>120V 1Ø</v>
      </c>
      <c r="G388" s="374" t="s">
        <v>424</v>
      </c>
      <c r="H388" s="316"/>
      <c r="I388" s="316"/>
      <c r="J388" s="316"/>
      <c r="K388" s="345" t="s">
        <v>784</v>
      </c>
      <c r="L388" s="28">
        <f>ROUNDUP(L375+L376+L378,0)</f>
        <v>41</v>
      </c>
      <c r="M388" s="248">
        <f>IFERROR(VLOOKUP(G388,[1]MATERIALES!$D$5:$I$1368,2,FALSE),0)</f>
        <v>0</v>
      </c>
      <c r="N388" s="367">
        <f t="shared" si="226"/>
        <v>0</v>
      </c>
      <c r="O388" s="140">
        <f t="shared" si="231"/>
        <v>0</v>
      </c>
      <c r="P388" s="367">
        <f t="shared" si="232"/>
        <v>0</v>
      </c>
      <c r="Q388" s="140">
        <f t="shared" si="227"/>
        <v>0</v>
      </c>
      <c r="R388" s="368">
        <f t="shared" si="228"/>
        <v>0</v>
      </c>
      <c r="S388" s="140">
        <f t="shared" si="233"/>
        <v>0</v>
      </c>
      <c r="T388" s="139">
        <f t="shared" si="234"/>
        <v>0</v>
      </c>
      <c r="U388" s="357"/>
      <c r="V388" s="358"/>
      <c r="W388" s="144"/>
    </row>
    <row r="389" spans="1:23" ht="15" hidden="1" customHeight="1" outlineLevel="1" thickBot="1">
      <c r="A389" s="353"/>
      <c r="B389" s="359">
        <f t="shared" si="235"/>
        <v>18.19000000000003</v>
      </c>
      <c r="C389" s="360" t="s">
        <v>804</v>
      </c>
      <c r="D389" s="360" t="s">
        <v>788</v>
      </c>
      <c r="E389" s="360">
        <v>15</v>
      </c>
      <c r="F389" s="347" t="str">
        <f t="shared" si="229"/>
        <v>120V 1Ø</v>
      </c>
      <c r="G389" s="374" t="s">
        <v>168</v>
      </c>
      <c r="H389" s="316"/>
      <c r="I389" s="316"/>
      <c r="J389" s="316"/>
      <c r="K389" s="345" t="s">
        <v>784</v>
      </c>
      <c r="L389" s="28">
        <f>L388</f>
        <v>41</v>
      </c>
      <c r="M389" s="248" t="str">
        <f>IFERROR(VLOOKUP(G389,[1]MATERIALES!$D$5:$I$1368,2,FALSE),0)</f>
        <v xml:space="preserve">Marba Dominicana </v>
      </c>
      <c r="N389" s="367" t="e">
        <f t="shared" si="226"/>
        <v>#VALUE!</v>
      </c>
      <c r="O389" s="140" t="e">
        <f t="shared" si="231"/>
        <v>#VALUE!</v>
      </c>
      <c r="P389" s="367" t="e">
        <f t="shared" si="232"/>
        <v>#VALUE!</v>
      </c>
      <c r="Q389" s="140" t="e">
        <f t="shared" si="227"/>
        <v>#VALUE!</v>
      </c>
      <c r="R389" s="368" t="e">
        <f t="shared" si="228"/>
        <v>#VALUE!</v>
      </c>
      <c r="S389" s="140">
        <f t="shared" si="233"/>
        <v>0</v>
      </c>
      <c r="T389" s="139">
        <f t="shared" si="234"/>
        <v>0</v>
      </c>
      <c r="U389" s="357"/>
      <c r="V389" s="358"/>
      <c r="W389" s="144"/>
    </row>
    <row r="390" spans="1:23" ht="15" customHeight="1" collapsed="1" thickBot="1">
      <c r="A390" s="353"/>
      <c r="B390" s="354">
        <v>19</v>
      </c>
      <c r="C390" s="355" t="s">
        <v>805</v>
      </c>
      <c r="D390" s="269" t="s">
        <v>788</v>
      </c>
      <c r="E390" s="269">
        <v>16</v>
      </c>
      <c r="F390" s="270" t="s">
        <v>783</v>
      </c>
      <c r="G390" s="271"/>
      <c r="H390" s="272"/>
      <c r="I390" s="272"/>
      <c r="J390" s="272"/>
      <c r="K390" s="268"/>
      <c r="L390" s="268"/>
      <c r="M390" s="273"/>
      <c r="N390" s="274"/>
      <c r="O390" s="273"/>
      <c r="P390" s="274"/>
      <c r="Q390" s="273"/>
      <c r="R390" s="275"/>
      <c r="S390" s="273"/>
      <c r="T390" s="276"/>
      <c r="U390" s="357" t="e">
        <f>SUM(R391:R409)</f>
        <v>#VALUE!</v>
      </c>
      <c r="V390" s="358" t="e">
        <f>'[1]1. OFERTA'!#REF!</f>
        <v>#REF!</v>
      </c>
      <c r="W390" s="144" t="e">
        <f>U390-V390</f>
        <v>#VALUE!</v>
      </c>
    </row>
    <row r="391" spans="1:23" ht="15" hidden="1" customHeight="1" outlineLevel="1" thickBot="1">
      <c r="A391" s="353"/>
      <c r="B391" s="359">
        <f t="shared" ref="B391:B454" si="238">B390+0.01</f>
        <v>19.010000000000002</v>
      </c>
      <c r="C391" s="360" t="s">
        <v>805</v>
      </c>
      <c r="D391" s="360" t="s">
        <v>788</v>
      </c>
      <c r="E391" s="360">
        <v>16</v>
      </c>
      <c r="F391" s="347" t="s">
        <v>783</v>
      </c>
      <c r="G391" s="361" t="str">
        <f>IF(H391="PVC",VLOOKUP(I391,[1]MATERIALES!$C$5:$D$11,2,FALSE),IF(H391="EMT",VLOOKUP(I391,[1]MATERIALES!$C$40:$D$46,2,FALSE),IF(H391="IMC",VLOOKUP(I391,[1]MATERIALES!$C$82:$D$88,2,FALSE),IF(H391="LFNC",VLOOKUP(I391,[1]MATERIALES!$C$110:$D$116,2,FALSE),0))))</f>
        <v>Tubería PVC SDR-26 1/2"</v>
      </c>
      <c r="H391" s="362" t="s">
        <v>184</v>
      </c>
      <c r="I391" s="362" t="s">
        <v>216</v>
      </c>
      <c r="J391" s="362">
        <v>21.96</v>
      </c>
      <c r="K391" s="134" t="str">
        <f>IF(OR(H391="Conductores Americanos",H391="Conductores Europeos"),"Pies","Unid.")</f>
        <v>Unid.</v>
      </c>
      <c r="L391" s="363">
        <f>IF(H391="PVC",ROUNDUP(J391/6,0),IF(H391="EMT",ROUNDUP(J391/3,0),IF(H391="IMC",ROUNDUP(J391/3,0),IF(H391="LFNC",ROUNDUP(3.28*J391,0),0))))</f>
        <v>4</v>
      </c>
      <c r="M391" s="248" t="str">
        <f>IFERROR(VLOOKUP(G391,[1]MATERIALES!$D$5:$I$1368,2,FALSE),0)</f>
        <v xml:space="preserve">Suplidores electricos </v>
      </c>
      <c r="N391" s="364" t="e">
        <f t="shared" ref="N391:N409" si="239">M391/$N$2</f>
        <v>#VALUE!</v>
      </c>
      <c r="O391" s="248" t="e">
        <f>+L391*M391</f>
        <v>#VALUE!</v>
      </c>
      <c r="P391" s="364" t="e">
        <f>L391*N391</f>
        <v>#VALUE!</v>
      </c>
      <c r="Q391" s="248" t="e">
        <f t="shared" ref="Q391:Q409" si="240">+$O391+($O391*$R$2)</f>
        <v>#VALUE!</v>
      </c>
      <c r="R391" s="365" t="e">
        <f t="shared" ref="R391:R409" si="241">+$P391+($P391*$R$2)</f>
        <v>#VALUE!</v>
      </c>
      <c r="S391" s="248">
        <f>+IFERROR(Q391/L391,0)</f>
        <v>0</v>
      </c>
      <c r="T391" s="146">
        <f>+IFERROR(R391/L391,0)</f>
        <v>0</v>
      </c>
      <c r="U391" s="357"/>
      <c r="V391" s="358"/>
      <c r="W391" s="144"/>
    </row>
    <row r="392" spans="1:23" ht="15" hidden="1" customHeight="1" outlineLevel="1" thickBot="1">
      <c r="A392" s="353"/>
      <c r="B392" s="359">
        <f t="shared" si="238"/>
        <v>19.020000000000003</v>
      </c>
      <c r="C392" s="360" t="s">
        <v>805</v>
      </c>
      <c r="D392" s="360" t="s">
        <v>788</v>
      </c>
      <c r="E392" s="360">
        <v>16</v>
      </c>
      <c r="F392" s="347" t="str">
        <f t="shared" ref="F392:F409" si="242">F391</f>
        <v>120V 1Ø</v>
      </c>
      <c r="G392" s="361" t="str">
        <f>IF(H392="PVC",VLOOKUP(I392,[1]MATERIALES!$C$12:$D$18,2,FALSE),IF(H392="EMT",VLOOKUP(I392,[1]MATERIALES!$C$47:$D$53,2,FALSE),IF(H392="IMC",VLOOKUP(I392,[1]MATERIALES!$C$89:$D$96,2,FALSE),"-")))</f>
        <v>Coupling PVC 1/2"</v>
      </c>
      <c r="H392" s="366" t="str">
        <f>H391</f>
        <v>PVC</v>
      </c>
      <c r="I392" s="366" t="str">
        <f>I391</f>
        <v>13mm</v>
      </c>
      <c r="J392" s="316"/>
      <c r="K392" s="345" t="str">
        <f t="shared" ref="K392:K399" si="243">IF(OR(H392="Conductores Americanos",H392="Conductores Europeos"),"Pies","Unid.")</f>
        <v>Unid.</v>
      </c>
      <c r="L392" s="28">
        <f>IF(H392="LFNC",0,L391)</f>
        <v>4</v>
      </c>
      <c r="M392" s="140" t="str">
        <f>IF(H392="LFNC",0,VLOOKUP(G392,[1]MATERIALES!$D$5:$I$1368,2,FALSE))</f>
        <v xml:space="preserve">Suplidores electricos </v>
      </c>
      <c r="N392" s="367" t="e">
        <f t="shared" si="239"/>
        <v>#VALUE!</v>
      </c>
      <c r="O392" s="140" t="e">
        <f t="shared" ref="O392:O409" si="244">+L392*M392</f>
        <v>#VALUE!</v>
      </c>
      <c r="P392" s="367" t="e">
        <f t="shared" ref="P392:P409" si="245">L392*N392</f>
        <v>#VALUE!</v>
      </c>
      <c r="Q392" s="140" t="e">
        <f t="shared" si="240"/>
        <v>#VALUE!</v>
      </c>
      <c r="R392" s="368" t="e">
        <f t="shared" si="241"/>
        <v>#VALUE!</v>
      </c>
      <c r="S392" s="140">
        <f t="shared" ref="S392:S409" si="246">+IFERROR(Q392/L392,0)</f>
        <v>0</v>
      </c>
      <c r="T392" s="139">
        <f t="shared" ref="T392:T409" si="247">+IFERROR(R392/L392,0)</f>
        <v>0</v>
      </c>
      <c r="U392" s="357"/>
      <c r="V392" s="358"/>
      <c r="W392" s="144"/>
    </row>
    <row r="393" spans="1:23" ht="15" hidden="1" customHeight="1" outlineLevel="1" thickBot="1">
      <c r="A393" s="353"/>
      <c r="B393" s="359">
        <f t="shared" si="238"/>
        <v>19.030000000000005</v>
      </c>
      <c r="C393" s="360" t="s">
        <v>805</v>
      </c>
      <c r="D393" s="360" t="s">
        <v>788</v>
      </c>
      <c r="E393" s="360">
        <v>16</v>
      </c>
      <c r="F393" s="347" t="str">
        <f t="shared" si="242"/>
        <v>120V 1Ø</v>
      </c>
      <c r="G393" s="361" t="str">
        <f>IF(H393="PVC",VLOOKUP(I393,[1]MATERIALES!$C$19:$D$25,2,FALSE),IF(H393="EMT",VLOOKUP(I393,[1]MATERIALES!$C$54:$D$60,2,FALSE),IF(H393="IMC",VLOOKUP(I393,[1]MATERIALES!$C$96:$D$102,2,FALSE),IF(H393="LFNC",VLOOKUP(I393,[1]MATERIALES!$C$117:$D$123,2,FALSE),0))))</f>
        <v>Adaptador Macho PVC 1/2"</v>
      </c>
      <c r="H393" s="366" t="str">
        <f>H391</f>
        <v>PVC</v>
      </c>
      <c r="I393" s="366" t="str">
        <f>I391</f>
        <v>13mm</v>
      </c>
      <c r="J393" s="316"/>
      <c r="K393" s="345" t="str">
        <f t="shared" si="243"/>
        <v>Unid.</v>
      </c>
      <c r="L393" s="28">
        <f>1+L396*2+L398</f>
        <v>3</v>
      </c>
      <c r="M393" s="248" t="str">
        <f>IFERROR(VLOOKUP(G393,[1]MATERIALES!$D$5:$I$1368,2,FALSE),0)</f>
        <v xml:space="preserve">Suplidores electricos </v>
      </c>
      <c r="N393" s="367" t="e">
        <f t="shared" si="239"/>
        <v>#VALUE!</v>
      </c>
      <c r="O393" s="140" t="e">
        <f t="shared" si="244"/>
        <v>#VALUE!</v>
      </c>
      <c r="P393" s="367" t="e">
        <f t="shared" si="245"/>
        <v>#VALUE!</v>
      </c>
      <c r="Q393" s="140" t="e">
        <f t="shared" si="240"/>
        <v>#VALUE!</v>
      </c>
      <c r="R393" s="368" t="e">
        <f t="shared" si="241"/>
        <v>#VALUE!</v>
      </c>
      <c r="S393" s="140">
        <f t="shared" si="246"/>
        <v>0</v>
      </c>
      <c r="T393" s="139">
        <f t="shared" si="247"/>
        <v>0</v>
      </c>
      <c r="U393" s="357"/>
      <c r="V393" s="358"/>
      <c r="W393" s="144"/>
    </row>
    <row r="394" spans="1:23" ht="15" hidden="1" customHeight="1" outlineLevel="1" thickBot="1">
      <c r="A394" s="353"/>
      <c r="B394" s="359">
        <f t="shared" si="238"/>
        <v>19.040000000000006</v>
      </c>
      <c r="C394" s="360" t="s">
        <v>805</v>
      </c>
      <c r="D394" s="360" t="s">
        <v>788</v>
      </c>
      <c r="E394" s="360">
        <v>16</v>
      </c>
      <c r="F394" s="347" t="str">
        <f t="shared" si="242"/>
        <v>120V 1Ø</v>
      </c>
      <c r="G394" s="361" t="str">
        <f>IF(H394="PVC",VLOOKUP(I394,[1]MATERIALES!$C$33:$D$39,2,FALSE),IF(H394="EMT",VLOOKUP(I394,[1]MATERIALES!$C$61:$D$67,2,FALSE),IF(H394="IMC",VLOOKUP(I394,[1]MATERIALES!$C$103:$D$109,2,FALSE),"-")))</f>
        <v>Curva 90 PVC SDR 1/2"</v>
      </c>
      <c r="H394" s="366" t="str">
        <f>H391</f>
        <v>PVC</v>
      </c>
      <c r="I394" s="366" t="str">
        <f>I391</f>
        <v>13mm</v>
      </c>
      <c r="J394" s="316"/>
      <c r="K394" s="345" t="str">
        <f t="shared" si="243"/>
        <v>Unid.</v>
      </c>
      <c r="L394" s="28">
        <f>IF(H394="LFNC",0,(1+L405))</f>
        <v>1</v>
      </c>
      <c r="M394" s="140" t="str">
        <f>IF(H394="LFNC",0,VLOOKUP(G394,[1]MATERIALES!$D$5:$I$1368,2,FALSE))</f>
        <v xml:space="preserve">Suplidores electricos </v>
      </c>
      <c r="N394" s="367" t="e">
        <f t="shared" si="239"/>
        <v>#VALUE!</v>
      </c>
      <c r="O394" s="140" t="e">
        <f t="shared" si="244"/>
        <v>#VALUE!</v>
      </c>
      <c r="P394" s="367" t="e">
        <f t="shared" si="245"/>
        <v>#VALUE!</v>
      </c>
      <c r="Q394" s="140" t="e">
        <f t="shared" si="240"/>
        <v>#VALUE!</v>
      </c>
      <c r="R394" s="368" t="e">
        <f t="shared" si="241"/>
        <v>#VALUE!</v>
      </c>
      <c r="S394" s="140">
        <f t="shared" si="246"/>
        <v>0</v>
      </c>
      <c r="T394" s="139">
        <f t="shared" si="247"/>
        <v>0</v>
      </c>
      <c r="U394" s="357"/>
      <c r="V394" s="358"/>
      <c r="W394" s="144"/>
    </row>
    <row r="395" spans="1:23" ht="15" hidden="1" customHeight="1" outlineLevel="1" thickBot="1">
      <c r="A395" s="353"/>
      <c r="B395" s="359">
        <f t="shared" si="238"/>
        <v>19.050000000000008</v>
      </c>
      <c r="C395" s="360" t="s">
        <v>805</v>
      </c>
      <c r="D395" s="360" t="s">
        <v>788</v>
      </c>
      <c r="E395" s="360">
        <v>16</v>
      </c>
      <c r="F395" s="347" t="str">
        <f t="shared" si="242"/>
        <v>120V 1Ø</v>
      </c>
      <c r="G395" s="361" t="str">
        <f>VLOOKUP(I395,[1]MATERIALES!$C$68:$D$74,2,FALSE)</f>
        <v>Abrazadera EMT 1/2'' </v>
      </c>
      <c r="H395" s="316"/>
      <c r="I395" s="366" t="str">
        <f>I391</f>
        <v>13mm</v>
      </c>
      <c r="J395" s="316"/>
      <c r="K395" s="345" t="str">
        <f t="shared" si="243"/>
        <v>Unid.</v>
      </c>
      <c r="L395" s="28">
        <f>ROUNDUP(J391,0)</f>
        <v>22</v>
      </c>
      <c r="M395" s="248" t="str">
        <f>IFERROR(VLOOKUP(G395,[1]MATERIALES!$D$5:$I$1368,2,FALSE),0)</f>
        <v xml:space="preserve">Suplidores electricos </v>
      </c>
      <c r="N395" s="367" t="e">
        <f t="shared" si="239"/>
        <v>#VALUE!</v>
      </c>
      <c r="O395" s="140" t="e">
        <f t="shared" si="244"/>
        <v>#VALUE!</v>
      </c>
      <c r="P395" s="367" t="e">
        <f t="shared" si="245"/>
        <v>#VALUE!</v>
      </c>
      <c r="Q395" s="140" t="e">
        <f t="shared" si="240"/>
        <v>#VALUE!</v>
      </c>
      <c r="R395" s="368" t="e">
        <f t="shared" si="241"/>
        <v>#VALUE!</v>
      </c>
      <c r="S395" s="140">
        <f t="shared" si="246"/>
        <v>0</v>
      </c>
      <c r="T395" s="139">
        <f t="shared" si="247"/>
        <v>0</v>
      </c>
      <c r="U395" s="357"/>
      <c r="V395" s="358"/>
      <c r="W395" s="144"/>
    </row>
    <row r="396" spans="1:23" ht="15" hidden="1" customHeight="1" outlineLevel="1" thickBot="1">
      <c r="A396" s="353"/>
      <c r="B396" s="359">
        <f t="shared" si="238"/>
        <v>19.060000000000009</v>
      </c>
      <c r="C396" s="360" t="s">
        <v>805</v>
      </c>
      <c r="D396" s="360" t="s">
        <v>788</v>
      </c>
      <c r="E396" s="360">
        <v>16</v>
      </c>
      <c r="F396" s="347" t="str">
        <f t="shared" si="242"/>
        <v>120V 1Ø</v>
      </c>
      <c r="G396" s="361" t="str" cm="1">
        <f t="array" ref="G396">_xlfn.SWITCH(I396,"13mm",(IF(H396="Rectangular",VLOOKUP(I396,[1]MATERIALES!$C$124:$D$125,2,FALSE),IF(H396="Octagonal",VLOOKUP(I396,[1]MATERIALES!$C$126:$D$127,2,FALSE),IF(H396="WP",VLOOKUP(I396,[1]MATERIALES!$C$128:$D$129,2,FALSE),IF(H396="5x5",VLOOKUP(I396,[1]MATERIALES!$C$130:$D$132,2,FALSE)))))),"19mm",(IF(H396="Rectangular",VLOOKUP(I396,[1]MATERIALES!$C$124:$D$125,2,FALSE),IF(H396="Octagonal",VLOOKUP(I396,[1]MATERIALES!$C$126:$D$127,2,FALSE),IF(H396="WP",VLOOKUP(I396,[1]MATERIALES!$C$128:$D$129,2,FALSE),IF(H396="5x5",VLOOKUP(I396,[1]MATERIALES!$C$130:$D$132,2,FALSE)))))),"25mm",IF(H396="Rectangular","-",IF(H396="Octagonal","--",IF(H396="WP","---",IF(H396="5x5",VLOOKUP(I396,[1]MATERIALES!$C$130:$D$132,2,FALSE),0)))),"38mm","-","50mm","-","75mm","-","100mm","-")</f>
        <v>Caja 2x4 waterproof 1/2"</v>
      </c>
      <c r="H396" s="369" t="s">
        <v>199</v>
      </c>
      <c r="I396" s="366" t="str">
        <f>I391</f>
        <v>13mm</v>
      </c>
      <c r="J396" s="316"/>
      <c r="K396" s="345" t="str">
        <f t="shared" si="243"/>
        <v>Unid.</v>
      </c>
      <c r="L396" s="28">
        <f>1+L405</f>
        <v>1</v>
      </c>
      <c r="M396" s="248">
        <f>IFERROR(VLOOKUP(G396,[1]MATERIALES!$D$5:$I$1368,2,FALSE),0)</f>
        <v>0</v>
      </c>
      <c r="N396" s="367">
        <f t="shared" si="239"/>
        <v>0</v>
      </c>
      <c r="O396" s="140">
        <f t="shared" si="244"/>
        <v>0</v>
      </c>
      <c r="P396" s="367">
        <f t="shared" si="245"/>
        <v>0</v>
      </c>
      <c r="Q396" s="140">
        <f t="shared" si="240"/>
        <v>0</v>
      </c>
      <c r="R396" s="368">
        <f t="shared" si="241"/>
        <v>0</v>
      </c>
      <c r="S396" s="140">
        <f t="shared" si="246"/>
        <v>0</v>
      </c>
      <c r="T396" s="139">
        <f t="shared" si="247"/>
        <v>0</v>
      </c>
      <c r="U396" s="357"/>
      <c r="V396" s="358"/>
      <c r="W396" s="144"/>
    </row>
    <row r="397" spans="1:23" ht="15" hidden="1" customHeight="1" outlineLevel="1" thickBot="1">
      <c r="A397" s="353"/>
      <c r="B397" s="359">
        <f t="shared" si="238"/>
        <v>19.070000000000011</v>
      </c>
      <c r="C397" s="360" t="s">
        <v>805</v>
      </c>
      <c r="D397" s="360" t="s">
        <v>788</v>
      </c>
      <c r="E397" s="360">
        <v>16</v>
      </c>
      <c r="F397" s="347" t="str">
        <f t="shared" si="242"/>
        <v>120V 1Ø</v>
      </c>
      <c r="G397" s="370" t="str">
        <f>IF(H397="Rectangular",[1]MATERIALES!$D$133,IF(H396="Octagonal",[1]MATERIALES!$D$134,IF(H396="WP",[1]MATERIALES!$D$135,IF(H396="5x5",[1]MATERIALES!$D$136,0))))</f>
        <v>Tapa caja octagonal EMT USA UL</v>
      </c>
      <c r="H397" s="369" t="str">
        <f>H396</f>
        <v>WP</v>
      </c>
      <c r="I397" s="366" t="str">
        <f>I391</f>
        <v>13mm</v>
      </c>
      <c r="J397" s="316"/>
      <c r="K397" s="345" t="str">
        <f t="shared" si="243"/>
        <v>Unid.</v>
      </c>
      <c r="L397" s="28">
        <f>L396</f>
        <v>1</v>
      </c>
      <c r="M397" s="248" t="str">
        <f>IFERROR(VLOOKUP(G397,[1]MATERIALES!$D$5:$I$1368,2,FALSE),0)</f>
        <v xml:space="preserve">Suplidores electricos </v>
      </c>
      <c r="N397" s="367" t="e">
        <f t="shared" si="239"/>
        <v>#VALUE!</v>
      </c>
      <c r="O397" s="140" t="e">
        <f t="shared" si="244"/>
        <v>#VALUE!</v>
      </c>
      <c r="P397" s="367" t="e">
        <f t="shared" si="245"/>
        <v>#VALUE!</v>
      </c>
      <c r="Q397" s="140" t="e">
        <f t="shared" si="240"/>
        <v>#VALUE!</v>
      </c>
      <c r="R397" s="368" t="e">
        <f t="shared" si="241"/>
        <v>#VALUE!</v>
      </c>
      <c r="S397" s="140">
        <f t="shared" si="246"/>
        <v>0</v>
      </c>
      <c r="T397" s="139">
        <f t="shared" si="247"/>
        <v>0</v>
      </c>
      <c r="U397" s="357"/>
      <c r="V397" s="358"/>
      <c r="W397" s="144"/>
    </row>
    <row r="398" spans="1:23" ht="15" hidden="1" customHeight="1" outlineLevel="1" thickBot="1">
      <c r="A398" s="353"/>
      <c r="B398" s="359">
        <f t="shared" si="238"/>
        <v>19.080000000000013</v>
      </c>
      <c r="C398" s="360" t="s">
        <v>805</v>
      </c>
      <c r="D398" s="360" t="s">
        <v>788</v>
      </c>
      <c r="E398" s="360">
        <v>16</v>
      </c>
      <c r="F398" s="347" t="str">
        <f t="shared" si="242"/>
        <v>120V 1Ø</v>
      </c>
      <c r="G398" s="361" t="str" cm="1">
        <f t="array" ref="G398">_xlfn.SWITCH(I398,"13mm",(IF(H398="Rectangular",VLOOKUP(I398,[1]MATERIALES!$C$124:$D$125,2,FALSE),IF(H398="Octagonal",VLOOKUP(I398,[1]MATERIALES!$C$126:$D$127,2,FALSE),IF(H398="WP",VLOOKUP(I398,[1]MATERIALES!$C$128:$D$129,2,FALSE),IF(H398="5x5",VLOOKUP(I398,[1]MATERIALES!$C$130:$D$132,2,FALSE)))))),"19mm",(IF(H398="Rectangular",VLOOKUP(I398,[1]MATERIALES!$C$124:$D$125,2,FALSE),IF(H398="Octagonal",VLOOKUP(I398,[1]MATERIALES!$C$126:$D$127,2,FALSE),IF(H398="WP",VLOOKUP(I398,[1]MATERIALES!$C$128:$D$129,2,FALSE),IF(H398="5x5",VLOOKUP(I398,[1]MATERIALES!$C$130:$D$132,2,FALSE)))))),"25mm",IF(H398="Rectangular","-",IF(H398="Octagonal","--",IF(H398="WP","---",IF(H398="5x5",VLOOKUP(I398,[1]MATERIALES!$C$130:$D$132,2,FALSE),0)))),"38mm","-","50mm","-","75mm","-","100mm","-")</f>
        <v>Caja EMT 2x4 1/2" USA UL</v>
      </c>
      <c r="H398" s="369" t="s">
        <v>188</v>
      </c>
      <c r="I398" s="366" t="str">
        <f>I393</f>
        <v>13mm</v>
      </c>
      <c r="J398" s="316"/>
      <c r="K398" s="345" t="str">
        <f t="shared" si="243"/>
        <v>Unid.</v>
      </c>
      <c r="L398" s="28">
        <f>L405</f>
        <v>0</v>
      </c>
      <c r="M398" s="248" t="str">
        <f>IFERROR(VLOOKUP(G398,[1]MATERIALES!$D$5:$I$1368,2,FALSE),0)</f>
        <v xml:space="preserve">Suplidores electricos </v>
      </c>
      <c r="N398" s="367" t="e">
        <f t="shared" si="239"/>
        <v>#VALUE!</v>
      </c>
      <c r="O398" s="140" t="e">
        <f t="shared" si="244"/>
        <v>#VALUE!</v>
      </c>
      <c r="P398" s="367" t="e">
        <f t="shared" si="245"/>
        <v>#VALUE!</v>
      </c>
      <c r="Q398" s="140" t="e">
        <f t="shared" si="240"/>
        <v>#VALUE!</v>
      </c>
      <c r="R398" s="368" t="e">
        <f t="shared" si="241"/>
        <v>#VALUE!</v>
      </c>
      <c r="S398" s="140">
        <f t="shared" si="246"/>
        <v>0</v>
      </c>
      <c r="T398" s="139">
        <f t="shared" si="247"/>
        <v>0</v>
      </c>
      <c r="U398" s="357"/>
      <c r="V398" s="358"/>
      <c r="W398" s="144"/>
    </row>
    <row r="399" spans="1:23" ht="15" hidden="1" customHeight="1" outlineLevel="1" thickBot="1">
      <c r="A399" s="353"/>
      <c r="B399" s="359">
        <f t="shared" si="238"/>
        <v>19.090000000000014</v>
      </c>
      <c r="C399" s="360" t="s">
        <v>805</v>
      </c>
      <c r="D399" s="360" t="s">
        <v>788</v>
      </c>
      <c r="E399" s="360">
        <v>16</v>
      </c>
      <c r="F399" s="347" t="str">
        <f t="shared" si="242"/>
        <v>120V 1Ø</v>
      </c>
      <c r="G399" s="370" t="str">
        <f>IF(H399="Rectangular",[1]MATERIALES!$D$133,IF(H398="Octagonal",[1]MATERIALES!$D$134,IF(H398="WP",[1]MATERIALES!#REF!,IF(H398="5x5",[1]MATERIALES!$D$136,0))))</f>
        <v>CAJA REG. 12X12X4 N3R</v>
      </c>
      <c r="H399" s="369" t="str">
        <f>H398</f>
        <v>Rectangular</v>
      </c>
      <c r="I399" s="366" t="str">
        <f>I393</f>
        <v>13mm</v>
      </c>
      <c r="J399" s="316"/>
      <c r="K399" s="345" t="str">
        <f t="shared" si="243"/>
        <v>Unid.</v>
      </c>
      <c r="L399" s="28">
        <f>L398</f>
        <v>0</v>
      </c>
      <c r="M399" s="248" t="str">
        <f>IFERROR(VLOOKUP(G399,[1]MATERIALES!$D$5:$I$1368,2,FALSE),0)</f>
        <v xml:space="preserve">Suplidores electricos </v>
      </c>
      <c r="N399" s="367" t="e">
        <f t="shared" si="239"/>
        <v>#VALUE!</v>
      </c>
      <c r="O399" s="140" t="e">
        <f t="shared" si="244"/>
        <v>#VALUE!</v>
      </c>
      <c r="P399" s="367" t="e">
        <f t="shared" si="245"/>
        <v>#VALUE!</v>
      </c>
      <c r="Q399" s="140" t="e">
        <f t="shared" si="240"/>
        <v>#VALUE!</v>
      </c>
      <c r="R399" s="368" t="e">
        <f t="shared" si="241"/>
        <v>#VALUE!</v>
      </c>
      <c r="S399" s="140">
        <f t="shared" si="246"/>
        <v>0</v>
      </c>
      <c r="T399" s="139">
        <f t="shared" si="247"/>
        <v>0</v>
      </c>
      <c r="U399" s="357"/>
      <c r="V399" s="358"/>
      <c r="W399" s="144"/>
    </row>
    <row r="400" spans="1:23" ht="15" hidden="1" customHeight="1" outlineLevel="1" thickBot="1">
      <c r="A400" s="353"/>
      <c r="B400" s="359">
        <f t="shared" si="238"/>
        <v>19.100000000000016</v>
      </c>
      <c r="C400" s="360" t="s">
        <v>805</v>
      </c>
      <c r="D400" s="360" t="s">
        <v>788</v>
      </c>
      <c r="E400" s="360">
        <v>16</v>
      </c>
      <c r="F400" s="347" t="str">
        <f t="shared" si="242"/>
        <v>120V 1Ø</v>
      </c>
      <c r="G400" s="371" t="str">
        <f>"Fase A"&amp;": "&amp;I400</f>
        <v>Fase A: Conductor 12 AWG THHN</v>
      </c>
      <c r="H400" s="366" t="s">
        <v>181</v>
      </c>
      <c r="I400" s="366" t="s">
        <v>189</v>
      </c>
      <c r="J400" s="366">
        <f>J391</f>
        <v>21.96</v>
      </c>
      <c r="K400" s="345" t="str">
        <f>IF(OR(H400="Conductores Americanos",H400="Conductores Europeos"),"Pies","Unid.")</f>
        <v>Pies</v>
      </c>
      <c r="L400" s="28">
        <f>ROUNDUP(J400*3.28,0)</f>
        <v>73</v>
      </c>
      <c r="M400" s="140" t="str">
        <f>VLOOKUP(I400,[1]MATERIALES!$D$5:$I$1368,2,FALSE)</f>
        <v xml:space="preserve">Suplidores electricos </v>
      </c>
      <c r="N400" s="367" t="e">
        <f t="shared" si="239"/>
        <v>#VALUE!</v>
      </c>
      <c r="O400" s="140" t="e">
        <f t="shared" si="244"/>
        <v>#VALUE!</v>
      </c>
      <c r="P400" s="367" t="e">
        <f t="shared" si="245"/>
        <v>#VALUE!</v>
      </c>
      <c r="Q400" s="140" t="e">
        <f t="shared" si="240"/>
        <v>#VALUE!</v>
      </c>
      <c r="R400" s="368" t="e">
        <f t="shared" si="241"/>
        <v>#VALUE!</v>
      </c>
      <c r="S400" s="140">
        <f t="shared" si="246"/>
        <v>0</v>
      </c>
      <c r="T400" s="139">
        <f t="shared" si="247"/>
        <v>0</v>
      </c>
      <c r="U400" s="357"/>
      <c r="V400" s="358"/>
      <c r="W400" s="144"/>
    </row>
    <row r="401" spans="1:23" ht="15" hidden="1" customHeight="1" outlineLevel="1" thickBot="1">
      <c r="A401" s="353"/>
      <c r="B401" s="359">
        <f t="shared" si="238"/>
        <v>19.110000000000017</v>
      </c>
      <c r="C401" s="360" t="s">
        <v>805</v>
      </c>
      <c r="D401" s="360" t="s">
        <v>788</v>
      </c>
      <c r="E401" s="360">
        <v>16</v>
      </c>
      <c r="F401" s="347" t="str">
        <f t="shared" si="242"/>
        <v>120V 1Ø</v>
      </c>
      <c r="G401" s="371" t="str">
        <f>IF(F401="120V 1Ø","-",("Fase B"&amp;": "&amp;I401))</f>
        <v>-</v>
      </c>
      <c r="H401" s="366" t="str">
        <f t="shared" ref="H401:I403" si="248">H400</f>
        <v>Conductores Americanos</v>
      </c>
      <c r="I401" s="366" t="str">
        <f t="shared" si="248"/>
        <v>Conductor 12 AWG THHN</v>
      </c>
      <c r="J401" s="366">
        <f>IF(G401="-",0,J391)</f>
        <v>0</v>
      </c>
      <c r="K401" s="345" t="str">
        <f t="shared" ref="K401:K407" si="249">IF(OR(H401="Conductores Americanos",H401="Conductores Europeos"),"Pies","Unid.")</f>
        <v>Pies</v>
      </c>
      <c r="L401" s="28">
        <f>ROUNDUP(J401*3.28,0)</f>
        <v>0</v>
      </c>
      <c r="M401" s="140" t="str">
        <f>VLOOKUP(I401,[1]MATERIALES!$D$5:$I$1368,2,FALSE)</f>
        <v xml:space="preserve">Suplidores electricos </v>
      </c>
      <c r="N401" s="367" t="e">
        <f t="shared" si="239"/>
        <v>#VALUE!</v>
      </c>
      <c r="O401" s="140" t="e">
        <f t="shared" si="244"/>
        <v>#VALUE!</v>
      </c>
      <c r="P401" s="367" t="e">
        <f t="shared" si="245"/>
        <v>#VALUE!</v>
      </c>
      <c r="Q401" s="140" t="e">
        <f t="shared" si="240"/>
        <v>#VALUE!</v>
      </c>
      <c r="R401" s="368" t="e">
        <f t="shared" si="241"/>
        <v>#VALUE!</v>
      </c>
      <c r="S401" s="140">
        <f t="shared" si="246"/>
        <v>0</v>
      </c>
      <c r="T401" s="139">
        <f t="shared" si="247"/>
        <v>0</v>
      </c>
      <c r="U401" s="357"/>
      <c r="V401" s="358"/>
      <c r="W401" s="144"/>
    </row>
    <row r="402" spans="1:23" ht="15" hidden="1" customHeight="1" outlineLevel="1" thickBot="1">
      <c r="A402" s="353"/>
      <c r="B402" s="359">
        <f t="shared" si="238"/>
        <v>19.120000000000019</v>
      </c>
      <c r="C402" s="360" t="s">
        <v>805</v>
      </c>
      <c r="D402" s="360" t="s">
        <v>788</v>
      </c>
      <c r="E402" s="360">
        <v>16</v>
      </c>
      <c r="F402" s="347" t="str">
        <f t="shared" si="242"/>
        <v>120V 1Ø</v>
      </c>
      <c r="G402" s="371" t="str">
        <f>IF(F402="120V 1Ø","-",IF(F402="240V 1Ø","-",("Fase C"&amp;": "&amp;I400)))</f>
        <v>-</v>
      </c>
      <c r="H402" s="366" t="str">
        <f t="shared" si="248"/>
        <v>Conductores Americanos</v>
      </c>
      <c r="I402" s="366" t="str">
        <f t="shared" si="248"/>
        <v>Conductor 12 AWG THHN</v>
      </c>
      <c r="J402" s="366">
        <f>IF(G402="-",0,J391)</f>
        <v>0</v>
      </c>
      <c r="K402" s="345" t="str">
        <f t="shared" si="249"/>
        <v>Pies</v>
      </c>
      <c r="L402" s="28">
        <f>ROUNDUP(J402*3.28,0)</f>
        <v>0</v>
      </c>
      <c r="M402" s="140" t="str">
        <f>VLOOKUP(I402,[1]MATERIALES!$D$5:$I$1368,2,FALSE)</f>
        <v xml:space="preserve">Suplidores electricos </v>
      </c>
      <c r="N402" s="367" t="e">
        <f t="shared" si="239"/>
        <v>#VALUE!</v>
      </c>
      <c r="O402" s="140" t="e">
        <f t="shared" si="244"/>
        <v>#VALUE!</v>
      </c>
      <c r="P402" s="367" t="e">
        <f t="shared" si="245"/>
        <v>#VALUE!</v>
      </c>
      <c r="Q402" s="140" t="e">
        <f t="shared" si="240"/>
        <v>#VALUE!</v>
      </c>
      <c r="R402" s="368" t="e">
        <f t="shared" si="241"/>
        <v>#VALUE!</v>
      </c>
      <c r="S402" s="140">
        <f t="shared" si="246"/>
        <v>0</v>
      </c>
      <c r="T402" s="139">
        <f t="shared" si="247"/>
        <v>0</v>
      </c>
      <c r="U402" s="357"/>
      <c r="V402" s="358"/>
      <c r="W402" s="144"/>
    </row>
    <row r="403" spans="1:23" ht="15" hidden="1" customHeight="1" outlineLevel="1" thickBot="1">
      <c r="A403" s="353"/>
      <c r="B403" s="359">
        <f t="shared" si="238"/>
        <v>19.13000000000002</v>
      </c>
      <c r="C403" s="360" t="s">
        <v>805</v>
      </c>
      <c r="D403" s="360" t="s">
        <v>788</v>
      </c>
      <c r="E403" s="360">
        <v>16</v>
      </c>
      <c r="F403" s="347" t="str">
        <f t="shared" si="242"/>
        <v>120V 1Ø</v>
      </c>
      <c r="G403" s="372" t="str">
        <f>IF(F403="240V 1Ø","-",IF(F403="480V 3Ø","-",("Neutro"&amp;": "&amp;I400)))</f>
        <v>Neutro: Conductor 12 AWG THHN</v>
      </c>
      <c r="H403" s="366" t="str">
        <f t="shared" si="248"/>
        <v>Conductores Americanos</v>
      </c>
      <c r="I403" s="366" t="str">
        <f t="shared" si="248"/>
        <v>Conductor 12 AWG THHN</v>
      </c>
      <c r="J403" s="366">
        <f>IF(G403="-",0,J391)</f>
        <v>21.96</v>
      </c>
      <c r="K403" s="345" t="str">
        <f t="shared" si="249"/>
        <v>Pies</v>
      </c>
      <c r="L403" s="28">
        <f>ROUNDUP(J403*3.28,0)</f>
        <v>73</v>
      </c>
      <c r="M403" s="140" t="str">
        <f>VLOOKUP(I403,[1]MATERIALES!$D$5:$I$1368,2,FALSE)</f>
        <v xml:space="preserve">Suplidores electricos </v>
      </c>
      <c r="N403" s="367" t="e">
        <f t="shared" si="239"/>
        <v>#VALUE!</v>
      </c>
      <c r="O403" s="140" t="e">
        <f t="shared" si="244"/>
        <v>#VALUE!</v>
      </c>
      <c r="P403" s="367" t="e">
        <f t="shared" si="245"/>
        <v>#VALUE!</v>
      </c>
      <c r="Q403" s="140" t="e">
        <f t="shared" si="240"/>
        <v>#VALUE!</v>
      </c>
      <c r="R403" s="368" t="e">
        <f t="shared" si="241"/>
        <v>#VALUE!</v>
      </c>
      <c r="S403" s="140">
        <f t="shared" si="246"/>
        <v>0</v>
      </c>
      <c r="T403" s="139">
        <f t="shared" si="247"/>
        <v>0</v>
      </c>
      <c r="U403" s="357"/>
      <c r="V403" s="358"/>
      <c r="W403" s="144"/>
    </row>
    <row r="404" spans="1:23" ht="15" hidden="1" customHeight="1" outlineLevel="1" thickBot="1">
      <c r="A404" s="353"/>
      <c r="B404" s="359">
        <f t="shared" si="238"/>
        <v>19.140000000000022</v>
      </c>
      <c r="C404" s="360" t="s">
        <v>805</v>
      </c>
      <c r="D404" s="360" t="s">
        <v>788</v>
      </c>
      <c r="E404" s="360">
        <v>16</v>
      </c>
      <c r="F404" s="347" t="str">
        <f t="shared" si="242"/>
        <v>120V 1Ø</v>
      </c>
      <c r="G404" s="372" t="str">
        <f>"Tierra"&amp;": "&amp;I404</f>
        <v>Tierra: Conductor 12 AWG THHN</v>
      </c>
      <c r="H404" s="366" t="str">
        <f>H403</f>
        <v>Conductores Americanos</v>
      </c>
      <c r="I404" s="366" t="str">
        <f>I403</f>
        <v>Conductor 12 AWG THHN</v>
      </c>
      <c r="J404" s="366">
        <f>J391</f>
        <v>21.96</v>
      </c>
      <c r="K404" s="345" t="str">
        <f t="shared" si="249"/>
        <v>Pies</v>
      </c>
      <c r="L404" s="28">
        <f>ROUNDUP(J404*3.28,0)</f>
        <v>73</v>
      </c>
      <c r="M404" s="140" t="str">
        <f>VLOOKUP(I404,[1]MATERIALES!$D$5:$I$1368,2,FALSE)</f>
        <v xml:space="preserve">Suplidores electricos </v>
      </c>
      <c r="N404" s="367" t="e">
        <f t="shared" si="239"/>
        <v>#VALUE!</v>
      </c>
      <c r="O404" s="140" t="e">
        <f t="shared" si="244"/>
        <v>#VALUE!</v>
      </c>
      <c r="P404" s="367" t="e">
        <f t="shared" si="245"/>
        <v>#VALUE!</v>
      </c>
      <c r="Q404" s="140" t="e">
        <f t="shared" si="240"/>
        <v>#VALUE!</v>
      </c>
      <c r="R404" s="368" t="e">
        <f t="shared" si="241"/>
        <v>#VALUE!</v>
      </c>
      <c r="S404" s="140">
        <f t="shared" si="246"/>
        <v>0</v>
      </c>
      <c r="T404" s="139">
        <f t="shared" si="247"/>
        <v>0</v>
      </c>
      <c r="U404" s="357"/>
      <c r="V404" s="358"/>
      <c r="W404" s="144"/>
    </row>
    <row r="405" spans="1:23" ht="15" hidden="1" customHeight="1" outlineLevel="1" thickBot="1">
      <c r="A405" s="353"/>
      <c r="B405" s="359">
        <f t="shared" si="238"/>
        <v>19.150000000000023</v>
      </c>
      <c r="C405" s="360" t="s">
        <v>805</v>
      </c>
      <c r="D405" s="360" t="s">
        <v>788</v>
      </c>
      <c r="E405" s="360">
        <v>16</v>
      </c>
      <c r="F405" s="347" t="str">
        <f t="shared" si="242"/>
        <v>120V 1Ø</v>
      </c>
      <c r="G405" s="361" t="str" cm="1">
        <f t="array" ref="G405">IFERROR(VLOOKUP(H405&amp;"|"&amp;I405,CHOOSE({1,2},[1]MATERIALES!$B$168:$B$175&amp;"|"&amp;[1]MATERIALES!$C$168:$C$175,[1]MATERIALES!$D$168:$D$175),2,0),"-")</f>
        <v>Tomacorriente 15A Matix (AM5115D + 503SB/SA)</v>
      </c>
      <c r="H405" s="373" t="s">
        <v>382</v>
      </c>
      <c r="I405" s="373" t="s">
        <v>380</v>
      </c>
      <c r="J405" s="316"/>
      <c r="K405" s="345" t="str">
        <f t="shared" si="249"/>
        <v>Unid.</v>
      </c>
      <c r="L405" s="218">
        <v>0</v>
      </c>
      <c r="M405" s="248">
        <f>IFERROR(VLOOKUP(G405,[1]MATERIALES!$D$5:$I$1368,2,FALSE),0)</f>
        <v>0</v>
      </c>
      <c r="N405" s="367">
        <f t="shared" si="239"/>
        <v>0</v>
      </c>
      <c r="O405" s="140">
        <f t="shared" si="244"/>
        <v>0</v>
      </c>
      <c r="P405" s="367">
        <f t="shared" si="245"/>
        <v>0</v>
      </c>
      <c r="Q405" s="140">
        <f t="shared" si="240"/>
        <v>0</v>
      </c>
      <c r="R405" s="368">
        <f t="shared" si="241"/>
        <v>0</v>
      </c>
      <c r="S405" s="140">
        <f t="shared" si="246"/>
        <v>0</v>
      </c>
      <c r="T405" s="139">
        <f t="shared" si="247"/>
        <v>0</v>
      </c>
      <c r="U405" s="357"/>
      <c r="V405" s="358"/>
      <c r="W405" s="144"/>
    </row>
    <row r="406" spans="1:23" ht="15" hidden="1" customHeight="1" outlineLevel="1" thickBot="1">
      <c r="A406" s="353"/>
      <c r="B406" s="359">
        <f t="shared" si="238"/>
        <v>19.160000000000025</v>
      </c>
      <c r="C406" s="360" t="s">
        <v>805</v>
      </c>
      <c r="D406" s="360" t="s">
        <v>788</v>
      </c>
      <c r="E406" s="360">
        <v>16</v>
      </c>
      <c r="F406" s="347" t="str">
        <f t="shared" si="242"/>
        <v>120V 1Ø</v>
      </c>
      <c r="G406" s="361" t="str" cm="1">
        <f t="array" ref="G406">IFERROR(VLOOKUP(H406&amp;"|"&amp;I406,CHOOSE({1,2},[1]MATERIALES!$B$176:$B$185&amp;"|"&amp;[1]MATERIALES!$C$176:$C$185,[1]MATERIALES!$D$176:$D$185),2,0),"-")</f>
        <v>Tapa para tomacorriente MATIX (AM503/3N)</v>
      </c>
      <c r="H406" s="366" t="str">
        <f>H405</f>
        <v>MATIX</v>
      </c>
      <c r="I406" s="373" t="s">
        <v>392</v>
      </c>
      <c r="J406" s="316"/>
      <c r="K406" s="345" t="str">
        <f t="shared" si="249"/>
        <v>Unid.</v>
      </c>
      <c r="L406" s="345">
        <f>L405</f>
        <v>0</v>
      </c>
      <c r="M406" s="248">
        <f>IFERROR(VLOOKUP(G406,[1]MATERIALES!$D$5:$I$1368,2,FALSE),0)</f>
        <v>0</v>
      </c>
      <c r="N406" s="367">
        <f t="shared" si="239"/>
        <v>0</v>
      </c>
      <c r="O406" s="140">
        <f t="shared" si="244"/>
        <v>0</v>
      </c>
      <c r="P406" s="367">
        <f t="shared" si="245"/>
        <v>0</v>
      </c>
      <c r="Q406" s="140">
        <f t="shared" si="240"/>
        <v>0</v>
      </c>
      <c r="R406" s="368">
        <f t="shared" si="241"/>
        <v>0</v>
      </c>
      <c r="S406" s="140">
        <f t="shared" si="246"/>
        <v>0</v>
      </c>
      <c r="T406" s="139">
        <f t="shared" si="247"/>
        <v>0</v>
      </c>
      <c r="U406" s="357"/>
      <c r="V406" s="358"/>
      <c r="W406" s="144"/>
    </row>
    <row r="407" spans="1:23" ht="15" hidden="1" customHeight="1" outlineLevel="1" thickBot="1">
      <c r="A407" s="353"/>
      <c r="B407" s="359">
        <f t="shared" si="238"/>
        <v>19.170000000000027</v>
      </c>
      <c r="C407" s="360" t="s">
        <v>805</v>
      </c>
      <c r="D407" s="360" t="s">
        <v>788</v>
      </c>
      <c r="E407" s="360">
        <v>16</v>
      </c>
      <c r="F407" s="347" t="str">
        <f t="shared" si="242"/>
        <v>120V 1Ø</v>
      </c>
      <c r="G407" s="371" t="s">
        <v>422</v>
      </c>
      <c r="H407" s="316"/>
      <c r="I407" s="316"/>
      <c r="J407" s="316"/>
      <c r="K407" s="345" t="str">
        <f t="shared" si="249"/>
        <v>Unid.</v>
      </c>
      <c r="L407" s="345">
        <f>3*(L396)</f>
        <v>3</v>
      </c>
      <c r="M407" s="248">
        <f>IFERROR(VLOOKUP(G407,[1]MATERIALES!$D$5:$I$1368,2,FALSE),0)</f>
        <v>0</v>
      </c>
      <c r="N407" s="367">
        <f t="shared" si="239"/>
        <v>0</v>
      </c>
      <c r="O407" s="140">
        <f t="shared" si="244"/>
        <v>0</v>
      </c>
      <c r="P407" s="367">
        <f t="shared" si="245"/>
        <v>0</v>
      </c>
      <c r="Q407" s="140">
        <f t="shared" si="240"/>
        <v>0</v>
      </c>
      <c r="R407" s="368">
        <f t="shared" si="241"/>
        <v>0</v>
      </c>
      <c r="S407" s="140">
        <f t="shared" si="246"/>
        <v>0</v>
      </c>
      <c r="T407" s="139">
        <f t="shared" si="247"/>
        <v>0</v>
      </c>
      <c r="U407" s="357" t="e">
        <f>SUM(R407:R409)</f>
        <v>#VALUE!</v>
      </c>
      <c r="V407" s="358" t="e">
        <f>'[1]1. OFERTA'!#REF!</f>
        <v>#REF!</v>
      </c>
      <c r="W407" s="144" t="e">
        <f>U407-V407</f>
        <v>#VALUE!</v>
      </c>
    </row>
    <row r="408" spans="1:23" ht="15" hidden="1" customHeight="1" outlineLevel="1" thickBot="1">
      <c r="A408" s="353"/>
      <c r="B408" s="359">
        <f t="shared" si="238"/>
        <v>19.180000000000028</v>
      </c>
      <c r="C408" s="360" t="s">
        <v>805</v>
      </c>
      <c r="D408" s="360" t="s">
        <v>788</v>
      </c>
      <c r="E408" s="360">
        <v>16</v>
      </c>
      <c r="F408" s="347" t="str">
        <f t="shared" si="242"/>
        <v>120V 1Ø</v>
      </c>
      <c r="G408" s="374" t="s">
        <v>424</v>
      </c>
      <c r="H408" s="316"/>
      <c r="I408" s="316"/>
      <c r="J408" s="316"/>
      <c r="K408" s="345" t="s">
        <v>784</v>
      </c>
      <c r="L408" s="28">
        <f>ROUNDUP(L395+L396+L398,0)</f>
        <v>23</v>
      </c>
      <c r="M408" s="248">
        <f>IFERROR(VLOOKUP(G408,[1]MATERIALES!$D$5:$I$1368,2,FALSE),0)</f>
        <v>0</v>
      </c>
      <c r="N408" s="367">
        <f t="shared" si="239"/>
        <v>0</v>
      </c>
      <c r="O408" s="140">
        <f t="shared" si="244"/>
        <v>0</v>
      </c>
      <c r="P408" s="367">
        <f t="shared" si="245"/>
        <v>0</v>
      </c>
      <c r="Q408" s="140">
        <f t="shared" si="240"/>
        <v>0</v>
      </c>
      <c r="R408" s="368">
        <f t="shared" si="241"/>
        <v>0</v>
      </c>
      <c r="S408" s="140">
        <f t="shared" si="246"/>
        <v>0</v>
      </c>
      <c r="T408" s="139">
        <f t="shared" si="247"/>
        <v>0</v>
      </c>
      <c r="U408" s="357"/>
      <c r="V408" s="358"/>
      <c r="W408" s="144"/>
    </row>
    <row r="409" spans="1:23" ht="15" hidden="1" customHeight="1" outlineLevel="1" thickBot="1">
      <c r="A409" s="353"/>
      <c r="B409" s="359">
        <f t="shared" si="238"/>
        <v>19.19000000000003</v>
      </c>
      <c r="C409" s="360" t="s">
        <v>805</v>
      </c>
      <c r="D409" s="360" t="s">
        <v>788</v>
      </c>
      <c r="E409" s="360">
        <v>16</v>
      </c>
      <c r="F409" s="347" t="str">
        <f t="shared" si="242"/>
        <v>120V 1Ø</v>
      </c>
      <c r="G409" s="374" t="s">
        <v>168</v>
      </c>
      <c r="H409" s="316"/>
      <c r="I409" s="316"/>
      <c r="J409" s="316"/>
      <c r="K409" s="345" t="s">
        <v>784</v>
      </c>
      <c r="L409" s="28">
        <f>L408</f>
        <v>23</v>
      </c>
      <c r="M409" s="248" t="str">
        <f>IFERROR(VLOOKUP(G409,[1]MATERIALES!$D$5:$I$1368,2,FALSE),0)</f>
        <v xml:space="preserve">Marba Dominicana </v>
      </c>
      <c r="N409" s="367" t="e">
        <f t="shared" si="239"/>
        <v>#VALUE!</v>
      </c>
      <c r="O409" s="140" t="e">
        <f t="shared" si="244"/>
        <v>#VALUE!</v>
      </c>
      <c r="P409" s="367" t="e">
        <f t="shared" si="245"/>
        <v>#VALUE!</v>
      </c>
      <c r="Q409" s="140" t="e">
        <f t="shared" si="240"/>
        <v>#VALUE!</v>
      </c>
      <c r="R409" s="368" t="e">
        <f t="shared" si="241"/>
        <v>#VALUE!</v>
      </c>
      <c r="S409" s="140">
        <f t="shared" si="246"/>
        <v>0</v>
      </c>
      <c r="T409" s="139">
        <f t="shared" si="247"/>
        <v>0</v>
      </c>
      <c r="U409" s="357"/>
      <c r="V409" s="358"/>
      <c r="W409" s="144"/>
    </row>
    <row r="410" spans="1:23" ht="15" customHeight="1" collapsed="1" thickBot="1">
      <c r="A410" s="353"/>
      <c r="B410" s="354">
        <v>20</v>
      </c>
      <c r="C410" s="355" t="s">
        <v>806</v>
      </c>
      <c r="D410" s="269" t="s">
        <v>788</v>
      </c>
      <c r="E410" s="269">
        <v>17</v>
      </c>
      <c r="F410" s="270" t="s">
        <v>783</v>
      </c>
      <c r="G410" s="271"/>
      <c r="H410" s="272"/>
      <c r="I410" s="272"/>
      <c r="J410" s="272"/>
      <c r="K410" s="268"/>
      <c r="L410" s="268"/>
      <c r="M410" s="273"/>
      <c r="N410" s="274"/>
      <c r="O410" s="273"/>
      <c r="P410" s="274"/>
      <c r="Q410" s="273"/>
      <c r="R410" s="275"/>
      <c r="S410" s="273"/>
      <c r="T410" s="276"/>
      <c r="U410" s="357" t="e">
        <f>SUM(R411:R429)</f>
        <v>#VALUE!</v>
      </c>
      <c r="V410" s="358" t="e">
        <f>'[1]1. OFERTA'!#REF!</f>
        <v>#REF!</v>
      </c>
      <c r="W410" s="144" t="e">
        <f>U410-V410</f>
        <v>#VALUE!</v>
      </c>
    </row>
    <row r="411" spans="1:23" ht="15" hidden="1" customHeight="1" outlineLevel="1" thickBot="1">
      <c r="A411" s="353"/>
      <c r="B411" s="359">
        <f t="shared" si="238"/>
        <v>20.010000000000002</v>
      </c>
      <c r="C411" s="377" t="s">
        <v>806</v>
      </c>
      <c r="D411" s="378" t="s">
        <v>788</v>
      </c>
      <c r="E411" s="378">
        <v>17</v>
      </c>
      <c r="F411" s="347" t="s">
        <v>783</v>
      </c>
      <c r="G411" s="361" t="str">
        <f>IF(H411="PVC",VLOOKUP(I411,[1]MATERIALES!$C$5:$D$11,2,FALSE),IF(H411="EMT",VLOOKUP(I411,[1]MATERIALES!$C$40:$D$46,2,FALSE),IF(H411="IMC",VLOOKUP(I411,[1]MATERIALES!$C$82:$D$88,2,FALSE),IF(H411="LFNC",VLOOKUP(I411,[1]MATERIALES!$C$110:$D$116,2,FALSE),0))))</f>
        <v>Tubería PVC SDR-26 1/2"</v>
      </c>
      <c r="H411" s="362" t="s">
        <v>184</v>
      </c>
      <c r="I411" s="362" t="s">
        <v>216</v>
      </c>
      <c r="J411" s="362">
        <v>12.49</v>
      </c>
      <c r="K411" s="134" t="str">
        <f>IF(OR(H411="Conductores Americanos",H411="Conductores Europeos"),"Pies","Unid.")</f>
        <v>Unid.</v>
      </c>
      <c r="L411" s="363">
        <f>IF(H411="PVC",ROUNDUP(J411/6,0),IF(H411="EMT",ROUNDUP(J411/3,0),IF(H411="IMC",ROUNDUP(J411/3,0),IF(H411="LFNC",ROUNDUP(3.28*J411,0),0))))</f>
        <v>3</v>
      </c>
      <c r="M411" s="248" t="str">
        <f>IFERROR(VLOOKUP(G411,[1]MATERIALES!$D$5:$I$1368,2,FALSE),0)</f>
        <v xml:space="preserve">Suplidores electricos </v>
      </c>
      <c r="N411" s="364" t="e">
        <f t="shared" ref="N411:N429" si="250">M411/$N$2</f>
        <v>#VALUE!</v>
      </c>
      <c r="O411" s="248" t="e">
        <f>+L411*M411</f>
        <v>#VALUE!</v>
      </c>
      <c r="P411" s="364" t="e">
        <f>L411*N411</f>
        <v>#VALUE!</v>
      </c>
      <c r="Q411" s="248" t="e">
        <f t="shared" ref="Q411:Q429" si="251">+$O411+($O411*$R$2)</f>
        <v>#VALUE!</v>
      </c>
      <c r="R411" s="365" t="e">
        <f t="shared" ref="R411:R429" si="252">+$P411+($P411*$R$2)</f>
        <v>#VALUE!</v>
      </c>
      <c r="S411" s="248">
        <f>+IFERROR(Q411/L411,0)</f>
        <v>0</v>
      </c>
      <c r="T411" s="146">
        <f>+IFERROR(R411/L411,0)</f>
        <v>0</v>
      </c>
      <c r="U411" s="357"/>
      <c r="V411" s="358"/>
      <c r="W411" s="144"/>
    </row>
    <row r="412" spans="1:23" ht="15" hidden="1" customHeight="1" outlineLevel="1" thickBot="1">
      <c r="A412" s="353"/>
      <c r="B412" s="359">
        <f t="shared" si="238"/>
        <v>20.020000000000003</v>
      </c>
      <c r="C412" s="377" t="s">
        <v>806</v>
      </c>
      <c r="D412" s="378" t="s">
        <v>788</v>
      </c>
      <c r="E412" s="378">
        <v>17</v>
      </c>
      <c r="F412" s="347" t="str">
        <f t="shared" ref="F412:F429" si="253">F411</f>
        <v>120V 1Ø</v>
      </c>
      <c r="G412" s="361" t="str">
        <f>IF(H412="PVC",VLOOKUP(I412,[1]MATERIALES!$C$12:$D$18,2,FALSE),IF(H412="EMT",VLOOKUP(I412,[1]MATERIALES!$C$47:$D$53,2,FALSE),IF(H412="IMC",VLOOKUP(I412,[1]MATERIALES!$C$89:$D$96,2,FALSE),"-")))</f>
        <v>Coupling PVC 1/2"</v>
      </c>
      <c r="H412" s="366" t="str">
        <f>H411</f>
        <v>PVC</v>
      </c>
      <c r="I412" s="366" t="str">
        <f>I411</f>
        <v>13mm</v>
      </c>
      <c r="J412" s="316"/>
      <c r="K412" s="345" t="str">
        <f t="shared" ref="K412:K419" si="254">IF(OR(H412="Conductores Americanos",H412="Conductores Europeos"),"Pies","Unid.")</f>
        <v>Unid.</v>
      </c>
      <c r="L412" s="28">
        <f>IF(H412="LFNC",0,L411)</f>
        <v>3</v>
      </c>
      <c r="M412" s="140" t="str">
        <f>IF(H412="LFNC",0,VLOOKUP(G412,[1]MATERIALES!$D$5:$I$1368,2,FALSE))</f>
        <v xml:space="preserve">Suplidores electricos </v>
      </c>
      <c r="N412" s="367" t="e">
        <f t="shared" si="250"/>
        <v>#VALUE!</v>
      </c>
      <c r="O412" s="140" t="e">
        <f t="shared" ref="O412:O429" si="255">+L412*M412</f>
        <v>#VALUE!</v>
      </c>
      <c r="P412" s="367" t="e">
        <f t="shared" ref="P412:P429" si="256">L412*N412</f>
        <v>#VALUE!</v>
      </c>
      <c r="Q412" s="140" t="e">
        <f t="shared" si="251"/>
        <v>#VALUE!</v>
      </c>
      <c r="R412" s="368" t="e">
        <f t="shared" si="252"/>
        <v>#VALUE!</v>
      </c>
      <c r="S412" s="140">
        <f t="shared" ref="S412:S429" si="257">+IFERROR(Q412/L412,0)</f>
        <v>0</v>
      </c>
      <c r="T412" s="139">
        <f t="shared" ref="T412:T429" si="258">+IFERROR(R412/L412,0)</f>
        <v>0</v>
      </c>
      <c r="U412" s="357"/>
      <c r="V412" s="358"/>
      <c r="W412" s="144"/>
    </row>
    <row r="413" spans="1:23" ht="15" hidden="1" customHeight="1" outlineLevel="1" thickBot="1">
      <c r="A413" s="353"/>
      <c r="B413" s="359">
        <f t="shared" si="238"/>
        <v>20.030000000000005</v>
      </c>
      <c r="C413" s="377" t="s">
        <v>806</v>
      </c>
      <c r="D413" s="378" t="s">
        <v>788</v>
      </c>
      <c r="E413" s="378">
        <v>17</v>
      </c>
      <c r="F413" s="347" t="str">
        <f t="shared" si="253"/>
        <v>120V 1Ø</v>
      </c>
      <c r="G413" s="361" t="str">
        <f>IF(H413="PVC",VLOOKUP(I413,[1]MATERIALES!$C$19:$D$25,2,FALSE),IF(H413="EMT",VLOOKUP(I413,[1]MATERIALES!$C$54:$D$60,2,FALSE),IF(H413="IMC",VLOOKUP(I413,[1]MATERIALES!$C$96:$D$102,2,FALSE),IF(H413="LFNC",VLOOKUP(I413,[1]MATERIALES!$C$117:$D$123,2,FALSE),0))))</f>
        <v>Adaptador Macho PVC 1/2"</v>
      </c>
      <c r="H413" s="366" t="str">
        <f>H411</f>
        <v>PVC</v>
      </c>
      <c r="I413" s="366" t="str">
        <f>I411</f>
        <v>13mm</v>
      </c>
      <c r="J413" s="316"/>
      <c r="K413" s="345" t="str">
        <f t="shared" si="254"/>
        <v>Unid.</v>
      </c>
      <c r="L413" s="28">
        <f>1+L416*2+L418</f>
        <v>3</v>
      </c>
      <c r="M413" s="248" t="str">
        <f>IFERROR(VLOOKUP(G413,[1]MATERIALES!$D$5:$I$1368,2,FALSE),0)</f>
        <v xml:space="preserve">Suplidores electricos </v>
      </c>
      <c r="N413" s="367" t="e">
        <f t="shared" si="250"/>
        <v>#VALUE!</v>
      </c>
      <c r="O413" s="140" t="e">
        <f t="shared" si="255"/>
        <v>#VALUE!</v>
      </c>
      <c r="P413" s="367" t="e">
        <f t="shared" si="256"/>
        <v>#VALUE!</v>
      </c>
      <c r="Q413" s="140" t="e">
        <f t="shared" si="251"/>
        <v>#VALUE!</v>
      </c>
      <c r="R413" s="368" t="e">
        <f t="shared" si="252"/>
        <v>#VALUE!</v>
      </c>
      <c r="S413" s="140">
        <f t="shared" si="257"/>
        <v>0</v>
      </c>
      <c r="T413" s="139">
        <f t="shared" si="258"/>
        <v>0</v>
      </c>
      <c r="U413" s="357"/>
      <c r="V413" s="358"/>
      <c r="W413" s="144"/>
    </row>
    <row r="414" spans="1:23" ht="15" hidden="1" customHeight="1" outlineLevel="1" thickBot="1">
      <c r="A414" s="353"/>
      <c r="B414" s="359">
        <f t="shared" si="238"/>
        <v>20.040000000000006</v>
      </c>
      <c r="C414" s="377" t="s">
        <v>806</v>
      </c>
      <c r="D414" s="378" t="s">
        <v>788</v>
      </c>
      <c r="E414" s="378">
        <v>17</v>
      </c>
      <c r="F414" s="347" t="str">
        <f t="shared" si="253"/>
        <v>120V 1Ø</v>
      </c>
      <c r="G414" s="361" t="str">
        <f>IF(H414="PVC",VLOOKUP(I414,[1]MATERIALES!$C$33:$D$39,2,FALSE),IF(H414="EMT",VLOOKUP(I414,[1]MATERIALES!$C$61:$D$67,2,FALSE),IF(H414="IMC",VLOOKUP(I414,[1]MATERIALES!$C$103:$D$109,2,FALSE),"-")))</f>
        <v>Curva 90 PVC SDR 1/2"</v>
      </c>
      <c r="H414" s="366" t="str">
        <f>H411</f>
        <v>PVC</v>
      </c>
      <c r="I414" s="366" t="str">
        <f>I411</f>
        <v>13mm</v>
      </c>
      <c r="J414" s="316"/>
      <c r="K414" s="345" t="str">
        <f t="shared" si="254"/>
        <v>Unid.</v>
      </c>
      <c r="L414" s="28">
        <f>IF(H414="LFNC",0,(1+L425))</f>
        <v>1</v>
      </c>
      <c r="M414" s="140" t="str">
        <f>IF(H414="LFNC",0,VLOOKUP(G414,[1]MATERIALES!$D$5:$I$1368,2,FALSE))</f>
        <v xml:space="preserve">Suplidores electricos </v>
      </c>
      <c r="N414" s="367" t="e">
        <f t="shared" si="250"/>
        <v>#VALUE!</v>
      </c>
      <c r="O414" s="140" t="e">
        <f t="shared" si="255"/>
        <v>#VALUE!</v>
      </c>
      <c r="P414" s="367" t="e">
        <f t="shared" si="256"/>
        <v>#VALUE!</v>
      </c>
      <c r="Q414" s="140" t="e">
        <f t="shared" si="251"/>
        <v>#VALUE!</v>
      </c>
      <c r="R414" s="368" t="e">
        <f t="shared" si="252"/>
        <v>#VALUE!</v>
      </c>
      <c r="S414" s="140">
        <f t="shared" si="257"/>
        <v>0</v>
      </c>
      <c r="T414" s="139">
        <f t="shared" si="258"/>
        <v>0</v>
      </c>
      <c r="U414" s="357"/>
      <c r="V414" s="358"/>
      <c r="W414" s="144"/>
    </row>
    <row r="415" spans="1:23" ht="15" hidden="1" customHeight="1" outlineLevel="1" thickBot="1">
      <c r="A415" s="353"/>
      <c r="B415" s="359">
        <f t="shared" si="238"/>
        <v>20.050000000000008</v>
      </c>
      <c r="C415" s="377" t="s">
        <v>806</v>
      </c>
      <c r="D415" s="378" t="s">
        <v>788</v>
      </c>
      <c r="E415" s="378">
        <v>17</v>
      </c>
      <c r="F415" s="347" t="str">
        <f t="shared" si="253"/>
        <v>120V 1Ø</v>
      </c>
      <c r="G415" s="361" t="str">
        <f>VLOOKUP(I415,[1]MATERIALES!$C$68:$D$74,2,FALSE)</f>
        <v>Abrazadera EMT 1/2'' </v>
      </c>
      <c r="H415" s="316"/>
      <c r="I415" s="366" t="str">
        <f>I411</f>
        <v>13mm</v>
      </c>
      <c r="J415" s="316"/>
      <c r="K415" s="345" t="str">
        <f t="shared" si="254"/>
        <v>Unid.</v>
      </c>
      <c r="L415" s="28">
        <f>ROUNDUP(J411,0)</f>
        <v>13</v>
      </c>
      <c r="M415" s="248" t="str">
        <f>IFERROR(VLOOKUP(G415,[1]MATERIALES!$D$5:$I$1368,2,FALSE),0)</f>
        <v xml:space="preserve">Suplidores electricos </v>
      </c>
      <c r="N415" s="367" t="e">
        <f t="shared" si="250"/>
        <v>#VALUE!</v>
      </c>
      <c r="O415" s="140" t="e">
        <f t="shared" si="255"/>
        <v>#VALUE!</v>
      </c>
      <c r="P415" s="367" t="e">
        <f t="shared" si="256"/>
        <v>#VALUE!</v>
      </c>
      <c r="Q415" s="140" t="e">
        <f t="shared" si="251"/>
        <v>#VALUE!</v>
      </c>
      <c r="R415" s="368" t="e">
        <f t="shared" si="252"/>
        <v>#VALUE!</v>
      </c>
      <c r="S415" s="140">
        <f t="shared" si="257"/>
        <v>0</v>
      </c>
      <c r="T415" s="139">
        <f t="shared" si="258"/>
        <v>0</v>
      </c>
      <c r="U415" s="357"/>
      <c r="V415" s="358"/>
      <c r="W415" s="144"/>
    </row>
    <row r="416" spans="1:23" ht="15" hidden="1" customHeight="1" outlineLevel="1" thickBot="1">
      <c r="A416" s="353"/>
      <c r="B416" s="359">
        <f t="shared" si="238"/>
        <v>20.060000000000009</v>
      </c>
      <c r="C416" s="377" t="s">
        <v>806</v>
      </c>
      <c r="D416" s="378" t="s">
        <v>788</v>
      </c>
      <c r="E416" s="378">
        <v>17</v>
      </c>
      <c r="F416" s="347" t="str">
        <f t="shared" si="253"/>
        <v>120V 1Ø</v>
      </c>
      <c r="G416" s="361" t="str" cm="1">
        <f t="array" ref="G416">_xlfn.SWITCH(I416,"13mm",(IF(H416="Rectangular",VLOOKUP(I416,[1]MATERIALES!$C$124:$D$125,2,FALSE),IF(H416="Octagonal",VLOOKUP(I416,[1]MATERIALES!$C$126:$D$127,2,FALSE),IF(H416="WP",VLOOKUP(I416,[1]MATERIALES!$C$128:$D$129,2,FALSE),IF(H416="5x5",VLOOKUP(I416,[1]MATERIALES!$C$130:$D$132,2,FALSE)))))),"19mm",(IF(H416="Rectangular",VLOOKUP(I416,[1]MATERIALES!$C$124:$D$125,2,FALSE),IF(H416="Octagonal",VLOOKUP(I416,[1]MATERIALES!$C$126:$D$127,2,FALSE),IF(H416="WP",VLOOKUP(I416,[1]MATERIALES!$C$128:$D$129,2,FALSE),IF(H416="5x5",VLOOKUP(I416,[1]MATERIALES!$C$130:$D$132,2,FALSE)))))),"25mm",IF(H416="Rectangular","-",IF(H416="Octagonal","--",IF(H416="WP","---",IF(H416="5x5",VLOOKUP(I416,[1]MATERIALES!$C$130:$D$132,2,FALSE),0)))),"38mm","-","50mm","-","75mm","-","100mm","-")</f>
        <v>Caja EMT 2x4 1/2" USA UL</v>
      </c>
      <c r="H416" s="369" t="s">
        <v>188</v>
      </c>
      <c r="I416" s="366" t="str">
        <f>I411</f>
        <v>13mm</v>
      </c>
      <c r="J416" s="316"/>
      <c r="K416" s="345" t="str">
        <f t="shared" si="254"/>
        <v>Unid.</v>
      </c>
      <c r="L416" s="28">
        <f>1+L425</f>
        <v>1</v>
      </c>
      <c r="M416" s="248" t="str">
        <f>IFERROR(VLOOKUP(G416,[1]MATERIALES!$D$5:$I$1368,2,FALSE),0)</f>
        <v xml:space="preserve">Suplidores electricos </v>
      </c>
      <c r="N416" s="367" t="e">
        <f t="shared" si="250"/>
        <v>#VALUE!</v>
      </c>
      <c r="O416" s="140" t="e">
        <f t="shared" si="255"/>
        <v>#VALUE!</v>
      </c>
      <c r="P416" s="367" t="e">
        <f t="shared" si="256"/>
        <v>#VALUE!</v>
      </c>
      <c r="Q416" s="140" t="e">
        <f t="shared" si="251"/>
        <v>#VALUE!</v>
      </c>
      <c r="R416" s="368" t="e">
        <f t="shared" si="252"/>
        <v>#VALUE!</v>
      </c>
      <c r="S416" s="140">
        <f t="shared" si="257"/>
        <v>0</v>
      </c>
      <c r="T416" s="139">
        <f t="shared" si="258"/>
        <v>0</v>
      </c>
      <c r="U416" s="357"/>
      <c r="V416" s="358"/>
      <c r="W416" s="144"/>
    </row>
    <row r="417" spans="1:23" ht="15" hidden="1" customHeight="1" outlineLevel="1" thickBot="1">
      <c r="A417" s="353"/>
      <c r="B417" s="359">
        <f t="shared" si="238"/>
        <v>20.070000000000011</v>
      </c>
      <c r="C417" s="377" t="s">
        <v>806</v>
      </c>
      <c r="D417" s="378" t="s">
        <v>788</v>
      </c>
      <c r="E417" s="378">
        <v>17</v>
      </c>
      <c r="F417" s="347" t="str">
        <f t="shared" si="253"/>
        <v>120V 1Ø</v>
      </c>
      <c r="G417" s="370" t="str">
        <f>IF(H417="Rectangular",[1]MATERIALES!$D$133,IF(H416="Octagonal",[1]MATERIALES!$D$134,IF(H416="WP",[1]MATERIALES!$D$135,IF(H416="5x5",[1]MATERIALES!$D$136,0))))</f>
        <v>CAJA REG. 12X12X4 N3R</v>
      </c>
      <c r="H417" s="369" t="str">
        <f>H416</f>
        <v>Rectangular</v>
      </c>
      <c r="I417" s="366" t="str">
        <f>I411</f>
        <v>13mm</v>
      </c>
      <c r="J417" s="316"/>
      <c r="K417" s="345" t="str">
        <f t="shared" si="254"/>
        <v>Unid.</v>
      </c>
      <c r="L417" s="28">
        <f>L416</f>
        <v>1</v>
      </c>
      <c r="M417" s="248" t="str">
        <f>IFERROR(VLOOKUP(G417,[1]MATERIALES!$D$5:$I$1368,2,FALSE),0)</f>
        <v xml:space="preserve">Suplidores electricos </v>
      </c>
      <c r="N417" s="367" t="e">
        <f t="shared" si="250"/>
        <v>#VALUE!</v>
      </c>
      <c r="O417" s="140" t="e">
        <f t="shared" si="255"/>
        <v>#VALUE!</v>
      </c>
      <c r="P417" s="367" t="e">
        <f t="shared" si="256"/>
        <v>#VALUE!</v>
      </c>
      <c r="Q417" s="140" t="e">
        <f t="shared" si="251"/>
        <v>#VALUE!</v>
      </c>
      <c r="R417" s="368" t="e">
        <f t="shared" si="252"/>
        <v>#VALUE!</v>
      </c>
      <c r="S417" s="140">
        <f t="shared" si="257"/>
        <v>0</v>
      </c>
      <c r="T417" s="139">
        <f t="shared" si="258"/>
        <v>0</v>
      </c>
      <c r="U417" s="357"/>
      <c r="V417" s="358"/>
      <c r="W417" s="144"/>
    </row>
    <row r="418" spans="1:23" ht="15" hidden="1" customHeight="1" outlineLevel="1" thickBot="1">
      <c r="A418" s="353"/>
      <c r="B418" s="359">
        <f t="shared" si="238"/>
        <v>20.080000000000013</v>
      </c>
      <c r="C418" s="377" t="s">
        <v>806</v>
      </c>
      <c r="D418" s="378" t="s">
        <v>788</v>
      </c>
      <c r="E418" s="378">
        <v>17</v>
      </c>
      <c r="F418" s="347" t="str">
        <f t="shared" si="253"/>
        <v>120V 1Ø</v>
      </c>
      <c r="G418" s="361" t="str" cm="1">
        <f t="array" ref="G418">_xlfn.SWITCH(I418,"13mm",(IF(H418="Rectangular",VLOOKUP(I418,[1]MATERIALES!$C$124:$D$125,2,FALSE),IF(H418="Octagonal",VLOOKUP(I418,[1]MATERIALES!$C$126:$D$127,2,FALSE),IF(H418="WP",VLOOKUP(I418,[1]MATERIALES!$C$128:$D$129,2,FALSE),IF(H418="5x5",VLOOKUP(I418,[1]MATERIALES!$C$130:$D$132,2,FALSE)))))),"19mm",(IF(H418="Rectangular",VLOOKUP(I418,[1]MATERIALES!$C$124:$D$125,2,FALSE),IF(H418="Octagonal",VLOOKUP(I418,[1]MATERIALES!$C$126:$D$127,2,FALSE),IF(H418="WP",VLOOKUP(I418,[1]MATERIALES!$C$128:$D$129,2,FALSE),IF(H418="5x5",VLOOKUP(I418,[1]MATERIALES!$C$130:$D$132,2,FALSE)))))),"25mm",IF(H418="Rectangular","-",IF(H418="Octagonal","--",IF(H418="WP","---",IF(H418="5x5",VLOOKUP(I418,[1]MATERIALES!$C$130:$D$132,2,FALSE),0)))),"38mm","-","50mm","-","75mm","-","100mm","-")</f>
        <v>Caja EMT 2x4 1/2" USA UL</v>
      </c>
      <c r="H418" s="369" t="s">
        <v>188</v>
      </c>
      <c r="I418" s="366" t="str">
        <f>I413</f>
        <v>13mm</v>
      </c>
      <c r="J418" s="316"/>
      <c r="K418" s="345" t="str">
        <f t="shared" si="254"/>
        <v>Unid.</v>
      </c>
      <c r="L418" s="28">
        <f>L425</f>
        <v>0</v>
      </c>
      <c r="M418" s="248" t="str">
        <f>IFERROR(VLOOKUP(G418,[1]MATERIALES!$D$5:$I$1368,2,FALSE),0)</f>
        <v xml:space="preserve">Suplidores electricos </v>
      </c>
      <c r="N418" s="367" t="e">
        <f t="shared" si="250"/>
        <v>#VALUE!</v>
      </c>
      <c r="O418" s="140" t="e">
        <f t="shared" si="255"/>
        <v>#VALUE!</v>
      </c>
      <c r="P418" s="367" t="e">
        <f t="shared" si="256"/>
        <v>#VALUE!</v>
      </c>
      <c r="Q418" s="140" t="e">
        <f t="shared" si="251"/>
        <v>#VALUE!</v>
      </c>
      <c r="R418" s="368" t="e">
        <f t="shared" si="252"/>
        <v>#VALUE!</v>
      </c>
      <c r="S418" s="140">
        <f t="shared" si="257"/>
        <v>0</v>
      </c>
      <c r="T418" s="139">
        <f t="shared" si="258"/>
        <v>0</v>
      </c>
      <c r="U418" s="357"/>
      <c r="V418" s="358"/>
      <c r="W418" s="144"/>
    </row>
    <row r="419" spans="1:23" ht="15" hidden="1" customHeight="1" outlineLevel="1" thickBot="1">
      <c r="A419" s="353"/>
      <c r="B419" s="359">
        <f t="shared" si="238"/>
        <v>20.090000000000014</v>
      </c>
      <c r="C419" s="377" t="s">
        <v>806</v>
      </c>
      <c r="D419" s="378" t="s">
        <v>788</v>
      </c>
      <c r="E419" s="378">
        <v>17</v>
      </c>
      <c r="F419" s="347" t="str">
        <f t="shared" si="253"/>
        <v>120V 1Ø</v>
      </c>
      <c r="G419" s="370" t="str">
        <f>IF(H419="Rectangular",[1]MATERIALES!$D$133,IF(H418="Octagonal",[1]MATERIALES!$D$134,IF(H418="WP",[1]MATERIALES!#REF!,IF(H418="5x5",[1]MATERIALES!$D$136,0))))</f>
        <v>CAJA REG. 12X12X4 N3R</v>
      </c>
      <c r="H419" s="369" t="str">
        <f>H418</f>
        <v>Rectangular</v>
      </c>
      <c r="I419" s="366" t="str">
        <f>I413</f>
        <v>13mm</v>
      </c>
      <c r="J419" s="316"/>
      <c r="K419" s="345" t="str">
        <f t="shared" si="254"/>
        <v>Unid.</v>
      </c>
      <c r="L419" s="28">
        <f>L418</f>
        <v>0</v>
      </c>
      <c r="M419" s="248" t="str">
        <f>IFERROR(VLOOKUP(G419,[1]MATERIALES!$D$5:$I$1368,2,FALSE),0)</f>
        <v xml:space="preserve">Suplidores electricos </v>
      </c>
      <c r="N419" s="367" t="e">
        <f t="shared" si="250"/>
        <v>#VALUE!</v>
      </c>
      <c r="O419" s="140" t="e">
        <f t="shared" si="255"/>
        <v>#VALUE!</v>
      </c>
      <c r="P419" s="367" t="e">
        <f t="shared" si="256"/>
        <v>#VALUE!</v>
      </c>
      <c r="Q419" s="140" t="e">
        <f t="shared" si="251"/>
        <v>#VALUE!</v>
      </c>
      <c r="R419" s="368" t="e">
        <f t="shared" si="252"/>
        <v>#VALUE!</v>
      </c>
      <c r="S419" s="140">
        <f t="shared" si="257"/>
        <v>0</v>
      </c>
      <c r="T419" s="139">
        <f t="shared" si="258"/>
        <v>0</v>
      </c>
      <c r="U419" s="357"/>
      <c r="V419" s="358"/>
      <c r="W419" s="144"/>
    </row>
    <row r="420" spans="1:23" ht="15" hidden="1" customHeight="1" outlineLevel="1" thickBot="1">
      <c r="A420" s="353"/>
      <c r="B420" s="359">
        <f t="shared" si="238"/>
        <v>20.100000000000016</v>
      </c>
      <c r="C420" s="377" t="s">
        <v>806</v>
      </c>
      <c r="D420" s="378" t="s">
        <v>788</v>
      </c>
      <c r="E420" s="378">
        <v>17</v>
      </c>
      <c r="F420" s="347" t="str">
        <f t="shared" si="253"/>
        <v>120V 1Ø</v>
      </c>
      <c r="G420" s="371" t="str">
        <f>"Fase A"&amp;": "&amp;I420</f>
        <v>Fase A: Conductor 12 AWG THHN</v>
      </c>
      <c r="H420" s="366" t="s">
        <v>181</v>
      </c>
      <c r="I420" s="366" t="s">
        <v>189</v>
      </c>
      <c r="J420" s="366">
        <f>J411</f>
        <v>12.49</v>
      </c>
      <c r="K420" s="345" t="str">
        <f>IF(OR(H420="Conductores Americanos",H420="Conductores Europeos"),"Pies","Unid.")</f>
        <v>Pies</v>
      </c>
      <c r="L420" s="28">
        <f>ROUNDUP(J420*3.28,0)</f>
        <v>41</v>
      </c>
      <c r="M420" s="140" t="str">
        <f>VLOOKUP(I420,[1]MATERIALES!$D$5:$I$1368,2,FALSE)</f>
        <v xml:space="preserve">Suplidores electricos </v>
      </c>
      <c r="N420" s="367" t="e">
        <f t="shared" si="250"/>
        <v>#VALUE!</v>
      </c>
      <c r="O420" s="140" t="e">
        <f t="shared" si="255"/>
        <v>#VALUE!</v>
      </c>
      <c r="P420" s="367" t="e">
        <f t="shared" si="256"/>
        <v>#VALUE!</v>
      </c>
      <c r="Q420" s="140" t="e">
        <f t="shared" si="251"/>
        <v>#VALUE!</v>
      </c>
      <c r="R420" s="368" t="e">
        <f t="shared" si="252"/>
        <v>#VALUE!</v>
      </c>
      <c r="S420" s="140">
        <f t="shared" si="257"/>
        <v>0</v>
      </c>
      <c r="T420" s="139">
        <f t="shared" si="258"/>
        <v>0</v>
      </c>
      <c r="U420" s="357"/>
      <c r="V420" s="358"/>
      <c r="W420" s="144"/>
    </row>
    <row r="421" spans="1:23" ht="15" hidden="1" customHeight="1" outlineLevel="1" thickBot="1">
      <c r="A421" s="353"/>
      <c r="B421" s="359">
        <f t="shared" si="238"/>
        <v>20.110000000000017</v>
      </c>
      <c r="C421" s="377" t="s">
        <v>806</v>
      </c>
      <c r="D421" s="378" t="s">
        <v>788</v>
      </c>
      <c r="E421" s="378">
        <v>17</v>
      </c>
      <c r="F421" s="347" t="str">
        <f t="shared" si="253"/>
        <v>120V 1Ø</v>
      </c>
      <c r="G421" s="371" t="str">
        <f>IF(F421="120V 1Ø","-",("Fase B"&amp;": "&amp;I421))</f>
        <v>-</v>
      </c>
      <c r="H421" s="366" t="str">
        <f t="shared" ref="H421:I423" si="259">H420</f>
        <v>Conductores Americanos</v>
      </c>
      <c r="I421" s="366" t="str">
        <f t="shared" si="259"/>
        <v>Conductor 12 AWG THHN</v>
      </c>
      <c r="J421" s="366">
        <f>IF(G421="-",0,J411)</f>
        <v>0</v>
      </c>
      <c r="K421" s="345" t="str">
        <f t="shared" ref="K421:K427" si="260">IF(OR(H421="Conductores Americanos",H421="Conductores Europeos"),"Pies","Unid.")</f>
        <v>Pies</v>
      </c>
      <c r="L421" s="28">
        <f>ROUNDUP(J421*3.28,0)</f>
        <v>0</v>
      </c>
      <c r="M421" s="140" t="str">
        <f>VLOOKUP(I421,[1]MATERIALES!$D$5:$I$1368,2,FALSE)</f>
        <v xml:space="preserve">Suplidores electricos </v>
      </c>
      <c r="N421" s="367" t="e">
        <f t="shared" si="250"/>
        <v>#VALUE!</v>
      </c>
      <c r="O421" s="140" t="e">
        <f t="shared" si="255"/>
        <v>#VALUE!</v>
      </c>
      <c r="P421" s="367" t="e">
        <f t="shared" si="256"/>
        <v>#VALUE!</v>
      </c>
      <c r="Q421" s="140" t="e">
        <f t="shared" si="251"/>
        <v>#VALUE!</v>
      </c>
      <c r="R421" s="368" t="e">
        <f t="shared" si="252"/>
        <v>#VALUE!</v>
      </c>
      <c r="S421" s="140">
        <f t="shared" si="257"/>
        <v>0</v>
      </c>
      <c r="T421" s="139">
        <f t="shared" si="258"/>
        <v>0</v>
      </c>
      <c r="U421" s="357"/>
      <c r="V421" s="358"/>
      <c r="W421" s="144"/>
    </row>
    <row r="422" spans="1:23" ht="15" hidden="1" customHeight="1" outlineLevel="1" thickBot="1">
      <c r="A422" s="353"/>
      <c r="B422" s="359">
        <f t="shared" si="238"/>
        <v>20.120000000000019</v>
      </c>
      <c r="C422" s="377" t="s">
        <v>806</v>
      </c>
      <c r="D422" s="378" t="s">
        <v>788</v>
      </c>
      <c r="E422" s="378">
        <v>17</v>
      </c>
      <c r="F422" s="347" t="str">
        <f t="shared" si="253"/>
        <v>120V 1Ø</v>
      </c>
      <c r="G422" s="371" t="str">
        <f>IF(F422="120V 1Ø","-",IF(F422="240V 1Ø","-",("Fase C"&amp;": "&amp;I420)))</f>
        <v>-</v>
      </c>
      <c r="H422" s="366" t="str">
        <f t="shared" si="259"/>
        <v>Conductores Americanos</v>
      </c>
      <c r="I422" s="366" t="str">
        <f t="shared" si="259"/>
        <v>Conductor 12 AWG THHN</v>
      </c>
      <c r="J422" s="366">
        <f>IF(G422="-",0,J411)</f>
        <v>0</v>
      </c>
      <c r="K422" s="345" t="str">
        <f t="shared" si="260"/>
        <v>Pies</v>
      </c>
      <c r="L422" s="28">
        <f>ROUNDUP(J422*3.28,0)</f>
        <v>0</v>
      </c>
      <c r="M422" s="140" t="str">
        <f>VLOOKUP(I422,[1]MATERIALES!$D$5:$I$1368,2,FALSE)</f>
        <v xml:space="preserve">Suplidores electricos </v>
      </c>
      <c r="N422" s="367" t="e">
        <f t="shared" si="250"/>
        <v>#VALUE!</v>
      </c>
      <c r="O422" s="140" t="e">
        <f t="shared" si="255"/>
        <v>#VALUE!</v>
      </c>
      <c r="P422" s="367" t="e">
        <f t="shared" si="256"/>
        <v>#VALUE!</v>
      </c>
      <c r="Q422" s="140" t="e">
        <f t="shared" si="251"/>
        <v>#VALUE!</v>
      </c>
      <c r="R422" s="368" t="e">
        <f t="shared" si="252"/>
        <v>#VALUE!</v>
      </c>
      <c r="S422" s="140">
        <f t="shared" si="257"/>
        <v>0</v>
      </c>
      <c r="T422" s="139">
        <f t="shared" si="258"/>
        <v>0</v>
      </c>
      <c r="U422" s="357"/>
      <c r="V422" s="358"/>
      <c r="W422" s="144"/>
    </row>
    <row r="423" spans="1:23" ht="15" hidden="1" customHeight="1" outlineLevel="1" thickBot="1">
      <c r="A423" s="353"/>
      <c r="B423" s="359">
        <f t="shared" si="238"/>
        <v>20.13000000000002</v>
      </c>
      <c r="C423" s="377" t="s">
        <v>806</v>
      </c>
      <c r="D423" s="378" t="s">
        <v>788</v>
      </c>
      <c r="E423" s="378">
        <v>17</v>
      </c>
      <c r="F423" s="347" t="str">
        <f t="shared" si="253"/>
        <v>120V 1Ø</v>
      </c>
      <c r="G423" s="372" t="str">
        <f>IF(F423="240V 1Ø","-",IF(F423="480V 3Ø","-",("Neutro"&amp;": "&amp;I420)))</f>
        <v>Neutro: Conductor 12 AWG THHN</v>
      </c>
      <c r="H423" s="366" t="str">
        <f t="shared" si="259"/>
        <v>Conductores Americanos</v>
      </c>
      <c r="I423" s="366" t="str">
        <f t="shared" si="259"/>
        <v>Conductor 12 AWG THHN</v>
      </c>
      <c r="J423" s="366">
        <f>IF(G423="-",0,J411)</f>
        <v>12.49</v>
      </c>
      <c r="K423" s="345" t="str">
        <f t="shared" si="260"/>
        <v>Pies</v>
      </c>
      <c r="L423" s="28">
        <f>ROUNDUP(J423*3.28,0)</f>
        <v>41</v>
      </c>
      <c r="M423" s="140" t="str">
        <f>VLOOKUP(I423,[1]MATERIALES!$D$5:$I$1368,2,FALSE)</f>
        <v xml:space="preserve">Suplidores electricos </v>
      </c>
      <c r="N423" s="367" t="e">
        <f t="shared" si="250"/>
        <v>#VALUE!</v>
      </c>
      <c r="O423" s="140" t="e">
        <f t="shared" si="255"/>
        <v>#VALUE!</v>
      </c>
      <c r="P423" s="367" t="e">
        <f t="shared" si="256"/>
        <v>#VALUE!</v>
      </c>
      <c r="Q423" s="140" t="e">
        <f t="shared" si="251"/>
        <v>#VALUE!</v>
      </c>
      <c r="R423" s="368" t="e">
        <f t="shared" si="252"/>
        <v>#VALUE!</v>
      </c>
      <c r="S423" s="140">
        <f t="shared" si="257"/>
        <v>0</v>
      </c>
      <c r="T423" s="139">
        <f t="shared" si="258"/>
        <v>0</v>
      </c>
      <c r="U423" s="357"/>
      <c r="V423" s="358"/>
      <c r="W423" s="144"/>
    </row>
    <row r="424" spans="1:23" ht="15" hidden="1" customHeight="1" outlineLevel="1" thickBot="1">
      <c r="A424" s="353"/>
      <c r="B424" s="359">
        <f t="shared" si="238"/>
        <v>20.140000000000022</v>
      </c>
      <c r="C424" s="377" t="s">
        <v>806</v>
      </c>
      <c r="D424" s="378" t="s">
        <v>788</v>
      </c>
      <c r="E424" s="378">
        <v>17</v>
      </c>
      <c r="F424" s="347" t="str">
        <f t="shared" si="253"/>
        <v>120V 1Ø</v>
      </c>
      <c r="G424" s="372" t="str">
        <f>"Tierra"&amp;": "&amp;I424</f>
        <v>Tierra: Conductor 12 AWG THHN</v>
      </c>
      <c r="H424" s="366" t="str">
        <f>H423</f>
        <v>Conductores Americanos</v>
      </c>
      <c r="I424" s="366" t="str">
        <f>I423</f>
        <v>Conductor 12 AWG THHN</v>
      </c>
      <c r="J424" s="366">
        <f>J411</f>
        <v>12.49</v>
      </c>
      <c r="K424" s="345" t="str">
        <f t="shared" si="260"/>
        <v>Pies</v>
      </c>
      <c r="L424" s="28">
        <f>ROUNDUP(J424*3.28,0)</f>
        <v>41</v>
      </c>
      <c r="M424" s="140" t="str">
        <f>VLOOKUP(I424,[1]MATERIALES!$D$5:$I$1368,2,FALSE)</f>
        <v xml:space="preserve">Suplidores electricos </v>
      </c>
      <c r="N424" s="367" t="e">
        <f t="shared" si="250"/>
        <v>#VALUE!</v>
      </c>
      <c r="O424" s="140" t="e">
        <f t="shared" si="255"/>
        <v>#VALUE!</v>
      </c>
      <c r="P424" s="367" t="e">
        <f t="shared" si="256"/>
        <v>#VALUE!</v>
      </c>
      <c r="Q424" s="140" t="e">
        <f t="shared" si="251"/>
        <v>#VALUE!</v>
      </c>
      <c r="R424" s="368" t="e">
        <f t="shared" si="252"/>
        <v>#VALUE!</v>
      </c>
      <c r="S424" s="140">
        <f t="shared" si="257"/>
        <v>0</v>
      </c>
      <c r="T424" s="139">
        <f t="shared" si="258"/>
        <v>0</v>
      </c>
      <c r="U424" s="357"/>
      <c r="V424" s="358"/>
      <c r="W424" s="144"/>
    </row>
    <row r="425" spans="1:23" ht="15" hidden="1" customHeight="1" outlineLevel="1" thickBot="1">
      <c r="A425" s="353"/>
      <c r="B425" s="359">
        <f t="shared" si="238"/>
        <v>20.150000000000023</v>
      </c>
      <c r="C425" s="377" t="s">
        <v>806</v>
      </c>
      <c r="D425" s="378" t="s">
        <v>788</v>
      </c>
      <c r="E425" s="378">
        <v>17</v>
      </c>
      <c r="F425" s="347" t="str">
        <f t="shared" si="253"/>
        <v>120V 1Ø</v>
      </c>
      <c r="G425" s="361" t="str" cm="1">
        <f t="array" ref="G425">IFERROR(VLOOKUP(H425&amp;"|"&amp;I425,CHOOSE({1,2},[1]MATERIALES!$B$168:$B$175&amp;"|"&amp;[1]MATERIALES!$C$168:$C$175,[1]MATERIALES!$D$168:$D$175),2,0),"-")</f>
        <v>Tomacorriente 15A Matix (AM5115D + 503SB/SA)</v>
      </c>
      <c r="H425" s="373" t="s">
        <v>382</v>
      </c>
      <c r="I425" s="373" t="s">
        <v>380</v>
      </c>
      <c r="J425" s="316"/>
      <c r="K425" s="345" t="str">
        <f t="shared" si="260"/>
        <v>Unid.</v>
      </c>
      <c r="L425" s="218">
        <v>0</v>
      </c>
      <c r="M425" s="248">
        <f>IFERROR(VLOOKUP(G425,[1]MATERIALES!$D$5:$I$1368,2,FALSE),0)</f>
        <v>0</v>
      </c>
      <c r="N425" s="367">
        <f t="shared" si="250"/>
        <v>0</v>
      </c>
      <c r="O425" s="140">
        <f t="shared" si="255"/>
        <v>0</v>
      </c>
      <c r="P425" s="367">
        <f t="shared" si="256"/>
        <v>0</v>
      </c>
      <c r="Q425" s="140">
        <f t="shared" si="251"/>
        <v>0</v>
      </c>
      <c r="R425" s="368">
        <f t="shared" si="252"/>
        <v>0</v>
      </c>
      <c r="S425" s="140">
        <f t="shared" si="257"/>
        <v>0</v>
      </c>
      <c r="T425" s="139">
        <f t="shared" si="258"/>
        <v>0</v>
      </c>
      <c r="U425" s="357"/>
      <c r="V425" s="358"/>
      <c r="W425" s="144"/>
    </row>
    <row r="426" spans="1:23" ht="15" hidden="1" customHeight="1" outlineLevel="1" thickBot="1">
      <c r="A426" s="353"/>
      <c r="B426" s="359">
        <f t="shared" si="238"/>
        <v>20.160000000000025</v>
      </c>
      <c r="C426" s="377" t="s">
        <v>806</v>
      </c>
      <c r="D426" s="378" t="s">
        <v>788</v>
      </c>
      <c r="E426" s="378">
        <v>17</v>
      </c>
      <c r="F426" s="347" t="str">
        <f t="shared" si="253"/>
        <v>120V 1Ø</v>
      </c>
      <c r="G426" s="361" t="str" cm="1">
        <f t="array" ref="G426">IFERROR(VLOOKUP(H426&amp;"|"&amp;I426,CHOOSE({1,2},[1]MATERIALES!$B$176:$B$185&amp;"|"&amp;[1]MATERIALES!$C$176:$C$185,[1]MATERIALES!$D$176:$D$185),2,0),"-")</f>
        <v>Tapa para tomacorriente MATIX (AM503/3N)</v>
      </c>
      <c r="H426" s="366" t="str">
        <f>H425</f>
        <v>MATIX</v>
      </c>
      <c r="I426" s="373" t="s">
        <v>392</v>
      </c>
      <c r="J426" s="316"/>
      <c r="K426" s="345" t="str">
        <f t="shared" si="260"/>
        <v>Unid.</v>
      </c>
      <c r="L426" s="345">
        <f>L425</f>
        <v>0</v>
      </c>
      <c r="M426" s="248">
        <f>IFERROR(VLOOKUP(G426,[1]MATERIALES!$D$5:$I$1368,2,FALSE),0)</f>
        <v>0</v>
      </c>
      <c r="N426" s="367">
        <f t="shared" si="250"/>
        <v>0</v>
      </c>
      <c r="O426" s="140">
        <f t="shared" si="255"/>
        <v>0</v>
      </c>
      <c r="P426" s="367">
        <f t="shared" si="256"/>
        <v>0</v>
      </c>
      <c r="Q426" s="140">
        <f t="shared" si="251"/>
        <v>0</v>
      </c>
      <c r="R426" s="368">
        <f t="shared" si="252"/>
        <v>0</v>
      </c>
      <c r="S426" s="140">
        <f t="shared" si="257"/>
        <v>0</v>
      </c>
      <c r="T426" s="139">
        <f t="shared" si="258"/>
        <v>0</v>
      </c>
      <c r="U426" s="357"/>
      <c r="V426" s="358"/>
      <c r="W426" s="144"/>
    </row>
    <row r="427" spans="1:23" ht="15" hidden="1" customHeight="1" outlineLevel="1" thickBot="1">
      <c r="A427" s="353"/>
      <c r="B427" s="359">
        <f t="shared" si="238"/>
        <v>20.170000000000027</v>
      </c>
      <c r="C427" s="377" t="s">
        <v>806</v>
      </c>
      <c r="D427" s="378" t="s">
        <v>788</v>
      </c>
      <c r="E427" s="378">
        <v>17</v>
      </c>
      <c r="F427" s="347" t="str">
        <f t="shared" si="253"/>
        <v>120V 1Ø</v>
      </c>
      <c r="G427" s="371" t="s">
        <v>422</v>
      </c>
      <c r="H427" s="316"/>
      <c r="I427" s="316"/>
      <c r="J427" s="316"/>
      <c r="K427" s="345" t="str">
        <f t="shared" si="260"/>
        <v>Unid.</v>
      </c>
      <c r="L427" s="345">
        <f>3*(L416)</f>
        <v>3</v>
      </c>
      <c r="M427" s="248">
        <f>IFERROR(VLOOKUP(G427,[1]MATERIALES!$D$5:$I$1368,2,FALSE),0)</f>
        <v>0</v>
      </c>
      <c r="N427" s="367">
        <f t="shared" si="250"/>
        <v>0</v>
      </c>
      <c r="O427" s="140">
        <f t="shared" si="255"/>
        <v>0</v>
      </c>
      <c r="P427" s="367">
        <f t="shared" si="256"/>
        <v>0</v>
      </c>
      <c r="Q427" s="140">
        <f t="shared" si="251"/>
        <v>0</v>
      </c>
      <c r="R427" s="368">
        <f t="shared" si="252"/>
        <v>0</v>
      </c>
      <c r="S427" s="140">
        <f t="shared" si="257"/>
        <v>0</v>
      </c>
      <c r="T427" s="139">
        <f t="shared" si="258"/>
        <v>0</v>
      </c>
      <c r="U427" s="357" t="e">
        <f>SUM(R427:R429)</f>
        <v>#VALUE!</v>
      </c>
      <c r="V427" s="358" t="e">
        <f>'[1]1. OFERTA'!#REF!</f>
        <v>#REF!</v>
      </c>
      <c r="W427" s="144" t="e">
        <f>U427-V427</f>
        <v>#VALUE!</v>
      </c>
    </row>
    <row r="428" spans="1:23" ht="15" hidden="1" customHeight="1" outlineLevel="1" thickBot="1">
      <c r="A428" s="353"/>
      <c r="B428" s="359">
        <f t="shared" si="238"/>
        <v>20.180000000000028</v>
      </c>
      <c r="C428" s="377" t="s">
        <v>806</v>
      </c>
      <c r="D428" s="378" t="s">
        <v>788</v>
      </c>
      <c r="E428" s="378">
        <v>17</v>
      </c>
      <c r="F428" s="347" t="str">
        <f t="shared" si="253"/>
        <v>120V 1Ø</v>
      </c>
      <c r="G428" s="374" t="s">
        <v>424</v>
      </c>
      <c r="H428" s="316"/>
      <c r="I428" s="316"/>
      <c r="J428" s="316"/>
      <c r="K428" s="345" t="s">
        <v>784</v>
      </c>
      <c r="L428" s="28">
        <f>ROUNDUP(L415+L416+L418,0)</f>
        <v>14</v>
      </c>
      <c r="M428" s="248">
        <f>IFERROR(VLOOKUP(G428,[1]MATERIALES!$D$5:$I$1368,2,FALSE),0)</f>
        <v>0</v>
      </c>
      <c r="N428" s="367">
        <f t="shared" si="250"/>
        <v>0</v>
      </c>
      <c r="O428" s="140">
        <f t="shared" si="255"/>
        <v>0</v>
      </c>
      <c r="P428" s="367">
        <f t="shared" si="256"/>
        <v>0</v>
      </c>
      <c r="Q428" s="140">
        <f t="shared" si="251"/>
        <v>0</v>
      </c>
      <c r="R428" s="368">
        <f t="shared" si="252"/>
        <v>0</v>
      </c>
      <c r="S428" s="140">
        <f t="shared" si="257"/>
        <v>0</v>
      </c>
      <c r="T428" s="139">
        <f t="shared" si="258"/>
        <v>0</v>
      </c>
      <c r="U428" s="357"/>
      <c r="V428" s="358"/>
      <c r="W428" s="144"/>
    </row>
    <row r="429" spans="1:23" ht="15" hidden="1" customHeight="1" outlineLevel="1" thickBot="1">
      <c r="A429" s="353"/>
      <c r="B429" s="359">
        <f t="shared" si="238"/>
        <v>20.19000000000003</v>
      </c>
      <c r="C429" s="377" t="s">
        <v>806</v>
      </c>
      <c r="D429" s="378" t="s">
        <v>788</v>
      </c>
      <c r="E429" s="378">
        <v>17</v>
      </c>
      <c r="F429" s="347" t="str">
        <f t="shared" si="253"/>
        <v>120V 1Ø</v>
      </c>
      <c r="G429" s="374" t="s">
        <v>168</v>
      </c>
      <c r="H429" s="316"/>
      <c r="I429" s="316"/>
      <c r="J429" s="316"/>
      <c r="K429" s="345" t="s">
        <v>784</v>
      </c>
      <c r="L429" s="28">
        <f>L428</f>
        <v>14</v>
      </c>
      <c r="M429" s="248" t="str">
        <f>IFERROR(VLOOKUP(G429,[1]MATERIALES!$D$5:$I$1368,2,FALSE),0)</f>
        <v xml:space="preserve">Marba Dominicana </v>
      </c>
      <c r="N429" s="367" t="e">
        <f t="shared" si="250"/>
        <v>#VALUE!</v>
      </c>
      <c r="O429" s="140" t="e">
        <f t="shared" si="255"/>
        <v>#VALUE!</v>
      </c>
      <c r="P429" s="367" t="e">
        <f t="shared" si="256"/>
        <v>#VALUE!</v>
      </c>
      <c r="Q429" s="140" t="e">
        <f t="shared" si="251"/>
        <v>#VALUE!</v>
      </c>
      <c r="R429" s="368" t="e">
        <f t="shared" si="252"/>
        <v>#VALUE!</v>
      </c>
      <c r="S429" s="140">
        <f t="shared" si="257"/>
        <v>0</v>
      </c>
      <c r="T429" s="139">
        <f t="shared" si="258"/>
        <v>0</v>
      </c>
      <c r="U429" s="357"/>
      <c r="V429" s="358"/>
      <c r="W429" s="144"/>
    </row>
    <row r="430" spans="1:23" ht="15" customHeight="1" collapsed="1" thickBot="1">
      <c r="A430" s="353"/>
      <c r="B430" s="354">
        <v>21</v>
      </c>
      <c r="C430" s="355" t="s">
        <v>807</v>
      </c>
      <c r="D430" s="269" t="s">
        <v>782</v>
      </c>
      <c r="E430" s="269" t="s">
        <v>808</v>
      </c>
      <c r="F430" s="270" t="s">
        <v>809</v>
      </c>
      <c r="G430" s="271"/>
      <c r="H430" s="272"/>
      <c r="I430" s="272"/>
      <c r="J430" s="272"/>
      <c r="K430" s="268"/>
      <c r="L430" s="268"/>
      <c r="M430" s="273"/>
      <c r="N430" s="274"/>
      <c r="O430" s="273"/>
      <c r="P430" s="274"/>
      <c r="Q430" s="273"/>
      <c r="R430" s="275"/>
      <c r="S430" s="273"/>
      <c r="T430" s="276"/>
      <c r="U430" s="357" t="e">
        <f>SUM(R431:R449)</f>
        <v>#VALUE!</v>
      </c>
      <c r="V430" s="358" t="e">
        <f>'[1]1. OFERTA'!#REF!</f>
        <v>#REF!</v>
      </c>
      <c r="W430" s="144" t="e">
        <f>U430-V430</f>
        <v>#VALUE!</v>
      </c>
    </row>
    <row r="431" spans="1:23" ht="15" hidden="1" customHeight="1" outlineLevel="1" thickBot="1">
      <c r="A431" s="353"/>
      <c r="B431" s="359">
        <f t="shared" si="238"/>
        <v>21.01</v>
      </c>
      <c r="C431" s="379" t="s">
        <v>807</v>
      </c>
      <c r="D431" s="360" t="s">
        <v>782</v>
      </c>
      <c r="E431" s="360" t="s">
        <v>808</v>
      </c>
      <c r="F431" s="347" t="s">
        <v>809</v>
      </c>
      <c r="G431" s="361" t="str">
        <f>IF(H431="PVC",VLOOKUP(I431,[1]MATERIALES!$C$5:$D$11,2,FALSE),IF(H431="EMT",VLOOKUP(I431,[1]MATERIALES!$C$40:$D$46,2,FALSE),IF(H431="IMC",VLOOKUP(I431,[1]MATERIALES!$C$82:$D$88,2,FALSE),IF(H431="LFNC",VLOOKUP(I431,[1]MATERIALES!$C$110:$D$116,2,FALSE),0))))</f>
        <v>Tubería PVC SDR-26 3/4"</v>
      </c>
      <c r="H431" s="362" t="s">
        <v>184</v>
      </c>
      <c r="I431" s="362" t="s">
        <v>212</v>
      </c>
      <c r="J431" s="362">
        <v>21.79</v>
      </c>
      <c r="K431" s="134" t="str">
        <f>IF(OR(H431="Conductores Americanos",H431="Conductores Europeos"),"Pies","Unid.")</f>
        <v>Unid.</v>
      </c>
      <c r="L431" s="363">
        <f>IF(H431="PVC",ROUNDUP(J431/6,0),IF(H431="EMT",ROUNDUP(J431/3,0),IF(H431="IMC",ROUNDUP(J431/3,0),IF(H431="LFNC",ROUNDUP(3.28*J431,0),0))))</f>
        <v>4</v>
      </c>
      <c r="M431" s="248" t="str">
        <f>IFERROR(VLOOKUP(G431,[1]MATERIALES!$D$5:$I$1368,2,FALSE),0)</f>
        <v xml:space="preserve">Suplidores electricos </v>
      </c>
      <c r="N431" s="364" t="e">
        <f t="shared" ref="N431:N449" si="261">M431/$N$2</f>
        <v>#VALUE!</v>
      </c>
      <c r="O431" s="248" t="e">
        <f>+L431*M431</f>
        <v>#VALUE!</v>
      </c>
      <c r="P431" s="364" t="e">
        <f>L431*N431</f>
        <v>#VALUE!</v>
      </c>
      <c r="Q431" s="248" t="e">
        <f t="shared" ref="Q431:Q449" si="262">+$O431+($O431*$R$2)</f>
        <v>#VALUE!</v>
      </c>
      <c r="R431" s="365" t="e">
        <f t="shared" ref="R431:R449" si="263">+$P431+($P431*$R$2)</f>
        <v>#VALUE!</v>
      </c>
      <c r="S431" s="248">
        <f>+IFERROR(Q431/L431,0)</f>
        <v>0</v>
      </c>
      <c r="T431" s="146">
        <f>+IFERROR(R431/L431,0)</f>
        <v>0</v>
      </c>
      <c r="U431" s="357"/>
      <c r="V431" s="358"/>
      <c r="W431" s="144"/>
    </row>
    <row r="432" spans="1:23" ht="15" hidden="1" customHeight="1" outlineLevel="1" thickBot="1">
      <c r="A432" s="353"/>
      <c r="B432" s="359">
        <f t="shared" si="238"/>
        <v>21.020000000000003</v>
      </c>
      <c r="C432" s="360" t="s">
        <v>807</v>
      </c>
      <c r="D432" s="360" t="s">
        <v>782</v>
      </c>
      <c r="E432" s="360" t="s">
        <v>808</v>
      </c>
      <c r="F432" s="347" t="str">
        <f t="shared" ref="F432:F449" si="264">F431</f>
        <v>240V 1Ø</v>
      </c>
      <c r="G432" s="361" t="str">
        <f>IF(H432="PVC",VLOOKUP(I432,[1]MATERIALES!$C$12:$D$18,2,FALSE),IF(H432="EMT",VLOOKUP(I432,[1]MATERIALES!$C$47:$D$53,2,FALSE),IF(H432="IMC",VLOOKUP(I432,[1]MATERIALES!$C$89:$D$96,2,FALSE),"-")))</f>
        <v>Coupling PVC 3/4"</v>
      </c>
      <c r="H432" s="366" t="str">
        <f>H431</f>
        <v>PVC</v>
      </c>
      <c r="I432" s="366" t="str">
        <f>I431</f>
        <v>19mm</v>
      </c>
      <c r="J432" s="316"/>
      <c r="K432" s="345" t="str">
        <f t="shared" ref="K432:K439" si="265">IF(OR(H432="Conductores Americanos",H432="Conductores Europeos"),"Pies","Unid.")</f>
        <v>Unid.</v>
      </c>
      <c r="L432" s="28">
        <f>IF(H432="LFNC",0,L431)</f>
        <v>4</v>
      </c>
      <c r="M432" s="140" t="str">
        <f>IF(H432="LFNC",0,VLOOKUP(G432,[1]MATERIALES!$D$5:$I$1368,2,FALSE))</f>
        <v xml:space="preserve">Suplidores electricos </v>
      </c>
      <c r="N432" s="367" t="e">
        <f t="shared" si="261"/>
        <v>#VALUE!</v>
      </c>
      <c r="O432" s="140" t="e">
        <f t="shared" ref="O432:O449" si="266">+L432*M432</f>
        <v>#VALUE!</v>
      </c>
      <c r="P432" s="367" t="e">
        <f t="shared" ref="P432:P449" si="267">L432*N432</f>
        <v>#VALUE!</v>
      </c>
      <c r="Q432" s="140" t="e">
        <f t="shared" si="262"/>
        <v>#VALUE!</v>
      </c>
      <c r="R432" s="368" t="e">
        <f t="shared" si="263"/>
        <v>#VALUE!</v>
      </c>
      <c r="S432" s="140">
        <f t="shared" ref="S432:S449" si="268">+IFERROR(Q432/L432,0)</f>
        <v>0</v>
      </c>
      <c r="T432" s="139">
        <f t="shared" ref="T432:T449" si="269">+IFERROR(R432/L432,0)</f>
        <v>0</v>
      </c>
      <c r="U432" s="357"/>
      <c r="V432" s="358"/>
      <c r="W432" s="144"/>
    </row>
    <row r="433" spans="1:23" ht="15" hidden="1" customHeight="1" outlineLevel="1" thickBot="1">
      <c r="A433" s="353"/>
      <c r="B433" s="359">
        <f t="shared" si="238"/>
        <v>21.030000000000005</v>
      </c>
      <c r="C433" s="360" t="s">
        <v>807</v>
      </c>
      <c r="D433" s="360" t="s">
        <v>782</v>
      </c>
      <c r="E433" s="360" t="s">
        <v>808</v>
      </c>
      <c r="F433" s="347" t="str">
        <f t="shared" si="264"/>
        <v>240V 1Ø</v>
      </c>
      <c r="G433" s="361" t="str">
        <f>IF(H433="PVC",VLOOKUP(I433,[1]MATERIALES!$C$19:$D$25,2,FALSE),IF(H433="EMT",VLOOKUP(I433,[1]MATERIALES!$C$54:$D$60,2,FALSE),IF(H433="IMC",VLOOKUP(I433,[1]MATERIALES!$C$96:$D$102,2,FALSE),IF(H433="LFNC",VLOOKUP(I433,[1]MATERIALES!$C$117:$D$123,2,FALSE),0))))</f>
        <v>Adaptador Macho PVC 3/4"</v>
      </c>
      <c r="H433" s="366" t="str">
        <f>H431</f>
        <v>PVC</v>
      </c>
      <c r="I433" s="366" t="str">
        <f>I431</f>
        <v>19mm</v>
      </c>
      <c r="J433" s="316"/>
      <c r="K433" s="345" t="str">
        <f t="shared" si="265"/>
        <v>Unid.</v>
      </c>
      <c r="L433" s="28">
        <f>1+L436*2+L438</f>
        <v>6</v>
      </c>
      <c r="M433" s="248" t="str">
        <f>IFERROR(VLOOKUP(G433,[1]MATERIALES!$D$5:$I$1368,2,FALSE),0)</f>
        <v xml:space="preserve">Suplidores electricos </v>
      </c>
      <c r="N433" s="367" t="e">
        <f t="shared" si="261"/>
        <v>#VALUE!</v>
      </c>
      <c r="O433" s="140" t="e">
        <f t="shared" si="266"/>
        <v>#VALUE!</v>
      </c>
      <c r="P433" s="367" t="e">
        <f t="shared" si="267"/>
        <v>#VALUE!</v>
      </c>
      <c r="Q433" s="140" t="e">
        <f t="shared" si="262"/>
        <v>#VALUE!</v>
      </c>
      <c r="R433" s="368" t="e">
        <f t="shared" si="263"/>
        <v>#VALUE!</v>
      </c>
      <c r="S433" s="140">
        <f t="shared" si="268"/>
        <v>0</v>
      </c>
      <c r="T433" s="139">
        <f t="shared" si="269"/>
        <v>0</v>
      </c>
      <c r="U433" s="357"/>
      <c r="V433" s="358"/>
      <c r="W433" s="144"/>
    </row>
    <row r="434" spans="1:23" ht="15" hidden="1" customHeight="1" outlineLevel="1" thickBot="1">
      <c r="A434" s="353"/>
      <c r="B434" s="359">
        <f t="shared" si="238"/>
        <v>21.040000000000006</v>
      </c>
      <c r="C434" s="360" t="s">
        <v>807</v>
      </c>
      <c r="D434" s="360" t="s">
        <v>782</v>
      </c>
      <c r="E434" s="360" t="s">
        <v>808</v>
      </c>
      <c r="F434" s="347" t="str">
        <f t="shared" si="264"/>
        <v>240V 1Ø</v>
      </c>
      <c r="G434" s="361" t="str">
        <f>IF(H434="PVC",VLOOKUP(I434,[1]MATERIALES!$C$33:$D$39,2,FALSE),IF(H434="EMT",VLOOKUP(I434,[1]MATERIALES!$C$61:$D$67,2,FALSE),IF(H434="IMC",VLOOKUP(I434,[1]MATERIALES!$C$103:$D$109,2,FALSE),"-")))</f>
        <v>Curva 90 PVC SDR 3/4"</v>
      </c>
      <c r="H434" s="366" t="str">
        <f>H431</f>
        <v>PVC</v>
      </c>
      <c r="I434" s="366" t="str">
        <f>I431</f>
        <v>19mm</v>
      </c>
      <c r="J434" s="316"/>
      <c r="K434" s="345" t="str">
        <f t="shared" si="265"/>
        <v>Unid.</v>
      </c>
      <c r="L434" s="28">
        <f>IF(H434="LFNC",0,(1+L445))</f>
        <v>2</v>
      </c>
      <c r="M434" s="140" t="str">
        <f>IF(H434="LFNC",0,VLOOKUP(G434,[1]MATERIALES!$D$5:$I$1368,2,FALSE))</f>
        <v xml:space="preserve">Suplidores electricos </v>
      </c>
      <c r="N434" s="367" t="e">
        <f t="shared" si="261"/>
        <v>#VALUE!</v>
      </c>
      <c r="O434" s="140" t="e">
        <f t="shared" si="266"/>
        <v>#VALUE!</v>
      </c>
      <c r="P434" s="367" t="e">
        <f t="shared" si="267"/>
        <v>#VALUE!</v>
      </c>
      <c r="Q434" s="140" t="e">
        <f t="shared" si="262"/>
        <v>#VALUE!</v>
      </c>
      <c r="R434" s="368" t="e">
        <f t="shared" si="263"/>
        <v>#VALUE!</v>
      </c>
      <c r="S434" s="140">
        <f t="shared" si="268"/>
        <v>0</v>
      </c>
      <c r="T434" s="139">
        <f t="shared" si="269"/>
        <v>0</v>
      </c>
      <c r="U434" s="357"/>
      <c r="V434" s="358"/>
      <c r="W434" s="144"/>
    </row>
    <row r="435" spans="1:23" ht="15" hidden="1" customHeight="1" outlineLevel="1" thickBot="1">
      <c r="A435" s="353"/>
      <c r="B435" s="359">
        <f t="shared" si="238"/>
        <v>21.050000000000008</v>
      </c>
      <c r="C435" s="360" t="s">
        <v>807</v>
      </c>
      <c r="D435" s="360" t="s">
        <v>782</v>
      </c>
      <c r="E435" s="360" t="s">
        <v>808</v>
      </c>
      <c r="F435" s="347" t="str">
        <f t="shared" si="264"/>
        <v>240V 1Ø</v>
      </c>
      <c r="G435" s="361" t="str">
        <f>VLOOKUP(I435,[1]MATERIALES!$C$68:$D$74,2,FALSE)</f>
        <v>Abrazadera EMT 3/4'' </v>
      </c>
      <c r="H435" s="316"/>
      <c r="I435" s="366" t="str">
        <f>I431</f>
        <v>19mm</v>
      </c>
      <c r="J435" s="316"/>
      <c r="K435" s="345" t="str">
        <f t="shared" si="265"/>
        <v>Unid.</v>
      </c>
      <c r="L435" s="28">
        <f>ROUNDUP(J431,0)</f>
        <v>22</v>
      </c>
      <c r="M435" s="248" t="str">
        <f>IFERROR(VLOOKUP(G435,[1]MATERIALES!$D$5:$I$1368,2,FALSE),0)</f>
        <v xml:space="preserve">Suplidores electricos </v>
      </c>
      <c r="N435" s="367" t="e">
        <f t="shared" si="261"/>
        <v>#VALUE!</v>
      </c>
      <c r="O435" s="140" t="e">
        <f t="shared" si="266"/>
        <v>#VALUE!</v>
      </c>
      <c r="P435" s="367" t="e">
        <f t="shared" si="267"/>
        <v>#VALUE!</v>
      </c>
      <c r="Q435" s="140" t="e">
        <f t="shared" si="262"/>
        <v>#VALUE!</v>
      </c>
      <c r="R435" s="368" t="e">
        <f t="shared" si="263"/>
        <v>#VALUE!</v>
      </c>
      <c r="S435" s="140">
        <f t="shared" si="268"/>
        <v>0</v>
      </c>
      <c r="T435" s="139">
        <f t="shared" si="269"/>
        <v>0</v>
      </c>
      <c r="U435" s="357"/>
      <c r="V435" s="358"/>
      <c r="W435" s="144"/>
    </row>
    <row r="436" spans="1:23" ht="15" hidden="1" customHeight="1" outlineLevel="1" thickBot="1">
      <c r="A436" s="353"/>
      <c r="B436" s="359">
        <f t="shared" si="238"/>
        <v>21.060000000000009</v>
      </c>
      <c r="C436" s="360" t="s">
        <v>807</v>
      </c>
      <c r="D436" s="360" t="s">
        <v>782</v>
      </c>
      <c r="E436" s="360" t="s">
        <v>808</v>
      </c>
      <c r="F436" s="347" t="str">
        <f t="shared" si="264"/>
        <v>240V 1Ø</v>
      </c>
      <c r="G436" s="361" t="str" cm="1">
        <f t="array" ref="G436">_xlfn.SWITCH(I436,"13mm",(IF(H436="Rectangular",VLOOKUP(I436,[1]MATERIALES!$C$124:$D$125,2,FALSE),IF(H436="Octagonal",VLOOKUP(I436,[1]MATERIALES!$C$126:$D$127,2,FALSE),IF(H436="WP",VLOOKUP(I436,[1]MATERIALES!$C$128:$D$129,2,FALSE),IF(H436="5x5",VLOOKUP(I436,[1]MATERIALES!$C$130:$D$132,2,FALSE)))))),"19mm",(IF(H436="Rectangular",VLOOKUP(I436,[1]MATERIALES!$C$124:$D$125,2,FALSE),IF(H436="Octagonal",VLOOKUP(I436,[1]MATERIALES!$C$126:$D$127,2,FALSE),IF(H436="WP",VLOOKUP(I436,[1]MATERIALES!$C$128:$D$129,2,FALSE),IF(H436="5x5",VLOOKUP(I436,[1]MATERIALES!$C$130:$D$132,2,FALSE)))))),"25mm",IF(H436="Rectangular","-",IF(H436="Octagonal","--",IF(H436="WP","---",IF(H436="5x5",VLOOKUP(I436,[1]MATERIALES!$C$130:$D$132,2,FALSE),0)))),"38mm","-","50mm","-","75mm","-","100mm","-")</f>
        <v>Caja octagonal EMT 3/4" USA UL</v>
      </c>
      <c r="H436" s="369" t="s">
        <v>194</v>
      </c>
      <c r="I436" s="366" t="str">
        <f>I431</f>
        <v>19mm</v>
      </c>
      <c r="J436" s="316"/>
      <c r="K436" s="345" t="str">
        <f t="shared" si="265"/>
        <v>Unid.</v>
      </c>
      <c r="L436" s="28">
        <f>1+L445</f>
        <v>2</v>
      </c>
      <c r="M436" s="248" t="str">
        <f>IFERROR(VLOOKUP(G436,[1]MATERIALES!$D$5:$I$1368,2,FALSE),0)</f>
        <v xml:space="preserve">Suplidores electricos </v>
      </c>
      <c r="N436" s="367" t="e">
        <f t="shared" si="261"/>
        <v>#VALUE!</v>
      </c>
      <c r="O436" s="140" t="e">
        <f t="shared" si="266"/>
        <v>#VALUE!</v>
      </c>
      <c r="P436" s="367" t="e">
        <f t="shared" si="267"/>
        <v>#VALUE!</v>
      </c>
      <c r="Q436" s="140" t="e">
        <f t="shared" si="262"/>
        <v>#VALUE!</v>
      </c>
      <c r="R436" s="368" t="e">
        <f t="shared" si="263"/>
        <v>#VALUE!</v>
      </c>
      <c r="S436" s="140">
        <f t="shared" si="268"/>
        <v>0</v>
      </c>
      <c r="T436" s="139">
        <f t="shared" si="269"/>
        <v>0</v>
      </c>
      <c r="U436" s="357"/>
      <c r="V436" s="358"/>
      <c r="W436" s="144"/>
    </row>
    <row r="437" spans="1:23" ht="15" hidden="1" customHeight="1" outlineLevel="1" thickBot="1">
      <c r="A437" s="353"/>
      <c r="B437" s="359">
        <f t="shared" si="238"/>
        <v>21.070000000000011</v>
      </c>
      <c r="C437" s="360" t="s">
        <v>807</v>
      </c>
      <c r="D437" s="360" t="s">
        <v>782</v>
      </c>
      <c r="E437" s="360" t="s">
        <v>808</v>
      </c>
      <c r="F437" s="347" t="str">
        <f t="shared" si="264"/>
        <v>240V 1Ø</v>
      </c>
      <c r="G437" s="370" t="str">
        <f>IF(H437="Rectangular",[1]MATERIALES!$D$133,IF(H436="Octagonal",[1]MATERIALES!$D$134,IF(H436="WP",[1]MATERIALES!$D$135,IF(H436="5x5",[1]MATERIALES!$D$136,0))))</f>
        <v>Tapa caja EMT 2x4 Inoxidable.</v>
      </c>
      <c r="H437" s="369" t="str">
        <f>H436</f>
        <v>Octagonal</v>
      </c>
      <c r="I437" s="366" t="str">
        <f>I431</f>
        <v>19mm</v>
      </c>
      <c r="J437" s="316"/>
      <c r="K437" s="345" t="str">
        <f t="shared" si="265"/>
        <v>Unid.</v>
      </c>
      <c r="L437" s="28">
        <f>L436</f>
        <v>2</v>
      </c>
      <c r="M437" s="248" t="str">
        <f>IFERROR(VLOOKUP(G437,[1]MATERIALES!$D$5:$I$1368,2,FALSE),0)</f>
        <v xml:space="preserve">Suplidores electricos </v>
      </c>
      <c r="N437" s="367" t="e">
        <f t="shared" si="261"/>
        <v>#VALUE!</v>
      </c>
      <c r="O437" s="140" t="e">
        <f t="shared" si="266"/>
        <v>#VALUE!</v>
      </c>
      <c r="P437" s="367" t="e">
        <f t="shared" si="267"/>
        <v>#VALUE!</v>
      </c>
      <c r="Q437" s="140" t="e">
        <f t="shared" si="262"/>
        <v>#VALUE!</v>
      </c>
      <c r="R437" s="368" t="e">
        <f t="shared" si="263"/>
        <v>#VALUE!</v>
      </c>
      <c r="S437" s="140">
        <f t="shared" si="268"/>
        <v>0</v>
      </c>
      <c r="T437" s="139">
        <f t="shared" si="269"/>
        <v>0</v>
      </c>
      <c r="U437" s="357"/>
      <c r="V437" s="358"/>
      <c r="W437" s="144"/>
    </row>
    <row r="438" spans="1:23" ht="15" hidden="1" customHeight="1" outlineLevel="1" thickBot="1">
      <c r="A438" s="353"/>
      <c r="B438" s="359">
        <f t="shared" si="238"/>
        <v>21.080000000000013</v>
      </c>
      <c r="C438" s="360" t="s">
        <v>807</v>
      </c>
      <c r="D438" s="360" t="s">
        <v>782</v>
      </c>
      <c r="E438" s="360" t="s">
        <v>808</v>
      </c>
      <c r="F438" s="347" t="str">
        <f t="shared" si="264"/>
        <v>240V 1Ø</v>
      </c>
      <c r="G438" s="361" t="str" cm="1">
        <f t="array" ref="G438">_xlfn.SWITCH(I438,"13mm",(IF(H438="Rectangular",VLOOKUP(I438,[1]MATERIALES!$C$124:$D$125,2,FALSE),IF(H438="Octagonal",VLOOKUP(I438,[1]MATERIALES!$C$126:$D$127,2,FALSE),IF(H438="WP",VLOOKUP(I438,[1]MATERIALES!$C$128:$D$129,2,FALSE),IF(H438="5x5",VLOOKUP(I438,[1]MATERIALES!$C$130:$D$132,2,FALSE)))))),"19mm",(IF(H438="Rectangular",VLOOKUP(I438,[1]MATERIALES!$C$124:$D$125,2,FALSE),IF(H438="Octagonal",VLOOKUP(I438,[1]MATERIALES!$C$126:$D$127,2,FALSE),IF(H438="WP",VLOOKUP(I438,[1]MATERIALES!$C$128:$D$129,2,FALSE),IF(H438="5x5",VLOOKUP(I438,[1]MATERIALES!$C$130:$D$132,2,FALSE)))))),"25mm",IF(H438="Rectangular","-",IF(H438="Octagonal","--",IF(H438="WP","---",IF(H438="5x5",VLOOKUP(I438,[1]MATERIALES!$C$130:$D$132,2,FALSE),0)))),"38mm","-","50mm","-","75mm","-","100mm","-")</f>
        <v>Caja EMT 2x4 3/4" USA UL</v>
      </c>
      <c r="H438" s="369" t="s">
        <v>188</v>
      </c>
      <c r="I438" s="366" t="str">
        <f>I433</f>
        <v>19mm</v>
      </c>
      <c r="J438" s="316"/>
      <c r="K438" s="345" t="str">
        <f t="shared" si="265"/>
        <v>Unid.</v>
      </c>
      <c r="L438" s="28">
        <f>L445</f>
        <v>1</v>
      </c>
      <c r="M438" s="248" t="str">
        <f>IFERROR(VLOOKUP(G438,[1]MATERIALES!$D$5:$I$1368,2,FALSE),0)</f>
        <v xml:space="preserve">Suplidores electricos </v>
      </c>
      <c r="N438" s="367" t="e">
        <f t="shared" si="261"/>
        <v>#VALUE!</v>
      </c>
      <c r="O438" s="140" t="e">
        <f t="shared" si="266"/>
        <v>#VALUE!</v>
      </c>
      <c r="P438" s="367" t="e">
        <f t="shared" si="267"/>
        <v>#VALUE!</v>
      </c>
      <c r="Q438" s="140" t="e">
        <f t="shared" si="262"/>
        <v>#VALUE!</v>
      </c>
      <c r="R438" s="368" t="e">
        <f t="shared" si="263"/>
        <v>#VALUE!</v>
      </c>
      <c r="S438" s="140">
        <f t="shared" si="268"/>
        <v>0</v>
      </c>
      <c r="T438" s="139">
        <f t="shared" si="269"/>
        <v>0</v>
      </c>
      <c r="U438" s="357"/>
      <c r="V438" s="358"/>
      <c r="W438" s="144"/>
    </row>
    <row r="439" spans="1:23" ht="15" hidden="1" customHeight="1" outlineLevel="1" thickBot="1">
      <c r="A439" s="353"/>
      <c r="B439" s="359">
        <f t="shared" si="238"/>
        <v>21.090000000000014</v>
      </c>
      <c r="C439" s="360" t="s">
        <v>807</v>
      </c>
      <c r="D439" s="360" t="s">
        <v>782</v>
      </c>
      <c r="E439" s="360" t="s">
        <v>808</v>
      </c>
      <c r="F439" s="347" t="str">
        <f t="shared" si="264"/>
        <v>240V 1Ø</v>
      </c>
      <c r="G439" s="370" t="str">
        <f>IF(H439="Rectangular",[1]MATERIALES!$D$133,IF(H438="Octagonal",[1]MATERIALES!$D$134,IF(H438="WP",[1]MATERIALES!#REF!,IF(H438="5x5",[1]MATERIALES!$D$136,0))))</f>
        <v>CAJA REG. 12X12X4 N3R</v>
      </c>
      <c r="H439" s="369" t="str">
        <f>H438</f>
        <v>Rectangular</v>
      </c>
      <c r="I439" s="366" t="str">
        <f>I433</f>
        <v>19mm</v>
      </c>
      <c r="J439" s="316"/>
      <c r="K439" s="345" t="str">
        <f t="shared" si="265"/>
        <v>Unid.</v>
      </c>
      <c r="L439" s="28">
        <f>L438</f>
        <v>1</v>
      </c>
      <c r="M439" s="248" t="str">
        <f>IFERROR(VLOOKUP(G439,[1]MATERIALES!$D$5:$I$1368,2,FALSE),0)</f>
        <v xml:space="preserve">Suplidores electricos </v>
      </c>
      <c r="N439" s="367" t="e">
        <f t="shared" si="261"/>
        <v>#VALUE!</v>
      </c>
      <c r="O439" s="140" t="e">
        <f t="shared" si="266"/>
        <v>#VALUE!</v>
      </c>
      <c r="P439" s="367" t="e">
        <f t="shared" si="267"/>
        <v>#VALUE!</v>
      </c>
      <c r="Q439" s="140" t="e">
        <f t="shared" si="262"/>
        <v>#VALUE!</v>
      </c>
      <c r="R439" s="368" t="e">
        <f t="shared" si="263"/>
        <v>#VALUE!</v>
      </c>
      <c r="S439" s="140">
        <f t="shared" si="268"/>
        <v>0</v>
      </c>
      <c r="T439" s="139">
        <f t="shared" si="269"/>
        <v>0</v>
      </c>
      <c r="U439" s="357"/>
      <c r="V439" s="358"/>
      <c r="W439" s="144"/>
    </row>
    <row r="440" spans="1:23" ht="15" hidden="1" customHeight="1" outlineLevel="1" thickBot="1">
      <c r="A440" s="353"/>
      <c r="B440" s="359">
        <f t="shared" si="238"/>
        <v>21.100000000000016</v>
      </c>
      <c r="C440" s="360" t="s">
        <v>807</v>
      </c>
      <c r="D440" s="360" t="s">
        <v>782</v>
      </c>
      <c r="E440" s="360" t="s">
        <v>808</v>
      </c>
      <c r="F440" s="347" t="str">
        <f t="shared" si="264"/>
        <v>240V 1Ø</v>
      </c>
      <c r="G440" s="371" t="str">
        <f>"Fase A"&amp;": "&amp;I440</f>
        <v>Fase A: Conductor 10 AWG THHN</v>
      </c>
      <c r="H440" s="366" t="s">
        <v>181</v>
      </c>
      <c r="I440" s="366" t="s">
        <v>153</v>
      </c>
      <c r="J440" s="366">
        <f>J431</f>
        <v>21.79</v>
      </c>
      <c r="K440" s="345" t="str">
        <f>IF(OR(H440="Conductores Americanos",H440="Conductores Europeos"),"Pies","Unid.")</f>
        <v>Pies</v>
      </c>
      <c r="L440" s="28">
        <f>ROUNDUP(J440*3.28,0)</f>
        <v>72</v>
      </c>
      <c r="M440" s="140" t="str">
        <f>VLOOKUP(I440,[1]MATERIALES!$D$5:$I$1368,2,FALSE)</f>
        <v xml:space="preserve">Suplidores electricos </v>
      </c>
      <c r="N440" s="367" t="e">
        <f t="shared" si="261"/>
        <v>#VALUE!</v>
      </c>
      <c r="O440" s="140" t="e">
        <f t="shared" si="266"/>
        <v>#VALUE!</v>
      </c>
      <c r="P440" s="367" t="e">
        <f t="shared" si="267"/>
        <v>#VALUE!</v>
      </c>
      <c r="Q440" s="140" t="e">
        <f t="shared" si="262"/>
        <v>#VALUE!</v>
      </c>
      <c r="R440" s="368" t="e">
        <f t="shared" si="263"/>
        <v>#VALUE!</v>
      </c>
      <c r="S440" s="140">
        <f t="shared" si="268"/>
        <v>0</v>
      </c>
      <c r="T440" s="139">
        <f t="shared" si="269"/>
        <v>0</v>
      </c>
      <c r="U440" s="357"/>
      <c r="V440" s="358"/>
      <c r="W440" s="144"/>
    </row>
    <row r="441" spans="1:23" ht="15" hidden="1" customHeight="1" outlineLevel="1" thickBot="1">
      <c r="A441" s="353"/>
      <c r="B441" s="359">
        <f t="shared" si="238"/>
        <v>21.110000000000017</v>
      </c>
      <c r="C441" s="360" t="s">
        <v>807</v>
      </c>
      <c r="D441" s="360" t="s">
        <v>782</v>
      </c>
      <c r="E441" s="360" t="s">
        <v>808</v>
      </c>
      <c r="F441" s="347" t="str">
        <f t="shared" si="264"/>
        <v>240V 1Ø</v>
      </c>
      <c r="G441" s="371" t="str">
        <f>IF(F441="120V 1Ø","-",("Fase B"&amp;": "&amp;I441))</f>
        <v>Fase B: Conductor 10 AWG THHN</v>
      </c>
      <c r="H441" s="366" t="str">
        <f t="shared" ref="H441:I443" si="270">H440</f>
        <v>Conductores Americanos</v>
      </c>
      <c r="I441" s="366" t="str">
        <f t="shared" si="270"/>
        <v>Conductor 10 AWG THHN</v>
      </c>
      <c r="J441" s="366">
        <f>IF(G441="-",0,J431)</f>
        <v>21.79</v>
      </c>
      <c r="K441" s="345" t="str">
        <f t="shared" ref="K441:K447" si="271">IF(OR(H441="Conductores Americanos",H441="Conductores Europeos"),"Pies","Unid.")</f>
        <v>Pies</v>
      </c>
      <c r="L441" s="28">
        <f>ROUNDUP(J441*3.28,0)</f>
        <v>72</v>
      </c>
      <c r="M441" s="140" t="str">
        <f>VLOOKUP(I441,[1]MATERIALES!$D$5:$I$1368,2,FALSE)</f>
        <v xml:space="preserve">Suplidores electricos </v>
      </c>
      <c r="N441" s="367" t="e">
        <f t="shared" si="261"/>
        <v>#VALUE!</v>
      </c>
      <c r="O441" s="140" t="e">
        <f t="shared" si="266"/>
        <v>#VALUE!</v>
      </c>
      <c r="P441" s="367" t="e">
        <f t="shared" si="267"/>
        <v>#VALUE!</v>
      </c>
      <c r="Q441" s="140" t="e">
        <f t="shared" si="262"/>
        <v>#VALUE!</v>
      </c>
      <c r="R441" s="368" t="e">
        <f t="shared" si="263"/>
        <v>#VALUE!</v>
      </c>
      <c r="S441" s="140">
        <f t="shared" si="268"/>
        <v>0</v>
      </c>
      <c r="T441" s="139">
        <f t="shared" si="269"/>
        <v>0</v>
      </c>
      <c r="U441" s="357"/>
      <c r="V441" s="358"/>
      <c r="W441" s="144"/>
    </row>
    <row r="442" spans="1:23" ht="15" hidden="1" customHeight="1" outlineLevel="1" thickBot="1">
      <c r="A442" s="353"/>
      <c r="B442" s="359">
        <f t="shared" si="238"/>
        <v>21.120000000000019</v>
      </c>
      <c r="C442" s="360" t="s">
        <v>807</v>
      </c>
      <c r="D442" s="360" t="s">
        <v>782</v>
      </c>
      <c r="E442" s="360" t="s">
        <v>808</v>
      </c>
      <c r="F442" s="347" t="str">
        <f t="shared" si="264"/>
        <v>240V 1Ø</v>
      </c>
      <c r="G442" s="371" t="str">
        <f>IF(F442="120V 1Ø","-",IF(F442="240V 1Ø","-",("Fase C"&amp;": "&amp;I440)))</f>
        <v>-</v>
      </c>
      <c r="H442" s="366" t="str">
        <f t="shared" si="270"/>
        <v>Conductores Americanos</v>
      </c>
      <c r="I442" s="366" t="str">
        <f t="shared" si="270"/>
        <v>Conductor 10 AWG THHN</v>
      </c>
      <c r="J442" s="366">
        <f>IF(G442="-",0,J431)</f>
        <v>0</v>
      </c>
      <c r="K442" s="345" t="str">
        <f t="shared" si="271"/>
        <v>Pies</v>
      </c>
      <c r="L442" s="28">
        <f>ROUNDUP(J442*3.28,0)</f>
        <v>0</v>
      </c>
      <c r="M442" s="140" t="str">
        <f>VLOOKUP(I442,[1]MATERIALES!$D$5:$I$1368,2,FALSE)</f>
        <v xml:space="preserve">Suplidores electricos </v>
      </c>
      <c r="N442" s="367" t="e">
        <f t="shared" si="261"/>
        <v>#VALUE!</v>
      </c>
      <c r="O442" s="140" t="e">
        <f t="shared" si="266"/>
        <v>#VALUE!</v>
      </c>
      <c r="P442" s="367" t="e">
        <f t="shared" si="267"/>
        <v>#VALUE!</v>
      </c>
      <c r="Q442" s="140" t="e">
        <f t="shared" si="262"/>
        <v>#VALUE!</v>
      </c>
      <c r="R442" s="368" t="e">
        <f t="shared" si="263"/>
        <v>#VALUE!</v>
      </c>
      <c r="S442" s="140">
        <f t="shared" si="268"/>
        <v>0</v>
      </c>
      <c r="T442" s="139">
        <f t="shared" si="269"/>
        <v>0</v>
      </c>
      <c r="U442" s="357"/>
      <c r="V442" s="358"/>
      <c r="W442" s="144"/>
    </row>
    <row r="443" spans="1:23" ht="15" hidden="1" customHeight="1" outlineLevel="1" thickBot="1">
      <c r="A443" s="353"/>
      <c r="B443" s="359">
        <f t="shared" si="238"/>
        <v>21.13000000000002</v>
      </c>
      <c r="C443" s="360" t="s">
        <v>807</v>
      </c>
      <c r="D443" s="360" t="s">
        <v>782</v>
      </c>
      <c r="E443" s="360" t="s">
        <v>808</v>
      </c>
      <c r="F443" s="347" t="str">
        <f t="shared" si="264"/>
        <v>240V 1Ø</v>
      </c>
      <c r="G443" s="372" t="str">
        <f>IF(F443="240V 1Ø","-",IF(F443="480V 3Ø","-",("Neutro"&amp;": "&amp;I440)))</f>
        <v>-</v>
      </c>
      <c r="H443" s="366" t="str">
        <f t="shared" si="270"/>
        <v>Conductores Americanos</v>
      </c>
      <c r="I443" s="366" t="str">
        <f t="shared" si="270"/>
        <v>Conductor 10 AWG THHN</v>
      </c>
      <c r="J443" s="366">
        <f>IF(G443="-",0,J431)</f>
        <v>0</v>
      </c>
      <c r="K443" s="345" t="str">
        <f t="shared" si="271"/>
        <v>Pies</v>
      </c>
      <c r="L443" s="28">
        <f>ROUNDUP(J443*3.28,0)</f>
        <v>0</v>
      </c>
      <c r="M443" s="140" t="str">
        <f>VLOOKUP(I443,[1]MATERIALES!$D$5:$I$1368,2,FALSE)</f>
        <v xml:space="preserve">Suplidores electricos </v>
      </c>
      <c r="N443" s="367" t="e">
        <f t="shared" si="261"/>
        <v>#VALUE!</v>
      </c>
      <c r="O443" s="140" t="e">
        <f t="shared" si="266"/>
        <v>#VALUE!</v>
      </c>
      <c r="P443" s="367" t="e">
        <f t="shared" si="267"/>
        <v>#VALUE!</v>
      </c>
      <c r="Q443" s="140" t="e">
        <f t="shared" si="262"/>
        <v>#VALUE!</v>
      </c>
      <c r="R443" s="368" t="e">
        <f t="shared" si="263"/>
        <v>#VALUE!</v>
      </c>
      <c r="S443" s="140">
        <f t="shared" si="268"/>
        <v>0</v>
      </c>
      <c r="T443" s="139">
        <f t="shared" si="269"/>
        <v>0</v>
      </c>
      <c r="U443" s="357"/>
      <c r="V443" s="358"/>
      <c r="W443" s="144"/>
    </row>
    <row r="444" spans="1:23" ht="15" hidden="1" customHeight="1" outlineLevel="1" thickBot="1">
      <c r="A444" s="353"/>
      <c r="B444" s="359">
        <f t="shared" si="238"/>
        <v>21.140000000000022</v>
      </c>
      <c r="C444" s="360" t="s">
        <v>807</v>
      </c>
      <c r="D444" s="360" t="s">
        <v>782</v>
      </c>
      <c r="E444" s="360" t="s">
        <v>808</v>
      </c>
      <c r="F444" s="347" t="str">
        <f t="shared" si="264"/>
        <v>240V 1Ø</v>
      </c>
      <c r="G444" s="372" t="str">
        <f>"Tierra"&amp;": "&amp;I444</f>
        <v>Tierra: Conductor 10 AWG THHN</v>
      </c>
      <c r="H444" s="366" t="str">
        <f>H443</f>
        <v>Conductores Americanos</v>
      </c>
      <c r="I444" s="366" t="str">
        <f>I443</f>
        <v>Conductor 10 AWG THHN</v>
      </c>
      <c r="J444" s="366">
        <f>J431</f>
        <v>21.79</v>
      </c>
      <c r="K444" s="345" t="str">
        <f t="shared" si="271"/>
        <v>Pies</v>
      </c>
      <c r="L444" s="28">
        <f>ROUNDUP(J444*3.28,0)</f>
        <v>72</v>
      </c>
      <c r="M444" s="140" t="str">
        <f>VLOOKUP(I444,[1]MATERIALES!$D$5:$I$1368,2,FALSE)</f>
        <v xml:space="preserve">Suplidores electricos </v>
      </c>
      <c r="N444" s="367" t="e">
        <f t="shared" si="261"/>
        <v>#VALUE!</v>
      </c>
      <c r="O444" s="140" t="e">
        <f t="shared" si="266"/>
        <v>#VALUE!</v>
      </c>
      <c r="P444" s="367" t="e">
        <f t="shared" si="267"/>
        <v>#VALUE!</v>
      </c>
      <c r="Q444" s="140" t="e">
        <f t="shared" si="262"/>
        <v>#VALUE!</v>
      </c>
      <c r="R444" s="368" t="e">
        <f t="shared" si="263"/>
        <v>#VALUE!</v>
      </c>
      <c r="S444" s="140">
        <f t="shared" si="268"/>
        <v>0</v>
      </c>
      <c r="T444" s="139">
        <f t="shared" si="269"/>
        <v>0</v>
      </c>
      <c r="U444" s="357"/>
      <c r="V444" s="358"/>
      <c r="W444" s="144"/>
    </row>
    <row r="445" spans="1:23" ht="15" hidden="1" customHeight="1" outlineLevel="1" thickBot="1">
      <c r="A445" s="353"/>
      <c r="B445" s="359">
        <f t="shared" si="238"/>
        <v>21.150000000000023</v>
      </c>
      <c r="C445" s="360" t="s">
        <v>807</v>
      </c>
      <c r="D445" s="360" t="s">
        <v>782</v>
      </c>
      <c r="E445" s="360" t="s">
        <v>808</v>
      </c>
      <c r="F445" s="347" t="str">
        <f t="shared" si="264"/>
        <v>240V 1Ø</v>
      </c>
      <c r="G445" s="361" t="str" cm="1">
        <f t="array" ref="G445">IFERROR(VLOOKUP(H445&amp;"|"&amp;I445,CHOOSE({1,2},[1]MATERIALES!$B$168:$B$175&amp;"|"&amp;[1]MATERIALES!$C$168:$C$175,[1]MATERIALES!$D$168:$D$175),2,0),"-")</f>
        <v>Tomacorriente 20A 250V Matix</v>
      </c>
      <c r="H445" s="373" t="s">
        <v>382</v>
      </c>
      <c r="I445" s="373" t="s">
        <v>386</v>
      </c>
      <c r="J445" s="316"/>
      <c r="K445" s="345" t="str">
        <f t="shared" si="271"/>
        <v>Unid.</v>
      </c>
      <c r="L445" s="218">
        <v>1</v>
      </c>
      <c r="M445" s="248">
        <f>IFERROR(VLOOKUP(G445,[1]MATERIALES!$D$5:$I$1368,2,FALSE),0)</f>
        <v>0</v>
      </c>
      <c r="N445" s="367">
        <f t="shared" si="261"/>
        <v>0</v>
      </c>
      <c r="O445" s="140">
        <f t="shared" si="266"/>
        <v>0</v>
      </c>
      <c r="P445" s="367">
        <f t="shared" si="267"/>
        <v>0</v>
      </c>
      <c r="Q445" s="140">
        <f t="shared" si="262"/>
        <v>0</v>
      </c>
      <c r="R445" s="368">
        <f t="shared" si="263"/>
        <v>0</v>
      </c>
      <c r="S445" s="140">
        <f t="shared" si="268"/>
        <v>0</v>
      </c>
      <c r="T445" s="139">
        <f t="shared" si="269"/>
        <v>0</v>
      </c>
      <c r="U445" s="357"/>
      <c r="V445" s="358"/>
      <c r="W445" s="144"/>
    </row>
    <row r="446" spans="1:23" ht="15" hidden="1" customHeight="1" outlineLevel="1" thickBot="1">
      <c r="A446" s="353"/>
      <c r="B446" s="359">
        <f t="shared" si="238"/>
        <v>21.160000000000025</v>
      </c>
      <c r="C446" s="360" t="s">
        <v>807</v>
      </c>
      <c r="D446" s="360" t="s">
        <v>782</v>
      </c>
      <c r="E446" s="360" t="s">
        <v>808</v>
      </c>
      <c r="F446" s="347" t="str">
        <f t="shared" si="264"/>
        <v>240V 1Ø</v>
      </c>
      <c r="G446" s="361" t="str" cm="1">
        <f t="array" ref="G446">IFERROR(VLOOKUP(H446&amp;"|"&amp;I446,CHOOSE({1,2},[1]MATERIALES!$B$176:$B$185&amp;"|"&amp;[1]MATERIALES!$C$176:$C$185,[1]MATERIALES!$D$176:$D$185),2,0),"-")</f>
        <v>-</v>
      </c>
      <c r="H446" s="366" t="str">
        <f>H445</f>
        <v>MATIX</v>
      </c>
      <c r="I446" s="373" t="s">
        <v>394</v>
      </c>
      <c r="J446" s="316"/>
      <c r="K446" s="345" t="str">
        <f t="shared" si="271"/>
        <v>Unid.</v>
      </c>
      <c r="L446" s="345">
        <f>L445</f>
        <v>1</v>
      </c>
      <c r="M446" s="248">
        <f>IFERROR(VLOOKUP(G446,[1]MATERIALES!$D$5:$I$1368,2,FALSE),0)</f>
        <v>0</v>
      </c>
      <c r="N446" s="367">
        <f t="shared" si="261"/>
        <v>0</v>
      </c>
      <c r="O446" s="140">
        <f t="shared" si="266"/>
        <v>0</v>
      </c>
      <c r="P446" s="367">
        <f t="shared" si="267"/>
        <v>0</v>
      </c>
      <c r="Q446" s="140">
        <f t="shared" si="262"/>
        <v>0</v>
      </c>
      <c r="R446" s="368">
        <f t="shared" si="263"/>
        <v>0</v>
      </c>
      <c r="S446" s="140">
        <f t="shared" si="268"/>
        <v>0</v>
      </c>
      <c r="T446" s="139">
        <f t="shared" si="269"/>
        <v>0</v>
      </c>
      <c r="U446" s="357"/>
      <c r="V446" s="358"/>
      <c r="W446" s="144"/>
    </row>
    <row r="447" spans="1:23" ht="15" hidden="1" customHeight="1" outlineLevel="1" thickBot="1">
      <c r="A447" s="353"/>
      <c r="B447" s="359">
        <f t="shared" si="238"/>
        <v>21.170000000000027</v>
      </c>
      <c r="C447" s="360" t="s">
        <v>807</v>
      </c>
      <c r="D447" s="360" t="s">
        <v>782</v>
      </c>
      <c r="E447" s="360" t="s">
        <v>808</v>
      </c>
      <c r="F447" s="347" t="str">
        <f t="shared" si="264"/>
        <v>240V 1Ø</v>
      </c>
      <c r="G447" s="371" t="s">
        <v>422</v>
      </c>
      <c r="H447" s="316"/>
      <c r="I447" s="316"/>
      <c r="J447" s="316"/>
      <c r="K447" s="345" t="str">
        <f t="shared" si="271"/>
        <v>Unid.</v>
      </c>
      <c r="L447" s="345">
        <f>3*(L436)</f>
        <v>6</v>
      </c>
      <c r="M447" s="248">
        <f>IFERROR(VLOOKUP(G447,[1]MATERIALES!$D$5:$I$1368,2,FALSE),0)</f>
        <v>0</v>
      </c>
      <c r="N447" s="367">
        <f t="shared" si="261"/>
        <v>0</v>
      </c>
      <c r="O447" s="140">
        <f t="shared" si="266"/>
        <v>0</v>
      </c>
      <c r="P447" s="367">
        <f t="shared" si="267"/>
        <v>0</v>
      </c>
      <c r="Q447" s="140">
        <f t="shared" si="262"/>
        <v>0</v>
      </c>
      <c r="R447" s="368">
        <f t="shared" si="263"/>
        <v>0</v>
      </c>
      <c r="S447" s="140">
        <f t="shared" si="268"/>
        <v>0</v>
      </c>
      <c r="T447" s="139">
        <f t="shared" si="269"/>
        <v>0</v>
      </c>
      <c r="U447" s="357" t="e">
        <f>SUM(R447:R449)</f>
        <v>#VALUE!</v>
      </c>
      <c r="V447" s="358" t="e">
        <f>'[1]1. OFERTA'!#REF!</f>
        <v>#REF!</v>
      </c>
      <c r="W447" s="144" t="e">
        <f>U447-V447</f>
        <v>#VALUE!</v>
      </c>
    </row>
    <row r="448" spans="1:23" ht="15" hidden="1" customHeight="1" outlineLevel="1" thickBot="1">
      <c r="A448" s="353"/>
      <c r="B448" s="359">
        <f t="shared" si="238"/>
        <v>21.180000000000028</v>
      </c>
      <c r="C448" s="360" t="s">
        <v>807</v>
      </c>
      <c r="D448" s="360" t="s">
        <v>782</v>
      </c>
      <c r="E448" s="360" t="s">
        <v>808</v>
      </c>
      <c r="F448" s="347" t="str">
        <f t="shared" si="264"/>
        <v>240V 1Ø</v>
      </c>
      <c r="G448" s="374" t="s">
        <v>424</v>
      </c>
      <c r="H448" s="316"/>
      <c r="I448" s="316"/>
      <c r="J448" s="316"/>
      <c r="K448" s="345" t="s">
        <v>784</v>
      </c>
      <c r="L448" s="28">
        <f>ROUNDUP(L435+L436+L438,0)</f>
        <v>25</v>
      </c>
      <c r="M448" s="248">
        <f>IFERROR(VLOOKUP(G448,[1]MATERIALES!$D$5:$I$1368,2,FALSE),0)</f>
        <v>0</v>
      </c>
      <c r="N448" s="367">
        <f t="shared" si="261"/>
        <v>0</v>
      </c>
      <c r="O448" s="140">
        <f t="shared" si="266"/>
        <v>0</v>
      </c>
      <c r="P448" s="367">
        <f t="shared" si="267"/>
        <v>0</v>
      </c>
      <c r="Q448" s="140">
        <f t="shared" si="262"/>
        <v>0</v>
      </c>
      <c r="R448" s="368">
        <f t="shared" si="263"/>
        <v>0</v>
      </c>
      <c r="S448" s="140">
        <f t="shared" si="268"/>
        <v>0</v>
      </c>
      <c r="T448" s="139">
        <f t="shared" si="269"/>
        <v>0</v>
      </c>
      <c r="U448" s="357"/>
      <c r="V448" s="358"/>
      <c r="W448" s="144"/>
    </row>
    <row r="449" spans="1:23" ht="15" hidden="1" customHeight="1" outlineLevel="1" thickBot="1">
      <c r="A449" s="353"/>
      <c r="B449" s="359">
        <f t="shared" si="238"/>
        <v>21.19000000000003</v>
      </c>
      <c r="C449" s="360" t="s">
        <v>807</v>
      </c>
      <c r="D449" s="360" t="s">
        <v>782</v>
      </c>
      <c r="E449" s="360" t="s">
        <v>808</v>
      </c>
      <c r="F449" s="347" t="str">
        <f t="shared" si="264"/>
        <v>240V 1Ø</v>
      </c>
      <c r="G449" s="374" t="s">
        <v>168</v>
      </c>
      <c r="H449" s="316"/>
      <c r="I449" s="316"/>
      <c r="J449" s="316"/>
      <c r="K449" s="345" t="s">
        <v>784</v>
      </c>
      <c r="L449" s="28">
        <f>L448</f>
        <v>25</v>
      </c>
      <c r="M449" s="248" t="str">
        <f>IFERROR(VLOOKUP(G449,[1]MATERIALES!$D$5:$I$1368,2,FALSE),0)</f>
        <v xml:space="preserve">Marba Dominicana </v>
      </c>
      <c r="N449" s="367" t="e">
        <f t="shared" si="261"/>
        <v>#VALUE!</v>
      </c>
      <c r="O449" s="140" t="e">
        <f t="shared" si="266"/>
        <v>#VALUE!</v>
      </c>
      <c r="P449" s="367" t="e">
        <f t="shared" si="267"/>
        <v>#VALUE!</v>
      </c>
      <c r="Q449" s="140" t="e">
        <f t="shared" si="262"/>
        <v>#VALUE!</v>
      </c>
      <c r="R449" s="368" t="e">
        <f t="shared" si="263"/>
        <v>#VALUE!</v>
      </c>
      <c r="S449" s="140">
        <f t="shared" si="268"/>
        <v>0</v>
      </c>
      <c r="T449" s="139">
        <f t="shared" si="269"/>
        <v>0</v>
      </c>
      <c r="U449" s="357"/>
      <c r="V449" s="358"/>
      <c r="W449" s="144"/>
    </row>
    <row r="450" spans="1:23" ht="15" customHeight="1" collapsed="1" thickBot="1">
      <c r="A450" s="353"/>
      <c r="B450" s="354">
        <v>22</v>
      </c>
      <c r="C450" s="355" t="s">
        <v>810</v>
      </c>
      <c r="D450" s="269" t="s">
        <v>782</v>
      </c>
      <c r="E450" s="269" t="s">
        <v>811</v>
      </c>
      <c r="F450" s="270" t="s">
        <v>809</v>
      </c>
      <c r="G450" s="271"/>
      <c r="H450" s="272"/>
      <c r="I450" s="272"/>
      <c r="J450" s="272"/>
      <c r="K450" s="268"/>
      <c r="L450" s="268"/>
      <c r="M450" s="273"/>
      <c r="N450" s="274"/>
      <c r="O450" s="273"/>
      <c r="P450" s="274"/>
      <c r="Q450" s="273"/>
      <c r="R450" s="275"/>
      <c r="S450" s="273"/>
      <c r="T450" s="276"/>
      <c r="U450" s="357" t="e">
        <f>SUM(R451:R469)</f>
        <v>#VALUE!</v>
      </c>
      <c r="V450" s="358" t="e">
        <f>'[1]1. OFERTA'!#REF!</f>
        <v>#REF!</v>
      </c>
      <c r="W450" s="144" t="e">
        <f>U450-V450</f>
        <v>#VALUE!</v>
      </c>
    </row>
    <row r="451" spans="1:23" ht="15" hidden="1" customHeight="1" outlineLevel="1" thickBot="1">
      <c r="A451" s="353"/>
      <c r="B451" s="359">
        <f t="shared" si="238"/>
        <v>22.01</v>
      </c>
      <c r="C451" s="360" t="s">
        <v>810</v>
      </c>
      <c r="D451" s="360" t="s">
        <v>782</v>
      </c>
      <c r="E451" s="360" t="s">
        <v>811</v>
      </c>
      <c r="F451" s="347" t="s">
        <v>809</v>
      </c>
      <c r="G451" s="361" t="str">
        <f>IF(H451="PVC",VLOOKUP(I451,[1]MATERIALES!$C$5:$D$11,2,FALSE),IF(H451="EMT",VLOOKUP(I451,[1]MATERIALES!$C$40:$D$46,2,FALSE),IF(H451="IMC",VLOOKUP(I451,[1]MATERIALES!$C$82:$D$88,2,FALSE),IF(H451="LFNC",VLOOKUP(I451,[1]MATERIALES!$C$110:$D$116,2,FALSE),0))))</f>
        <v>Tubería PVC SDR-26 1/2"</v>
      </c>
      <c r="H451" s="362" t="s">
        <v>184</v>
      </c>
      <c r="I451" s="362" t="s">
        <v>216</v>
      </c>
      <c r="J451" s="362">
        <v>6.33</v>
      </c>
      <c r="K451" s="134" t="str">
        <f>IF(OR(H451="Conductores Americanos",H451="Conductores Europeos"),"Pies","Unid.")</f>
        <v>Unid.</v>
      </c>
      <c r="L451" s="363">
        <f>IF(H451="PVC",ROUNDUP(J451/6,0),IF(H451="EMT",ROUNDUP(J451/3,0),IF(H451="IMC",ROUNDUP(J451/3,0),IF(H451="LFNC",ROUNDUP(3.28*J451,0),0))))</f>
        <v>2</v>
      </c>
      <c r="M451" s="248" t="str">
        <f>IFERROR(VLOOKUP(G451,[1]MATERIALES!$D$5:$I$1368,2,FALSE),0)</f>
        <v xml:space="preserve">Suplidores electricos </v>
      </c>
      <c r="N451" s="364" t="e">
        <f t="shared" ref="N451:N469" si="272">M451/$N$2</f>
        <v>#VALUE!</v>
      </c>
      <c r="O451" s="248" t="e">
        <f>+L451*M451</f>
        <v>#VALUE!</v>
      </c>
      <c r="P451" s="364" t="e">
        <f>L451*N451</f>
        <v>#VALUE!</v>
      </c>
      <c r="Q451" s="248" t="e">
        <f t="shared" ref="Q451:Q469" si="273">+$O451+($O451*$R$2)</f>
        <v>#VALUE!</v>
      </c>
      <c r="R451" s="365" t="e">
        <f t="shared" ref="R451:R469" si="274">+$P451+($P451*$R$2)</f>
        <v>#VALUE!</v>
      </c>
      <c r="S451" s="248">
        <f>+IFERROR(Q451/L451,0)</f>
        <v>0</v>
      </c>
      <c r="T451" s="146">
        <f>+IFERROR(R451/L451,0)</f>
        <v>0</v>
      </c>
      <c r="U451" s="357"/>
      <c r="V451" s="358"/>
      <c r="W451" s="144"/>
    </row>
    <row r="452" spans="1:23" ht="15" hidden="1" customHeight="1" outlineLevel="1" thickBot="1">
      <c r="A452" s="353"/>
      <c r="B452" s="359">
        <f t="shared" si="238"/>
        <v>22.020000000000003</v>
      </c>
      <c r="C452" s="360" t="s">
        <v>810</v>
      </c>
      <c r="D452" s="360" t="s">
        <v>782</v>
      </c>
      <c r="E452" s="360" t="s">
        <v>811</v>
      </c>
      <c r="F452" s="347" t="str">
        <f t="shared" ref="F452:F469" si="275">F451</f>
        <v>240V 1Ø</v>
      </c>
      <c r="G452" s="361" t="str">
        <f>IF(H452="PVC",VLOOKUP(I452,[1]MATERIALES!$C$12:$D$18,2,FALSE),IF(H452="EMT",VLOOKUP(I452,[1]MATERIALES!$C$47:$D$53,2,FALSE),IF(H452="IMC",VLOOKUP(I452,[1]MATERIALES!$C$89:$D$96,2,FALSE),"-")))</f>
        <v>Coupling PVC 1/2"</v>
      </c>
      <c r="H452" s="366" t="str">
        <f>H451</f>
        <v>PVC</v>
      </c>
      <c r="I452" s="366" t="str">
        <f>I451</f>
        <v>13mm</v>
      </c>
      <c r="J452" s="316"/>
      <c r="K452" s="345" t="str">
        <f t="shared" ref="K452:K459" si="276">IF(OR(H452="Conductores Americanos",H452="Conductores Europeos"),"Pies","Unid.")</f>
        <v>Unid.</v>
      </c>
      <c r="L452" s="28">
        <f>IF(H452="LFNC",0,L451)</f>
        <v>2</v>
      </c>
      <c r="M452" s="140" t="str">
        <f>IF(H452="LFNC",0,VLOOKUP(G452,[1]MATERIALES!$D$5:$I$1368,2,FALSE))</f>
        <v xml:space="preserve">Suplidores electricos </v>
      </c>
      <c r="N452" s="367" t="e">
        <f t="shared" si="272"/>
        <v>#VALUE!</v>
      </c>
      <c r="O452" s="140" t="e">
        <f t="shared" ref="O452:O469" si="277">+L452*M452</f>
        <v>#VALUE!</v>
      </c>
      <c r="P452" s="367" t="e">
        <f t="shared" ref="P452:P469" si="278">L452*N452</f>
        <v>#VALUE!</v>
      </c>
      <c r="Q452" s="140" t="e">
        <f t="shared" si="273"/>
        <v>#VALUE!</v>
      </c>
      <c r="R452" s="368" t="e">
        <f t="shared" si="274"/>
        <v>#VALUE!</v>
      </c>
      <c r="S452" s="140">
        <f t="shared" ref="S452:S469" si="279">+IFERROR(Q452/L452,0)</f>
        <v>0</v>
      </c>
      <c r="T452" s="139">
        <f t="shared" ref="T452:T469" si="280">+IFERROR(R452/L452,0)</f>
        <v>0</v>
      </c>
      <c r="U452" s="357"/>
      <c r="V452" s="358"/>
      <c r="W452" s="144"/>
    </row>
    <row r="453" spans="1:23" ht="15" hidden="1" customHeight="1" outlineLevel="1" thickBot="1">
      <c r="A453" s="353"/>
      <c r="B453" s="359">
        <f t="shared" si="238"/>
        <v>22.030000000000005</v>
      </c>
      <c r="C453" s="360" t="s">
        <v>810</v>
      </c>
      <c r="D453" s="360" t="s">
        <v>782</v>
      </c>
      <c r="E453" s="360" t="s">
        <v>811</v>
      </c>
      <c r="F453" s="347" t="str">
        <f t="shared" si="275"/>
        <v>240V 1Ø</v>
      </c>
      <c r="G453" s="361" t="str">
        <f>IF(H453="PVC",VLOOKUP(I453,[1]MATERIALES!$C$19:$D$25,2,FALSE),IF(H453="EMT",VLOOKUP(I453,[1]MATERIALES!$C$54:$D$60,2,FALSE),IF(H453="IMC",VLOOKUP(I453,[1]MATERIALES!$C$96:$D$102,2,FALSE),IF(H453="LFNC",VLOOKUP(I453,[1]MATERIALES!$C$117:$D$123,2,FALSE),0))))</f>
        <v>Adaptador Macho PVC 1/2"</v>
      </c>
      <c r="H453" s="366" t="str">
        <f>H451</f>
        <v>PVC</v>
      </c>
      <c r="I453" s="366" t="str">
        <f>I451</f>
        <v>13mm</v>
      </c>
      <c r="J453" s="316"/>
      <c r="K453" s="345" t="str">
        <f t="shared" si="276"/>
        <v>Unid.</v>
      </c>
      <c r="L453" s="28">
        <f>1+L456*2+L458</f>
        <v>3</v>
      </c>
      <c r="M453" s="248" t="str">
        <f>IFERROR(VLOOKUP(G453,[1]MATERIALES!$D$5:$I$1368,2,FALSE),0)</f>
        <v xml:space="preserve">Suplidores electricos </v>
      </c>
      <c r="N453" s="367" t="e">
        <f t="shared" si="272"/>
        <v>#VALUE!</v>
      </c>
      <c r="O453" s="140" t="e">
        <f t="shared" si="277"/>
        <v>#VALUE!</v>
      </c>
      <c r="P453" s="367" t="e">
        <f t="shared" si="278"/>
        <v>#VALUE!</v>
      </c>
      <c r="Q453" s="140" t="e">
        <f t="shared" si="273"/>
        <v>#VALUE!</v>
      </c>
      <c r="R453" s="368" t="e">
        <f t="shared" si="274"/>
        <v>#VALUE!</v>
      </c>
      <c r="S453" s="140">
        <f t="shared" si="279"/>
        <v>0</v>
      </c>
      <c r="T453" s="139">
        <f t="shared" si="280"/>
        <v>0</v>
      </c>
      <c r="U453" s="357"/>
      <c r="V453" s="358"/>
      <c r="W453" s="144"/>
    </row>
    <row r="454" spans="1:23" ht="15" hidden="1" customHeight="1" outlineLevel="1" thickBot="1">
      <c r="A454" s="353"/>
      <c r="B454" s="359">
        <f t="shared" si="238"/>
        <v>22.040000000000006</v>
      </c>
      <c r="C454" s="360" t="s">
        <v>810</v>
      </c>
      <c r="D454" s="360" t="s">
        <v>782</v>
      </c>
      <c r="E454" s="360" t="s">
        <v>811</v>
      </c>
      <c r="F454" s="347" t="str">
        <f t="shared" si="275"/>
        <v>240V 1Ø</v>
      </c>
      <c r="G454" s="361" t="str">
        <f>IF(H454="PVC",VLOOKUP(I454,[1]MATERIALES!$C$33:$D$39,2,FALSE),IF(H454="EMT",VLOOKUP(I454,[1]MATERIALES!$C$61:$D$67,2,FALSE),IF(H454="IMC",VLOOKUP(I454,[1]MATERIALES!$C$103:$D$109,2,FALSE),"-")))</f>
        <v>Curva 90 PVC SDR 1/2"</v>
      </c>
      <c r="H454" s="366" t="str">
        <f>H451</f>
        <v>PVC</v>
      </c>
      <c r="I454" s="366" t="str">
        <f>I451</f>
        <v>13mm</v>
      </c>
      <c r="J454" s="316"/>
      <c r="K454" s="345" t="str">
        <f t="shared" si="276"/>
        <v>Unid.</v>
      </c>
      <c r="L454" s="28">
        <f>IF(H454="LFNC",0,(1+L465))</f>
        <v>1</v>
      </c>
      <c r="M454" s="140" t="str">
        <f>IF(H454="LFNC",0,VLOOKUP(G454,[1]MATERIALES!$D$5:$I$1368,2,FALSE))</f>
        <v xml:space="preserve">Suplidores electricos </v>
      </c>
      <c r="N454" s="367" t="e">
        <f t="shared" si="272"/>
        <v>#VALUE!</v>
      </c>
      <c r="O454" s="140" t="e">
        <f t="shared" si="277"/>
        <v>#VALUE!</v>
      </c>
      <c r="P454" s="367" t="e">
        <f t="shared" si="278"/>
        <v>#VALUE!</v>
      </c>
      <c r="Q454" s="140" t="e">
        <f t="shared" si="273"/>
        <v>#VALUE!</v>
      </c>
      <c r="R454" s="368" t="e">
        <f t="shared" si="274"/>
        <v>#VALUE!</v>
      </c>
      <c r="S454" s="140">
        <f t="shared" si="279"/>
        <v>0</v>
      </c>
      <c r="T454" s="139">
        <f t="shared" si="280"/>
        <v>0</v>
      </c>
      <c r="U454" s="357"/>
      <c r="V454" s="358"/>
      <c r="W454" s="144"/>
    </row>
    <row r="455" spans="1:23" ht="15" hidden="1" customHeight="1" outlineLevel="1" thickBot="1">
      <c r="A455" s="353"/>
      <c r="B455" s="359">
        <f t="shared" ref="B455:B469" si="281">B454+0.01</f>
        <v>22.050000000000008</v>
      </c>
      <c r="C455" s="360" t="s">
        <v>810</v>
      </c>
      <c r="D455" s="360" t="s">
        <v>782</v>
      </c>
      <c r="E455" s="360" t="s">
        <v>811</v>
      </c>
      <c r="F455" s="347" t="str">
        <f t="shared" si="275"/>
        <v>240V 1Ø</v>
      </c>
      <c r="G455" s="361" t="str">
        <f>VLOOKUP(I455,[1]MATERIALES!$C$68:$D$74,2,FALSE)</f>
        <v>Abrazadera EMT 1/2'' </v>
      </c>
      <c r="H455" s="316"/>
      <c r="I455" s="366" t="str">
        <f>I451</f>
        <v>13mm</v>
      </c>
      <c r="J455" s="316"/>
      <c r="K455" s="345" t="str">
        <f t="shared" si="276"/>
        <v>Unid.</v>
      </c>
      <c r="L455" s="28">
        <f>ROUNDUP(J451,0)</f>
        <v>7</v>
      </c>
      <c r="M455" s="248" t="str">
        <f>IFERROR(VLOOKUP(G455,[1]MATERIALES!$D$5:$I$1368,2,FALSE),0)</f>
        <v xml:space="preserve">Suplidores electricos </v>
      </c>
      <c r="N455" s="367" t="e">
        <f t="shared" si="272"/>
        <v>#VALUE!</v>
      </c>
      <c r="O455" s="140" t="e">
        <f t="shared" si="277"/>
        <v>#VALUE!</v>
      </c>
      <c r="P455" s="367" t="e">
        <f t="shared" si="278"/>
        <v>#VALUE!</v>
      </c>
      <c r="Q455" s="140" t="e">
        <f t="shared" si="273"/>
        <v>#VALUE!</v>
      </c>
      <c r="R455" s="368" t="e">
        <f t="shared" si="274"/>
        <v>#VALUE!</v>
      </c>
      <c r="S455" s="140">
        <f t="shared" si="279"/>
        <v>0</v>
      </c>
      <c r="T455" s="139">
        <f t="shared" si="280"/>
        <v>0</v>
      </c>
      <c r="U455" s="357"/>
      <c r="V455" s="358"/>
      <c r="W455" s="144"/>
    </row>
    <row r="456" spans="1:23" ht="15" hidden="1" customHeight="1" outlineLevel="1" thickBot="1">
      <c r="A456" s="353"/>
      <c r="B456" s="359">
        <f t="shared" si="281"/>
        <v>22.060000000000009</v>
      </c>
      <c r="C456" s="360" t="s">
        <v>810</v>
      </c>
      <c r="D456" s="360" t="s">
        <v>782</v>
      </c>
      <c r="E456" s="360" t="s">
        <v>811</v>
      </c>
      <c r="F456" s="347" t="str">
        <f t="shared" si="275"/>
        <v>240V 1Ø</v>
      </c>
      <c r="G456" s="361" t="str" cm="1">
        <f t="array" ref="G456">_xlfn.SWITCH(I456,"13mm",(IF(H456="Rectangular",VLOOKUP(I456,[1]MATERIALES!$C$124:$D$125,2,FALSE),IF(H456="Octagonal",VLOOKUP(I456,[1]MATERIALES!$C$126:$D$127,2,FALSE),IF(H456="WP",VLOOKUP(I456,[1]MATERIALES!$C$128:$D$129,2,FALSE),IF(H456="5x5",VLOOKUP(I456,[1]MATERIALES!$C$130:$D$132,2,FALSE)))))),"19mm",(IF(H456="Rectangular",VLOOKUP(I456,[1]MATERIALES!$C$124:$D$125,2,FALSE),IF(H456="Octagonal",VLOOKUP(I456,[1]MATERIALES!$C$126:$D$127,2,FALSE),IF(H456="WP",VLOOKUP(I456,[1]MATERIALES!$C$128:$D$129,2,FALSE),IF(H456="5x5",VLOOKUP(I456,[1]MATERIALES!$C$130:$D$132,2,FALSE)))))),"25mm",IF(H456="Rectangular","-",IF(H456="Octagonal","--",IF(H456="WP","---",IF(H456="5x5",VLOOKUP(I456,[1]MATERIALES!$C$130:$D$132,2,FALSE),0)))),"38mm","-","50mm","-","75mm","-","100mm","-")</f>
        <v>Caja octagonal EMT 1/2" USA UL</v>
      </c>
      <c r="H456" s="369" t="s">
        <v>194</v>
      </c>
      <c r="I456" s="366" t="str">
        <f>I451</f>
        <v>13mm</v>
      </c>
      <c r="J456" s="316"/>
      <c r="K456" s="345" t="str">
        <f t="shared" si="276"/>
        <v>Unid.</v>
      </c>
      <c r="L456" s="28">
        <f>1+L465</f>
        <v>1</v>
      </c>
      <c r="M456" s="248" t="str">
        <f>IFERROR(VLOOKUP(G456,[1]MATERIALES!$D$5:$I$1368,2,FALSE),0)</f>
        <v xml:space="preserve">Suplidores electricos </v>
      </c>
      <c r="N456" s="367" t="e">
        <f t="shared" si="272"/>
        <v>#VALUE!</v>
      </c>
      <c r="O456" s="140" t="e">
        <f t="shared" si="277"/>
        <v>#VALUE!</v>
      </c>
      <c r="P456" s="367" t="e">
        <f t="shared" si="278"/>
        <v>#VALUE!</v>
      </c>
      <c r="Q456" s="140" t="e">
        <f t="shared" si="273"/>
        <v>#VALUE!</v>
      </c>
      <c r="R456" s="368" t="e">
        <f t="shared" si="274"/>
        <v>#VALUE!</v>
      </c>
      <c r="S456" s="140">
        <f t="shared" si="279"/>
        <v>0</v>
      </c>
      <c r="T456" s="139">
        <f t="shared" si="280"/>
        <v>0</v>
      </c>
      <c r="U456" s="357"/>
      <c r="V456" s="358"/>
      <c r="W456" s="144"/>
    </row>
    <row r="457" spans="1:23" ht="15" hidden="1" customHeight="1" outlineLevel="1" thickBot="1">
      <c r="A457" s="353"/>
      <c r="B457" s="359">
        <f t="shared" si="281"/>
        <v>22.070000000000011</v>
      </c>
      <c r="C457" s="360" t="s">
        <v>810</v>
      </c>
      <c r="D457" s="360" t="s">
        <v>782</v>
      </c>
      <c r="E457" s="360" t="s">
        <v>811</v>
      </c>
      <c r="F457" s="347" t="str">
        <f t="shared" si="275"/>
        <v>240V 1Ø</v>
      </c>
      <c r="G457" s="370" t="str">
        <f>IF(H457="Rectangular",[1]MATERIALES!$D$133,IF(H456="Octagonal",[1]MATERIALES!$D$134,IF(H456="WP",[1]MATERIALES!$D$135,IF(H456="5x5",[1]MATERIALES!$D$136,0))))</f>
        <v>Tapa caja EMT 2x4 Inoxidable.</v>
      </c>
      <c r="H457" s="369" t="str">
        <f>H456</f>
        <v>Octagonal</v>
      </c>
      <c r="I457" s="366" t="str">
        <f>I451</f>
        <v>13mm</v>
      </c>
      <c r="J457" s="316"/>
      <c r="K457" s="345" t="str">
        <f t="shared" si="276"/>
        <v>Unid.</v>
      </c>
      <c r="L457" s="28">
        <f>L456</f>
        <v>1</v>
      </c>
      <c r="M457" s="248" t="str">
        <f>IFERROR(VLOOKUP(G457,[1]MATERIALES!$D$5:$I$1368,2,FALSE),0)</f>
        <v xml:space="preserve">Suplidores electricos </v>
      </c>
      <c r="N457" s="367" t="e">
        <f t="shared" si="272"/>
        <v>#VALUE!</v>
      </c>
      <c r="O457" s="140" t="e">
        <f t="shared" si="277"/>
        <v>#VALUE!</v>
      </c>
      <c r="P457" s="367" t="e">
        <f t="shared" si="278"/>
        <v>#VALUE!</v>
      </c>
      <c r="Q457" s="140" t="e">
        <f t="shared" si="273"/>
        <v>#VALUE!</v>
      </c>
      <c r="R457" s="368" t="e">
        <f t="shared" si="274"/>
        <v>#VALUE!</v>
      </c>
      <c r="S457" s="140">
        <f t="shared" si="279"/>
        <v>0</v>
      </c>
      <c r="T457" s="139">
        <f t="shared" si="280"/>
        <v>0</v>
      </c>
      <c r="U457" s="357"/>
      <c r="V457" s="358"/>
      <c r="W457" s="144"/>
    </row>
    <row r="458" spans="1:23" ht="15" hidden="1" customHeight="1" outlineLevel="1" thickBot="1">
      <c r="A458" s="353"/>
      <c r="B458" s="359">
        <f t="shared" si="281"/>
        <v>22.080000000000013</v>
      </c>
      <c r="C458" s="360" t="s">
        <v>810</v>
      </c>
      <c r="D458" s="360" t="s">
        <v>782</v>
      </c>
      <c r="E458" s="360" t="s">
        <v>811</v>
      </c>
      <c r="F458" s="347" t="str">
        <f t="shared" si="275"/>
        <v>240V 1Ø</v>
      </c>
      <c r="G458" s="361" t="str" cm="1">
        <f t="array" ref="G458">_xlfn.SWITCH(I458,"13mm",(IF(H458="Rectangular",VLOOKUP(I458,[1]MATERIALES!$C$124:$D$125,2,FALSE),IF(H458="Octagonal",VLOOKUP(I458,[1]MATERIALES!$C$126:$D$127,2,FALSE),IF(H458="WP",VLOOKUP(I458,[1]MATERIALES!$C$128:$D$129,2,FALSE),IF(H458="5x5",VLOOKUP(I458,[1]MATERIALES!$C$130:$D$132,2,FALSE)))))),"19mm",(IF(H458="Rectangular",VLOOKUP(I458,[1]MATERIALES!$C$124:$D$125,2,FALSE),IF(H458="Octagonal",VLOOKUP(I458,[1]MATERIALES!$C$126:$D$127,2,FALSE),IF(H458="WP",VLOOKUP(I458,[1]MATERIALES!$C$128:$D$129,2,FALSE),IF(H458="5x5",VLOOKUP(I458,[1]MATERIALES!$C$130:$D$132,2,FALSE)))))),"25mm",IF(H458="Rectangular","-",IF(H458="Octagonal","--",IF(H458="WP","---",IF(H458="5x5",VLOOKUP(I458,[1]MATERIALES!$C$130:$D$132,2,FALSE),0)))),"38mm","-","50mm","-","75mm","-","100mm","-")</f>
        <v>Caja EMT 2x4 1/2" USA UL</v>
      </c>
      <c r="H458" s="369" t="s">
        <v>188</v>
      </c>
      <c r="I458" s="366" t="str">
        <f>I453</f>
        <v>13mm</v>
      </c>
      <c r="J458" s="316"/>
      <c r="K458" s="345" t="str">
        <f t="shared" si="276"/>
        <v>Unid.</v>
      </c>
      <c r="L458" s="28">
        <f>L465</f>
        <v>0</v>
      </c>
      <c r="M458" s="248" t="str">
        <f>IFERROR(VLOOKUP(G458,[1]MATERIALES!$D$5:$I$1368,2,FALSE),0)</f>
        <v xml:space="preserve">Suplidores electricos </v>
      </c>
      <c r="N458" s="367" t="e">
        <f t="shared" si="272"/>
        <v>#VALUE!</v>
      </c>
      <c r="O458" s="140" t="e">
        <f t="shared" si="277"/>
        <v>#VALUE!</v>
      </c>
      <c r="P458" s="367" t="e">
        <f t="shared" si="278"/>
        <v>#VALUE!</v>
      </c>
      <c r="Q458" s="140" t="e">
        <f t="shared" si="273"/>
        <v>#VALUE!</v>
      </c>
      <c r="R458" s="368" t="e">
        <f t="shared" si="274"/>
        <v>#VALUE!</v>
      </c>
      <c r="S458" s="140">
        <f t="shared" si="279"/>
        <v>0</v>
      </c>
      <c r="T458" s="139">
        <f t="shared" si="280"/>
        <v>0</v>
      </c>
      <c r="U458" s="357"/>
      <c r="V458" s="358"/>
      <c r="W458" s="144"/>
    </row>
    <row r="459" spans="1:23" ht="15" hidden="1" customHeight="1" outlineLevel="1" thickBot="1">
      <c r="A459" s="353"/>
      <c r="B459" s="359">
        <f t="shared" si="281"/>
        <v>22.090000000000014</v>
      </c>
      <c r="C459" s="360" t="s">
        <v>810</v>
      </c>
      <c r="D459" s="360" t="s">
        <v>782</v>
      </c>
      <c r="E459" s="360" t="s">
        <v>811</v>
      </c>
      <c r="F459" s="347" t="str">
        <f t="shared" si="275"/>
        <v>240V 1Ø</v>
      </c>
      <c r="G459" s="370" t="str">
        <f>IF(H459="Rectangular",[1]MATERIALES!$D$133,IF(H458="Octagonal",[1]MATERIALES!$D$134,IF(H458="WP",[1]MATERIALES!#REF!,IF(H458="5x5",[1]MATERIALES!$D$136,0))))</f>
        <v>CAJA REG. 12X12X4 N3R</v>
      </c>
      <c r="H459" s="369" t="str">
        <f>H458</f>
        <v>Rectangular</v>
      </c>
      <c r="I459" s="366" t="str">
        <f>I453</f>
        <v>13mm</v>
      </c>
      <c r="J459" s="316"/>
      <c r="K459" s="345" t="str">
        <f t="shared" si="276"/>
        <v>Unid.</v>
      </c>
      <c r="L459" s="28">
        <f>L458</f>
        <v>0</v>
      </c>
      <c r="M459" s="248" t="str">
        <f>IFERROR(VLOOKUP(G459,[1]MATERIALES!$D$5:$I$1368,2,FALSE),0)</f>
        <v xml:space="preserve">Suplidores electricos </v>
      </c>
      <c r="N459" s="367" t="e">
        <f t="shared" si="272"/>
        <v>#VALUE!</v>
      </c>
      <c r="O459" s="140" t="e">
        <f t="shared" si="277"/>
        <v>#VALUE!</v>
      </c>
      <c r="P459" s="367" t="e">
        <f t="shared" si="278"/>
        <v>#VALUE!</v>
      </c>
      <c r="Q459" s="140" t="e">
        <f t="shared" si="273"/>
        <v>#VALUE!</v>
      </c>
      <c r="R459" s="368" t="e">
        <f t="shared" si="274"/>
        <v>#VALUE!</v>
      </c>
      <c r="S459" s="140">
        <f t="shared" si="279"/>
        <v>0</v>
      </c>
      <c r="T459" s="139">
        <f t="shared" si="280"/>
        <v>0</v>
      </c>
      <c r="U459" s="357"/>
      <c r="V459" s="358"/>
      <c r="W459" s="144"/>
    </row>
    <row r="460" spans="1:23" ht="15" hidden="1" customHeight="1" outlineLevel="1" thickBot="1">
      <c r="A460" s="353"/>
      <c r="B460" s="359">
        <f t="shared" si="281"/>
        <v>22.100000000000016</v>
      </c>
      <c r="C460" s="360" t="s">
        <v>810</v>
      </c>
      <c r="D460" s="360" t="s">
        <v>782</v>
      </c>
      <c r="E460" s="360" t="s">
        <v>811</v>
      </c>
      <c r="F460" s="347" t="str">
        <f t="shared" si="275"/>
        <v>240V 1Ø</v>
      </c>
      <c r="G460" s="371" t="str">
        <f>"Fase A"&amp;": "&amp;I460</f>
        <v>Fase A: Conductor 12 AWG THHN</v>
      </c>
      <c r="H460" s="366" t="s">
        <v>181</v>
      </c>
      <c r="I460" s="366" t="s">
        <v>189</v>
      </c>
      <c r="J460" s="366">
        <f>J451</f>
        <v>6.33</v>
      </c>
      <c r="K460" s="345" t="str">
        <f>IF(OR(H460="Conductores Americanos",H460="Conductores Europeos"),"Pies","Unid.")</f>
        <v>Pies</v>
      </c>
      <c r="L460" s="28">
        <f>ROUNDUP(J460*3.28,0)</f>
        <v>21</v>
      </c>
      <c r="M460" s="140" t="str">
        <f>VLOOKUP(I460,[1]MATERIALES!$D$5:$I$1368,2,FALSE)</f>
        <v xml:space="preserve">Suplidores electricos </v>
      </c>
      <c r="N460" s="367" t="e">
        <f t="shared" si="272"/>
        <v>#VALUE!</v>
      </c>
      <c r="O460" s="140" t="e">
        <f t="shared" si="277"/>
        <v>#VALUE!</v>
      </c>
      <c r="P460" s="367" t="e">
        <f t="shared" si="278"/>
        <v>#VALUE!</v>
      </c>
      <c r="Q460" s="140" t="e">
        <f t="shared" si="273"/>
        <v>#VALUE!</v>
      </c>
      <c r="R460" s="368" t="e">
        <f t="shared" si="274"/>
        <v>#VALUE!</v>
      </c>
      <c r="S460" s="140">
        <f t="shared" si="279"/>
        <v>0</v>
      </c>
      <c r="T460" s="139">
        <f t="shared" si="280"/>
        <v>0</v>
      </c>
      <c r="U460" s="357"/>
      <c r="V460" s="358"/>
      <c r="W460" s="144"/>
    </row>
    <row r="461" spans="1:23" ht="15" hidden="1" customHeight="1" outlineLevel="1" thickBot="1">
      <c r="A461" s="353"/>
      <c r="B461" s="359">
        <f t="shared" si="281"/>
        <v>22.110000000000017</v>
      </c>
      <c r="C461" s="360" t="s">
        <v>810</v>
      </c>
      <c r="D461" s="360" t="s">
        <v>782</v>
      </c>
      <c r="E461" s="360" t="s">
        <v>811</v>
      </c>
      <c r="F461" s="347" t="str">
        <f t="shared" si="275"/>
        <v>240V 1Ø</v>
      </c>
      <c r="G461" s="371" t="str">
        <f>IF(F461="120V 1Ø","-",("Fase B"&amp;": "&amp;I461))</f>
        <v>Fase B: Conductor 12 AWG THHN</v>
      </c>
      <c r="H461" s="366" t="str">
        <f t="shared" ref="H461:I463" si="282">H460</f>
        <v>Conductores Americanos</v>
      </c>
      <c r="I461" s="366" t="str">
        <f t="shared" si="282"/>
        <v>Conductor 12 AWG THHN</v>
      </c>
      <c r="J461" s="366">
        <f>IF(G461="-",0,J451)</f>
        <v>6.33</v>
      </c>
      <c r="K461" s="345" t="str">
        <f t="shared" ref="K461:K467" si="283">IF(OR(H461="Conductores Americanos",H461="Conductores Europeos"),"Pies","Unid.")</f>
        <v>Pies</v>
      </c>
      <c r="L461" s="28">
        <f>ROUNDUP(J461*3.28,0)</f>
        <v>21</v>
      </c>
      <c r="M461" s="140" t="str">
        <f>VLOOKUP(I461,[1]MATERIALES!$D$5:$I$1368,2,FALSE)</f>
        <v xml:space="preserve">Suplidores electricos </v>
      </c>
      <c r="N461" s="367" t="e">
        <f t="shared" si="272"/>
        <v>#VALUE!</v>
      </c>
      <c r="O461" s="140" t="e">
        <f t="shared" si="277"/>
        <v>#VALUE!</v>
      </c>
      <c r="P461" s="367" t="e">
        <f t="shared" si="278"/>
        <v>#VALUE!</v>
      </c>
      <c r="Q461" s="140" t="e">
        <f t="shared" si="273"/>
        <v>#VALUE!</v>
      </c>
      <c r="R461" s="368" t="e">
        <f t="shared" si="274"/>
        <v>#VALUE!</v>
      </c>
      <c r="S461" s="140">
        <f t="shared" si="279"/>
        <v>0</v>
      </c>
      <c r="T461" s="139">
        <f t="shared" si="280"/>
        <v>0</v>
      </c>
      <c r="U461" s="357"/>
      <c r="V461" s="358"/>
      <c r="W461" s="144"/>
    </row>
    <row r="462" spans="1:23" ht="15" hidden="1" customHeight="1" outlineLevel="1" thickBot="1">
      <c r="A462" s="353"/>
      <c r="B462" s="359">
        <f t="shared" si="281"/>
        <v>22.120000000000019</v>
      </c>
      <c r="C462" s="360" t="s">
        <v>810</v>
      </c>
      <c r="D462" s="360" t="s">
        <v>782</v>
      </c>
      <c r="E462" s="360" t="s">
        <v>811</v>
      </c>
      <c r="F462" s="347" t="str">
        <f t="shared" si="275"/>
        <v>240V 1Ø</v>
      </c>
      <c r="G462" s="371" t="str">
        <f>IF(F462="120V 1Ø","-",IF(F462="240V 1Ø","-",("Fase C"&amp;": "&amp;I460)))</f>
        <v>-</v>
      </c>
      <c r="H462" s="366" t="str">
        <f t="shared" si="282"/>
        <v>Conductores Americanos</v>
      </c>
      <c r="I462" s="366" t="str">
        <f t="shared" si="282"/>
        <v>Conductor 12 AWG THHN</v>
      </c>
      <c r="J462" s="366">
        <f>IF(G462="-",0,J451)</f>
        <v>0</v>
      </c>
      <c r="K462" s="345" t="str">
        <f t="shared" si="283"/>
        <v>Pies</v>
      </c>
      <c r="L462" s="28">
        <f>ROUNDUP(J462*3.28,0)</f>
        <v>0</v>
      </c>
      <c r="M462" s="140" t="str">
        <f>VLOOKUP(I462,[1]MATERIALES!$D$5:$I$1368,2,FALSE)</f>
        <v xml:space="preserve">Suplidores electricos </v>
      </c>
      <c r="N462" s="367" t="e">
        <f t="shared" si="272"/>
        <v>#VALUE!</v>
      </c>
      <c r="O462" s="140" t="e">
        <f t="shared" si="277"/>
        <v>#VALUE!</v>
      </c>
      <c r="P462" s="367" t="e">
        <f t="shared" si="278"/>
        <v>#VALUE!</v>
      </c>
      <c r="Q462" s="140" t="e">
        <f t="shared" si="273"/>
        <v>#VALUE!</v>
      </c>
      <c r="R462" s="368" t="e">
        <f t="shared" si="274"/>
        <v>#VALUE!</v>
      </c>
      <c r="S462" s="140">
        <f t="shared" si="279"/>
        <v>0</v>
      </c>
      <c r="T462" s="139">
        <f t="shared" si="280"/>
        <v>0</v>
      </c>
      <c r="U462" s="357"/>
      <c r="V462" s="358"/>
      <c r="W462" s="144"/>
    </row>
    <row r="463" spans="1:23" ht="15" hidden="1" customHeight="1" outlineLevel="1" thickBot="1">
      <c r="A463" s="353"/>
      <c r="B463" s="359">
        <f t="shared" si="281"/>
        <v>22.13000000000002</v>
      </c>
      <c r="C463" s="360" t="s">
        <v>810</v>
      </c>
      <c r="D463" s="360" t="s">
        <v>782</v>
      </c>
      <c r="E463" s="360" t="s">
        <v>811</v>
      </c>
      <c r="F463" s="347" t="str">
        <f t="shared" si="275"/>
        <v>240V 1Ø</v>
      </c>
      <c r="G463" s="372" t="str">
        <f>IF(F463="240V 1Ø","-",IF(F463="480V 3Ø","-",("Neutro"&amp;": "&amp;I460)))</f>
        <v>-</v>
      </c>
      <c r="H463" s="366" t="str">
        <f t="shared" si="282"/>
        <v>Conductores Americanos</v>
      </c>
      <c r="I463" s="366" t="str">
        <f t="shared" si="282"/>
        <v>Conductor 12 AWG THHN</v>
      </c>
      <c r="J463" s="366">
        <f>IF(G463="-",0,J451)</f>
        <v>0</v>
      </c>
      <c r="K463" s="345" t="str">
        <f t="shared" si="283"/>
        <v>Pies</v>
      </c>
      <c r="L463" s="28">
        <f>ROUNDUP(J463*3.28,0)</f>
        <v>0</v>
      </c>
      <c r="M463" s="140" t="str">
        <f>VLOOKUP(I463,[1]MATERIALES!$D$5:$I$1368,2,FALSE)</f>
        <v xml:space="preserve">Suplidores electricos </v>
      </c>
      <c r="N463" s="367" t="e">
        <f t="shared" si="272"/>
        <v>#VALUE!</v>
      </c>
      <c r="O463" s="140" t="e">
        <f t="shared" si="277"/>
        <v>#VALUE!</v>
      </c>
      <c r="P463" s="367" t="e">
        <f t="shared" si="278"/>
        <v>#VALUE!</v>
      </c>
      <c r="Q463" s="140" t="e">
        <f t="shared" si="273"/>
        <v>#VALUE!</v>
      </c>
      <c r="R463" s="368" t="e">
        <f t="shared" si="274"/>
        <v>#VALUE!</v>
      </c>
      <c r="S463" s="140">
        <f t="shared" si="279"/>
        <v>0</v>
      </c>
      <c r="T463" s="139">
        <f t="shared" si="280"/>
        <v>0</v>
      </c>
      <c r="U463" s="357"/>
      <c r="V463" s="358"/>
      <c r="W463" s="144"/>
    </row>
    <row r="464" spans="1:23" ht="15" hidden="1" customHeight="1" outlineLevel="1" thickBot="1">
      <c r="A464" s="353"/>
      <c r="B464" s="359">
        <f t="shared" si="281"/>
        <v>22.140000000000022</v>
      </c>
      <c r="C464" s="360" t="s">
        <v>810</v>
      </c>
      <c r="D464" s="360" t="s">
        <v>782</v>
      </c>
      <c r="E464" s="360" t="s">
        <v>811</v>
      </c>
      <c r="F464" s="347" t="str">
        <f t="shared" si="275"/>
        <v>240V 1Ø</v>
      </c>
      <c r="G464" s="372" t="str">
        <f>"Tierra"&amp;": "&amp;I464</f>
        <v>Tierra: Conductor 12 AWG THHN</v>
      </c>
      <c r="H464" s="366" t="str">
        <f>H463</f>
        <v>Conductores Americanos</v>
      </c>
      <c r="I464" s="366" t="str">
        <f>I463</f>
        <v>Conductor 12 AWG THHN</v>
      </c>
      <c r="J464" s="366">
        <f>J451</f>
        <v>6.33</v>
      </c>
      <c r="K464" s="345" t="str">
        <f t="shared" si="283"/>
        <v>Pies</v>
      </c>
      <c r="L464" s="28">
        <f>ROUNDUP(J464*3.28,0)</f>
        <v>21</v>
      </c>
      <c r="M464" s="140" t="str">
        <f>VLOOKUP(I464,[1]MATERIALES!$D$5:$I$1368,2,FALSE)</f>
        <v xml:space="preserve">Suplidores electricos </v>
      </c>
      <c r="N464" s="367" t="e">
        <f t="shared" si="272"/>
        <v>#VALUE!</v>
      </c>
      <c r="O464" s="140" t="e">
        <f t="shared" si="277"/>
        <v>#VALUE!</v>
      </c>
      <c r="P464" s="367" t="e">
        <f t="shared" si="278"/>
        <v>#VALUE!</v>
      </c>
      <c r="Q464" s="140" t="e">
        <f t="shared" si="273"/>
        <v>#VALUE!</v>
      </c>
      <c r="R464" s="368" t="e">
        <f t="shared" si="274"/>
        <v>#VALUE!</v>
      </c>
      <c r="S464" s="140">
        <f t="shared" si="279"/>
        <v>0</v>
      </c>
      <c r="T464" s="139">
        <f t="shared" si="280"/>
        <v>0</v>
      </c>
      <c r="U464" s="357"/>
      <c r="V464" s="358"/>
      <c r="W464" s="144"/>
    </row>
    <row r="465" spans="1:23" ht="15" hidden="1" customHeight="1" outlineLevel="1" thickBot="1">
      <c r="A465" s="353"/>
      <c r="B465" s="359">
        <f t="shared" si="281"/>
        <v>22.150000000000023</v>
      </c>
      <c r="C465" s="360" t="s">
        <v>810</v>
      </c>
      <c r="D465" s="360" t="s">
        <v>782</v>
      </c>
      <c r="E465" s="360" t="s">
        <v>811</v>
      </c>
      <c r="F465" s="347" t="str">
        <f t="shared" si="275"/>
        <v>240V 1Ø</v>
      </c>
      <c r="G465" s="361" t="str" cm="1">
        <f t="array" ref="G465">IFERROR(VLOOKUP(H465&amp;"|"&amp;I465,CHOOSE({1,2},[1]MATERIALES!$B$168:$B$175&amp;"|"&amp;[1]MATERIALES!$C$168:$C$175,[1]MATERIALES!$D$168:$D$175),2,0),"-")</f>
        <v>Tomacorriente 15A Matix (AM5115D + 503SB/SA)</v>
      </c>
      <c r="H465" s="373" t="s">
        <v>382</v>
      </c>
      <c r="I465" s="373" t="s">
        <v>380</v>
      </c>
      <c r="J465" s="316"/>
      <c r="K465" s="345" t="str">
        <f t="shared" si="283"/>
        <v>Unid.</v>
      </c>
      <c r="L465" s="218">
        <v>0</v>
      </c>
      <c r="M465" s="248">
        <f>IFERROR(VLOOKUP(G465,[1]MATERIALES!$D$5:$I$1368,2,FALSE),0)</f>
        <v>0</v>
      </c>
      <c r="N465" s="367">
        <f t="shared" si="272"/>
        <v>0</v>
      </c>
      <c r="O465" s="140">
        <f t="shared" si="277"/>
        <v>0</v>
      </c>
      <c r="P465" s="367">
        <f t="shared" si="278"/>
        <v>0</v>
      </c>
      <c r="Q465" s="140">
        <f t="shared" si="273"/>
        <v>0</v>
      </c>
      <c r="R465" s="368">
        <f t="shared" si="274"/>
        <v>0</v>
      </c>
      <c r="S465" s="140">
        <f t="shared" si="279"/>
        <v>0</v>
      </c>
      <c r="T465" s="139">
        <f t="shared" si="280"/>
        <v>0</v>
      </c>
      <c r="U465" s="357"/>
      <c r="V465" s="358"/>
      <c r="W465" s="144"/>
    </row>
    <row r="466" spans="1:23" ht="15" hidden="1" customHeight="1" outlineLevel="1" thickBot="1">
      <c r="A466" s="353"/>
      <c r="B466" s="359">
        <f t="shared" si="281"/>
        <v>22.160000000000025</v>
      </c>
      <c r="C466" s="360" t="s">
        <v>810</v>
      </c>
      <c r="D466" s="360" t="s">
        <v>782</v>
      </c>
      <c r="E466" s="360" t="s">
        <v>811</v>
      </c>
      <c r="F466" s="347" t="str">
        <f t="shared" si="275"/>
        <v>240V 1Ø</v>
      </c>
      <c r="G466" s="361" t="str" cm="1">
        <f t="array" ref="G466">IFERROR(VLOOKUP(H466&amp;"|"&amp;I466,CHOOSE({1,2},[1]MATERIALES!$B$176:$B$185&amp;"|"&amp;[1]MATERIALES!$C$176:$C$185,[1]MATERIALES!$D$176:$D$185),2,0),"-")</f>
        <v>Tapa para tomacorriente MATIX (AM503/3N)</v>
      </c>
      <c r="H466" s="366" t="str">
        <f>H465</f>
        <v>MATIX</v>
      </c>
      <c r="I466" s="373" t="s">
        <v>392</v>
      </c>
      <c r="J466" s="316"/>
      <c r="K466" s="345" t="str">
        <f t="shared" si="283"/>
        <v>Unid.</v>
      </c>
      <c r="L466" s="345">
        <f>L465</f>
        <v>0</v>
      </c>
      <c r="M466" s="248">
        <f>IFERROR(VLOOKUP(G466,[1]MATERIALES!$D$5:$I$1368,2,FALSE),0)</f>
        <v>0</v>
      </c>
      <c r="N466" s="367">
        <f t="shared" si="272"/>
        <v>0</v>
      </c>
      <c r="O466" s="140">
        <f t="shared" si="277"/>
        <v>0</v>
      </c>
      <c r="P466" s="367">
        <f t="shared" si="278"/>
        <v>0</v>
      </c>
      <c r="Q466" s="140">
        <f t="shared" si="273"/>
        <v>0</v>
      </c>
      <c r="R466" s="368">
        <f t="shared" si="274"/>
        <v>0</v>
      </c>
      <c r="S466" s="140">
        <f t="shared" si="279"/>
        <v>0</v>
      </c>
      <c r="T466" s="139">
        <f t="shared" si="280"/>
        <v>0</v>
      </c>
      <c r="U466" s="357"/>
      <c r="V466" s="358"/>
      <c r="W466" s="144"/>
    </row>
    <row r="467" spans="1:23" ht="15" hidden="1" customHeight="1" outlineLevel="1" thickBot="1">
      <c r="A467" s="353"/>
      <c r="B467" s="359">
        <f t="shared" si="281"/>
        <v>22.170000000000027</v>
      </c>
      <c r="C467" s="360" t="s">
        <v>810</v>
      </c>
      <c r="D467" s="360" t="s">
        <v>782</v>
      </c>
      <c r="E467" s="360" t="s">
        <v>811</v>
      </c>
      <c r="F467" s="347" t="str">
        <f t="shared" si="275"/>
        <v>240V 1Ø</v>
      </c>
      <c r="G467" s="371" t="s">
        <v>422</v>
      </c>
      <c r="H467" s="316"/>
      <c r="I467" s="316"/>
      <c r="J467" s="316"/>
      <c r="K467" s="345" t="str">
        <f t="shared" si="283"/>
        <v>Unid.</v>
      </c>
      <c r="L467" s="345">
        <f>3*(L456)</f>
        <v>3</v>
      </c>
      <c r="M467" s="248">
        <f>IFERROR(VLOOKUP(G467,[1]MATERIALES!$D$5:$I$1368,2,FALSE),0)</f>
        <v>0</v>
      </c>
      <c r="N467" s="367">
        <f t="shared" si="272"/>
        <v>0</v>
      </c>
      <c r="O467" s="140">
        <f t="shared" si="277"/>
        <v>0</v>
      </c>
      <c r="P467" s="367">
        <f t="shared" si="278"/>
        <v>0</v>
      </c>
      <c r="Q467" s="140">
        <f t="shared" si="273"/>
        <v>0</v>
      </c>
      <c r="R467" s="368">
        <f t="shared" si="274"/>
        <v>0</v>
      </c>
      <c r="S467" s="140">
        <f t="shared" si="279"/>
        <v>0</v>
      </c>
      <c r="T467" s="139">
        <f t="shared" si="280"/>
        <v>0</v>
      </c>
      <c r="U467" s="357" t="e">
        <f>SUM(R467:R469)</f>
        <v>#VALUE!</v>
      </c>
      <c r="V467" s="358" t="e">
        <f>'[1]1. OFERTA'!#REF!</f>
        <v>#REF!</v>
      </c>
      <c r="W467" s="144" t="e">
        <f>U467-V467</f>
        <v>#VALUE!</v>
      </c>
    </row>
    <row r="468" spans="1:23" ht="15" hidden="1" customHeight="1" outlineLevel="1" thickBot="1">
      <c r="A468" s="353"/>
      <c r="B468" s="359">
        <f t="shared" si="281"/>
        <v>22.180000000000028</v>
      </c>
      <c r="C468" s="360" t="s">
        <v>810</v>
      </c>
      <c r="D468" s="360" t="s">
        <v>782</v>
      </c>
      <c r="E468" s="360" t="s">
        <v>811</v>
      </c>
      <c r="F468" s="347" t="str">
        <f t="shared" si="275"/>
        <v>240V 1Ø</v>
      </c>
      <c r="G468" s="374" t="s">
        <v>424</v>
      </c>
      <c r="H468" s="316"/>
      <c r="I468" s="316"/>
      <c r="J468" s="316"/>
      <c r="K468" s="345" t="s">
        <v>784</v>
      </c>
      <c r="L468" s="28">
        <f>ROUNDUP(L455+L456+L458,0)</f>
        <v>8</v>
      </c>
      <c r="M468" s="248">
        <f>IFERROR(VLOOKUP(G468,[1]MATERIALES!$D$5:$I$1368,2,FALSE),0)</f>
        <v>0</v>
      </c>
      <c r="N468" s="367">
        <f t="shared" si="272"/>
        <v>0</v>
      </c>
      <c r="O468" s="140">
        <f t="shared" si="277"/>
        <v>0</v>
      </c>
      <c r="P468" s="367">
        <f t="shared" si="278"/>
        <v>0</v>
      </c>
      <c r="Q468" s="140">
        <f t="shared" si="273"/>
        <v>0</v>
      </c>
      <c r="R468" s="368">
        <f t="shared" si="274"/>
        <v>0</v>
      </c>
      <c r="S468" s="140">
        <f t="shared" si="279"/>
        <v>0</v>
      </c>
      <c r="T468" s="139">
        <f t="shared" si="280"/>
        <v>0</v>
      </c>
      <c r="U468" s="357"/>
      <c r="V468" s="358"/>
      <c r="W468" s="144"/>
    </row>
    <row r="469" spans="1:23" ht="15" hidden="1" customHeight="1" outlineLevel="1" thickBot="1">
      <c r="A469" s="353"/>
      <c r="B469" s="359">
        <f t="shared" si="281"/>
        <v>22.19000000000003</v>
      </c>
      <c r="C469" s="360" t="s">
        <v>810</v>
      </c>
      <c r="D469" s="360" t="s">
        <v>782</v>
      </c>
      <c r="E469" s="360" t="s">
        <v>811</v>
      </c>
      <c r="F469" s="347" t="str">
        <f t="shared" si="275"/>
        <v>240V 1Ø</v>
      </c>
      <c r="G469" s="374" t="s">
        <v>168</v>
      </c>
      <c r="H469" s="316"/>
      <c r="I469" s="316"/>
      <c r="J469" s="316"/>
      <c r="K469" s="345" t="s">
        <v>784</v>
      </c>
      <c r="L469" s="28">
        <f>L468</f>
        <v>8</v>
      </c>
      <c r="M469" s="248" t="str">
        <f>IFERROR(VLOOKUP(G469,[1]MATERIALES!$D$5:$I$1368,2,FALSE),0)</f>
        <v xml:space="preserve">Marba Dominicana </v>
      </c>
      <c r="N469" s="367" t="e">
        <f t="shared" si="272"/>
        <v>#VALUE!</v>
      </c>
      <c r="O469" s="140" t="e">
        <f t="shared" si="277"/>
        <v>#VALUE!</v>
      </c>
      <c r="P469" s="367" t="e">
        <f t="shared" si="278"/>
        <v>#VALUE!</v>
      </c>
      <c r="Q469" s="140" t="e">
        <f t="shared" si="273"/>
        <v>#VALUE!</v>
      </c>
      <c r="R469" s="368" t="e">
        <f t="shared" si="274"/>
        <v>#VALUE!</v>
      </c>
      <c r="S469" s="140">
        <f t="shared" si="279"/>
        <v>0</v>
      </c>
      <c r="T469" s="139">
        <f t="shared" si="280"/>
        <v>0</v>
      </c>
      <c r="U469" s="357"/>
      <c r="V469" s="358"/>
      <c r="W469" s="144"/>
    </row>
    <row r="470" spans="1:23" ht="15" customHeight="1" collapsed="1" thickBot="1">
      <c r="A470" s="353"/>
      <c r="B470" s="354">
        <v>23</v>
      </c>
      <c r="C470" s="355" t="s">
        <v>812</v>
      </c>
      <c r="D470" s="269" t="s">
        <v>782</v>
      </c>
      <c r="E470" s="269" t="s">
        <v>813</v>
      </c>
      <c r="F470" s="270" t="s">
        <v>809</v>
      </c>
      <c r="G470" s="271"/>
      <c r="H470" s="272"/>
      <c r="I470" s="272"/>
      <c r="J470" s="272"/>
      <c r="K470" s="268"/>
      <c r="L470" s="268"/>
      <c r="M470" s="273"/>
      <c r="N470" s="274"/>
      <c r="O470" s="273"/>
      <c r="P470" s="274"/>
      <c r="Q470" s="273"/>
      <c r="R470" s="275"/>
      <c r="S470" s="273"/>
      <c r="T470" s="276"/>
      <c r="U470" s="357" t="e">
        <f>SUM(R471:R489)</f>
        <v>#VALUE!</v>
      </c>
      <c r="V470" s="358" t="e">
        <f>'[1]1. OFERTA'!#REF!</f>
        <v>#REF!</v>
      </c>
      <c r="W470" s="144" t="e">
        <f>U470-V470</f>
        <v>#VALUE!</v>
      </c>
    </row>
    <row r="471" spans="1:23" ht="15" hidden="1" customHeight="1" outlineLevel="1" thickBot="1">
      <c r="A471" s="353"/>
      <c r="B471" s="359">
        <f t="shared" ref="B471:B534" si="284">B470+0.01</f>
        <v>23.01</v>
      </c>
      <c r="C471" s="360" t="s">
        <v>812</v>
      </c>
      <c r="D471" s="360" t="s">
        <v>782</v>
      </c>
      <c r="E471" s="360" t="s">
        <v>813</v>
      </c>
      <c r="F471" s="347" t="s">
        <v>809</v>
      </c>
      <c r="G471" s="361" t="str">
        <f>IF(H471="PVC",VLOOKUP(I471,[1]MATERIALES!$C$5:$D$11,2,FALSE),IF(H471="EMT",VLOOKUP(I471,[1]MATERIALES!$C$40:$D$46,2,FALSE),IF(H471="IMC",VLOOKUP(I471,[1]MATERIALES!$C$82:$D$88,2,FALSE),IF(H471="LFNC",VLOOKUP(I471,[1]MATERIALES!$C$110:$D$116,2,FALSE),0))))</f>
        <v>Tubería PVC SDR-26 3/4"</v>
      </c>
      <c r="H471" s="362" t="s">
        <v>184</v>
      </c>
      <c r="I471" s="362" t="s">
        <v>212</v>
      </c>
      <c r="J471" s="362">
        <v>12.39</v>
      </c>
      <c r="K471" s="134" t="str">
        <f>IF(OR(H471="Conductores Americanos",H471="Conductores Europeos"),"Pies","Unid.")</f>
        <v>Unid.</v>
      </c>
      <c r="L471" s="363">
        <f>IF(H471="PVC",ROUNDUP(J471/6,0),IF(H471="EMT",ROUNDUP(J471/3,0),IF(H471="IMC",ROUNDUP(J471/3,0),IF(H471="LFNC",ROUNDUP(3.28*J471,0),0))))</f>
        <v>3</v>
      </c>
      <c r="M471" s="248" t="str">
        <f>IFERROR(VLOOKUP(G471,[1]MATERIALES!$D$5:$I$1368,2,FALSE),0)</f>
        <v xml:space="preserve">Suplidores electricos </v>
      </c>
      <c r="N471" s="364" t="e">
        <f t="shared" ref="N471:N489" si="285">M471/$N$2</f>
        <v>#VALUE!</v>
      </c>
      <c r="O471" s="248" t="e">
        <f>+L471*M471</f>
        <v>#VALUE!</v>
      </c>
      <c r="P471" s="364" t="e">
        <f>L471*N471</f>
        <v>#VALUE!</v>
      </c>
      <c r="Q471" s="248" t="e">
        <f t="shared" ref="Q471:Q489" si="286">+$O471+($O471*$R$2)</f>
        <v>#VALUE!</v>
      </c>
      <c r="R471" s="365" t="e">
        <f t="shared" ref="R471:R489" si="287">+$P471+($P471*$R$2)</f>
        <v>#VALUE!</v>
      </c>
      <c r="S471" s="248">
        <f>+IFERROR(Q471/L471,0)</f>
        <v>0</v>
      </c>
      <c r="T471" s="146">
        <f>+IFERROR(R471/L471,0)</f>
        <v>0</v>
      </c>
      <c r="U471" s="357"/>
      <c r="V471" s="358"/>
      <c r="W471" s="144"/>
    </row>
    <row r="472" spans="1:23" ht="15" hidden="1" customHeight="1" outlineLevel="1" thickBot="1">
      <c r="A472" s="353"/>
      <c r="B472" s="359">
        <f t="shared" si="284"/>
        <v>23.020000000000003</v>
      </c>
      <c r="C472" s="360" t="s">
        <v>812</v>
      </c>
      <c r="D472" s="360" t="s">
        <v>782</v>
      </c>
      <c r="E472" s="360" t="s">
        <v>813</v>
      </c>
      <c r="F472" s="347" t="str">
        <f t="shared" ref="F472:F489" si="288">F471</f>
        <v>240V 1Ø</v>
      </c>
      <c r="G472" s="361" t="str">
        <f>IF(H472="PVC",VLOOKUP(I472,[1]MATERIALES!$C$12:$D$18,2,FALSE),IF(H472="EMT",VLOOKUP(I472,[1]MATERIALES!$C$47:$D$53,2,FALSE),IF(H472="IMC",VLOOKUP(I472,[1]MATERIALES!$C$89:$D$96,2,FALSE),"-")))</f>
        <v>Coupling PVC 3/4"</v>
      </c>
      <c r="H472" s="366" t="str">
        <f>H471</f>
        <v>PVC</v>
      </c>
      <c r="I472" s="366" t="str">
        <f>I471</f>
        <v>19mm</v>
      </c>
      <c r="J472" s="316"/>
      <c r="K472" s="345" t="str">
        <f t="shared" ref="K472:K479" si="289">IF(OR(H472="Conductores Americanos",H472="Conductores Europeos"),"Pies","Unid.")</f>
        <v>Unid.</v>
      </c>
      <c r="L472" s="28">
        <f>IF(H472="LFNC",0,L471)</f>
        <v>3</v>
      </c>
      <c r="M472" s="140" t="str">
        <f>IF(H472="LFNC",0,VLOOKUP(G472,[1]MATERIALES!$D$5:$I$1368,2,FALSE))</f>
        <v xml:space="preserve">Suplidores electricos </v>
      </c>
      <c r="N472" s="367" t="e">
        <f t="shared" si="285"/>
        <v>#VALUE!</v>
      </c>
      <c r="O472" s="140" t="e">
        <f t="shared" ref="O472:O489" si="290">+L472*M472</f>
        <v>#VALUE!</v>
      </c>
      <c r="P472" s="367" t="e">
        <f t="shared" ref="P472:P489" si="291">L472*N472</f>
        <v>#VALUE!</v>
      </c>
      <c r="Q472" s="140" t="e">
        <f t="shared" si="286"/>
        <v>#VALUE!</v>
      </c>
      <c r="R472" s="368" t="e">
        <f t="shared" si="287"/>
        <v>#VALUE!</v>
      </c>
      <c r="S472" s="140">
        <f t="shared" ref="S472:S489" si="292">+IFERROR(Q472/L472,0)</f>
        <v>0</v>
      </c>
      <c r="T472" s="139">
        <f t="shared" ref="T472:T489" si="293">+IFERROR(R472/L472,0)</f>
        <v>0</v>
      </c>
      <c r="U472" s="357"/>
      <c r="V472" s="358"/>
      <c r="W472" s="144"/>
    </row>
    <row r="473" spans="1:23" ht="15" hidden="1" customHeight="1" outlineLevel="1" thickBot="1">
      <c r="A473" s="353"/>
      <c r="B473" s="359">
        <f t="shared" si="284"/>
        <v>23.030000000000005</v>
      </c>
      <c r="C473" s="360" t="s">
        <v>812</v>
      </c>
      <c r="D473" s="360" t="s">
        <v>782</v>
      </c>
      <c r="E473" s="360" t="s">
        <v>813</v>
      </c>
      <c r="F473" s="347" t="str">
        <f t="shared" si="288"/>
        <v>240V 1Ø</v>
      </c>
      <c r="G473" s="361" t="str">
        <f>IF(H473="PVC",VLOOKUP(I473,[1]MATERIALES!$C$19:$D$25,2,FALSE),IF(H473="EMT",VLOOKUP(I473,[1]MATERIALES!$C$54:$D$60,2,FALSE),IF(H473="IMC",VLOOKUP(I473,[1]MATERIALES!$C$96:$D$102,2,FALSE),IF(H473="LFNC",VLOOKUP(I473,[1]MATERIALES!$C$117:$D$123,2,FALSE),0))))</f>
        <v>Adaptador Macho PVC 3/4"</v>
      </c>
      <c r="H473" s="366" t="str">
        <f>H471</f>
        <v>PVC</v>
      </c>
      <c r="I473" s="366" t="str">
        <f>I471</f>
        <v>19mm</v>
      </c>
      <c r="J473" s="316"/>
      <c r="K473" s="345" t="str">
        <f t="shared" si="289"/>
        <v>Unid.</v>
      </c>
      <c r="L473" s="28">
        <f>1+L476*2+L478</f>
        <v>3</v>
      </c>
      <c r="M473" s="248" t="str">
        <f>IFERROR(VLOOKUP(G473,[1]MATERIALES!$D$5:$I$1368,2,FALSE),0)</f>
        <v xml:space="preserve">Suplidores electricos </v>
      </c>
      <c r="N473" s="367" t="e">
        <f t="shared" si="285"/>
        <v>#VALUE!</v>
      </c>
      <c r="O473" s="140" t="e">
        <f t="shared" si="290"/>
        <v>#VALUE!</v>
      </c>
      <c r="P473" s="367" t="e">
        <f t="shared" si="291"/>
        <v>#VALUE!</v>
      </c>
      <c r="Q473" s="140" t="e">
        <f t="shared" si="286"/>
        <v>#VALUE!</v>
      </c>
      <c r="R473" s="368" t="e">
        <f t="shared" si="287"/>
        <v>#VALUE!</v>
      </c>
      <c r="S473" s="140">
        <f t="shared" si="292"/>
        <v>0</v>
      </c>
      <c r="T473" s="139">
        <f t="shared" si="293"/>
        <v>0</v>
      </c>
      <c r="U473" s="357"/>
      <c r="V473" s="358"/>
      <c r="W473" s="144"/>
    </row>
    <row r="474" spans="1:23" ht="15" hidden="1" customHeight="1" outlineLevel="1" thickBot="1">
      <c r="A474" s="353"/>
      <c r="B474" s="359">
        <f t="shared" si="284"/>
        <v>23.040000000000006</v>
      </c>
      <c r="C474" s="360" t="s">
        <v>812</v>
      </c>
      <c r="D474" s="360" t="s">
        <v>782</v>
      </c>
      <c r="E474" s="360" t="s">
        <v>813</v>
      </c>
      <c r="F474" s="347" t="str">
        <f t="shared" si="288"/>
        <v>240V 1Ø</v>
      </c>
      <c r="G474" s="361" t="str">
        <f>IF(H474="PVC",VLOOKUP(I474,[1]MATERIALES!$C$33:$D$39,2,FALSE),IF(H474="EMT",VLOOKUP(I474,[1]MATERIALES!$C$61:$D$67,2,FALSE),IF(H474="IMC",VLOOKUP(I474,[1]MATERIALES!$C$103:$D$109,2,FALSE),"-")))</f>
        <v>Curva 90 PVC SDR 3/4"</v>
      </c>
      <c r="H474" s="366" t="str">
        <f>H471</f>
        <v>PVC</v>
      </c>
      <c r="I474" s="366" t="str">
        <f>I471</f>
        <v>19mm</v>
      </c>
      <c r="J474" s="316"/>
      <c r="K474" s="345" t="str">
        <f t="shared" si="289"/>
        <v>Unid.</v>
      </c>
      <c r="L474" s="28">
        <f>IF(H474="LFNC",0,(1+L485))</f>
        <v>1</v>
      </c>
      <c r="M474" s="140" t="str">
        <f>IF(H474="LFNC",0,VLOOKUP(G474,[1]MATERIALES!$D$5:$I$1368,2,FALSE))</f>
        <v xml:space="preserve">Suplidores electricos </v>
      </c>
      <c r="N474" s="367" t="e">
        <f t="shared" si="285"/>
        <v>#VALUE!</v>
      </c>
      <c r="O474" s="140" t="e">
        <f t="shared" si="290"/>
        <v>#VALUE!</v>
      </c>
      <c r="P474" s="367" t="e">
        <f t="shared" si="291"/>
        <v>#VALUE!</v>
      </c>
      <c r="Q474" s="140" t="e">
        <f t="shared" si="286"/>
        <v>#VALUE!</v>
      </c>
      <c r="R474" s="368" t="e">
        <f t="shared" si="287"/>
        <v>#VALUE!</v>
      </c>
      <c r="S474" s="140">
        <f t="shared" si="292"/>
        <v>0</v>
      </c>
      <c r="T474" s="139">
        <f t="shared" si="293"/>
        <v>0</v>
      </c>
      <c r="U474" s="357"/>
      <c r="V474" s="358"/>
      <c r="W474" s="144"/>
    </row>
    <row r="475" spans="1:23" ht="15" hidden="1" customHeight="1" outlineLevel="1" thickBot="1">
      <c r="A475" s="353"/>
      <c r="B475" s="359">
        <f t="shared" si="284"/>
        <v>23.050000000000008</v>
      </c>
      <c r="C475" s="360" t="s">
        <v>812</v>
      </c>
      <c r="D475" s="360" t="s">
        <v>782</v>
      </c>
      <c r="E475" s="360" t="s">
        <v>813</v>
      </c>
      <c r="F475" s="347" t="str">
        <f t="shared" si="288"/>
        <v>240V 1Ø</v>
      </c>
      <c r="G475" s="361" t="str">
        <f>VLOOKUP(I475,[1]MATERIALES!$C$68:$D$74,2,FALSE)</f>
        <v>Abrazadera EMT 3/4'' </v>
      </c>
      <c r="H475" s="316"/>
      <c r="I475" s="366" t="str">
        <f>I471</f>
        <v>19mm</v>
      </c>
      <c r="J475" s="316"/>
      <c r="K475" s="345" t="str">
        <f t="shared" si="289"/>
        <v>Unid.</v>
      </c>
      <c r="L475" s="28">
        <f>ROUNDUP(J471,0)</f>
        <v>13</v>
      </c>
      <c r="M475" s="248" t="str">
        <f>IFERROR(VLOOKUP(G475,[1]MATERIALES!$D$5:$I$1368,2,FALSE),0)</f>
        <v xml:space="preserve">Suplidores electricos </v>
      </c>
      <c r="N475" s="367" t="e">
        <f t="shared" si="285"/>
        <v>#VALUE!</v>
      </c>
      <c r="O475" s="140" t="e">
        <f t="shared" si="290"/>
        <v>#VALUE!</v>
      </c>
      <c r="P475" s="367" t="e">
        <f t="shared" si="291"/>
        <v>#VALUE!</v>
      </c>
      <c r="Q475" s="140" t="e">
        <f t="shared" si="286"/>
        <v>#VALUE!</v>
      </c>
      <c r="R475" s="368" t="e">
        <f t="shared" si="287"/>
        <v>#VALUE!</v>
      </c>
      <c r="S475" s="140">
        <f t="shared" si="292"/>
        <v>0</v>
      </c>
      <c r="T475" s="139">
        <f t="shared" si="293"/>
        <v>0</v>
      </c>
      <c r="U475" s="357"/>
      <c r="V475" s="358"/>
      <c r="W475" s="144"/>
    </row>
    <row r="476" spans="1:23" ht="15" hidden="1" customHeight="1" outlineLevel="1" thickBot="1">
      <c r="A476" s="353"/>
      <c r="B476" s="359">
        <f t="shared" si="284"/>
        <v>23.060000000000009</v>
      </c>
      <c r="C476" s="360" t="s">
        <v>812</v>
      </c>
      <c r="D476" s="360" t="s">
        <v>782</v>
      </c>
      <c r="E476" s="360" t="s">
        <v>813</v>
      </c>
      <c r="F476" s="347" t="str">
        <f t="shared" si="288"/>
        <v>240V 1Ø</v>
      </c>
      <c r="G476" s="361" t="str" cm="1">
        <f t="array" ref="G476">_xlfn.SWITCH(I476,"13mm",(IF(H476="Rectangular",VLOOKUP(I476,[1]MATERIALES!$C$124:$D$125,2,FALSE),IF(H476="Octagonal",VLOOKUP(I476,[1]MATERIALES!$C$126:$D$127,2,FALSE),IF(H476="WP",VLOOKUP(I476,[1]MATERIALES!$C$128:$D$129,2,FALSE),IF(H476="5x5",VLOOKUP(I476,[1]MATERIALES!$C$130:$D$132,2,FALSE)))))),"19mm",(IF(H476="Rectangular",VLOOKUP(I476,[1]MATERIALES!$C$124:$D$125,2,FALSE),IF(H476="Octagonal",VLOOKUP(I476,[1]MATERIALES!$C$126:$D$127,2,FALSE),IF(H476="WP",VLOOKUP(I476,[1]MATERIALES!$C$128:$D$129,2,FALSE),IF(H476="5x5",VLOOKUP(I476,[1]MATERIALES!$C$130:$D$132,2,FALSE)))))),"25mm",IF(H476="Rectangular","-",IF(H476="Octagonal","--",IF(H476="WP","---",IF(H476="5x5",VLOOKUP(I476,[1]MATERIALES!$C$130:$D$132,2,FALSE),0)))),"38mm","-","50mm","-","75mm","-","100mm","-")</f>
        <v>Caja octagonal EMT 3/4" USA UL</v>
      </c>
      <c r="H476" s="369" t="s">
        <v>194</v>
      </c>
      <c r="I476" s="366" t="str">
        <f>I471</f>
        <v>19mm</v>
      </c>
      <c r="J476" s="316"/>
      <c r="K476" s="345" t="str">
        <f t="shared" si="289"/>
        <v>Unid.</v>
      </c>
      <c r="L476" s="28">
        <f>1+L485</f>
        <v>1</v>
      </c>
      <c r="M476" s="248" t="str">
        <f>IFERROR(VLOOKUP(G476,[1]MATERIALES!$D$5:$I$1368,2,FALSE),0)</f>
        <v xml:space="preserve">Suplidores electricos </v>
      </c>
      <c r="N476" s="367" t="e">
        <f t="shared" si="285"/>
        <v>#VALUE!</v>
      </c>
      <c r="O476" s="140" t="e">
        <f t="shared" si="290"/>
        <v>#VALUE!</v>
      </c>
      <c r="P476" s="367" t="e">
        <f t="shared" si="291"/>
        <v>#VALUE!</v>
      </c>
      <c r="Q476" s="140" t="e">
        <f t="shared" si="286"/>
        <v>#VALUE!</v>
      </c>
      <c r="R476" s="368" t="e">
        <f t="shared" si="287"/>
        <v>#VALUE!</v>
      </c>
      <c r="S476" s="140">
        <f t="shared" si="292"/>
        <v>0</v>
      </c>
      <c r="T476" s="139">
        <f t="shared" si="293"/>
        <v>0</v>
      </c>
      <c r="U476" s="357"/>
      <c r="V476" s="358"/>
      <c r="W476" s="144"/>
    </row>
    <row r="477" spans="1:23" ht="15" hidden="1" customHeight="1" outlineLevel="1" thickBot="1">
      <c r="A477" s="353"/>
      <c r="B477" s="359">
        <f t="shared" si="284"/>
        <v>23.070000000000011</v>
      </c>
      <c r="C477" s="360" t="s">
        <v>812</v>
      </c>
      <c r="D477" s="360" t="s">
        <v>782</v>
      </c>
      <c r="E477" s="360" t="s">
        <v>813</v>
      </c>
      <c r="F477" s="347" t="str">
        <f t="shared" si="288"/>
        <v>240V 1Ø</v>
      </c>
      <c r="G477" s="370" t="str">
        <f>IF(H477="Rectangular",[1]MATERIALES!$D$133,IF(H476="Octagonal",[1]MATERIALES!$D$134,IF(H476="WP",[1]MATERIALES!$D$135,IF(H476="5x5",[1]MATERIALES!$D$136,0))))</f>
        <v>Tapa caja EMT 2x4 Inoxidable.</v>
      </c>
      <c r="H477" s="369" t="str">
        <f>H476</f>
        <v>Octagonal</v>
      </c>
      <c r="I477" s="366" t="str">
        <f>I471</f>
        <v>19mm</v>
      </c>
      <c r="J477" s="316"/>
      <c r="K477" s="345" t="str">
        <f t="shared" si="289"/>
        <v>Unid.</v>
      </c>
      <c r="L477" s="28">
        <f>L476</f>
        <v>1</v>
      </c>
      <c r="M477" s="248" t="str">
        <f>IFERROR(VLOOKUP(G477,[1]MATERIALES!$D$5:$I$1368,2,FALSE),0)</f>
        <v xml:space="preserve">Suplidores electricos </v>
      </c>
      <c r="N477" s="367" t="e">
        <f t="shared" si="285"/>
        <v>#VALUE!</v>
      </c>
      <c r="O477" s="140" t="e">
        <f t="shared" si="290"/>
        <v>#VALUE!</v>
      </c>
      <c r="P477" s="367" t="e">
        <f t="shared" si="291"/>
        <v>#VALUE!</v>
      </c>
      <c r="Q477" s="140" t="e">
        <f t="shared" si="286"/>
        <v>#VALUE!</v>
      </c>
      <c r="R477" s="368" t="e">
        <f t="shared" si="287"/>
        <v>#VALUE!</v>
      </c>
      <c r="S477" s="140">
        <f t="shared" si="292"/>
        <v>0</v>
      </c>
      <c r="T477" s="139">
        <f t="shared" si="293"/>
        <v>0</v>
      </c>
      <c r="U477" s="357"/>
      <c r="V477" s="358"/>
      <c r="W477" s="144"/>
    </row>
    <row r="478" spans="1:23" ht="15" hidden="1" customHeight="1" outlineLevel="1" thickBot="1">
      <c r="A478" s="353"/>
      <c r="B478" s="359">
        <f t="shared" si="284"/>
        <v>23.080000000000013</v>
      </c>
      <c r="C478" s="360" t="s">
        <v>812</v>
      </c>
      <c r="D478" s="360" t="s">
        <v>782</v>
      </c>
      <c r="E478" s="360" t="s">
        <v>813</v>
      </c>
      <c r="F478" s="347" t="str">
        <f t="shared" si="288"/>
        <v>240V 1Ø</v>
      </c>
      <c r="G478" s="361" t="str" cm="1">
        <f t="array" ref="G478">_xlfn.SWITCH(I478,"13mm",(IF(H478="Rectangular",VLOOKUP(I478,[1]MATERIALES!$C$124:$D$125,2,FALSE),IF(H478="Octagonal",VLOOKUP(I478,[1]MATERIALES!$C$126:$D$127,2,FALSE),IF(H478="WP",VLOOKUP(I478,[1]MATERIALES!$C$128:$D$129,2,FALSE),IF(H478="5x5",VLOOKUP(I478,[1]MATERIALES!$C$130:$D$132,2,FALSE)))))),"19mm",(IF(H478="Rectangular",VLOOKUP(I478,[1]MATERIALES!$C$124:$D$125,2,FALSE),IF(H478="Octagonal",VLOOKUP(I478,[1]MATERIALES!$C$126:$D$127,2,FALSE),IF(H478="WP",VLOOKUP(I478,[1]MATERIALES!$C$128:$D$129,2,FALSE),IF(H478="5x5",VLOOKUP(I478,[1]MATERIALES!$C$130:$D$132,2,FALSE)))))),"25mm",IF(H478="Rectangular","-",IF(H478="Octagonal","--",IF(H478="WP","---",IF(H478="5x5",VLOOKUP(I478,[1]MATERIALES!$C$130:$D$132,2,FALSE),0)))),"38mm","-","50mm","-","75mm","-","100mm","-")</f>
        <v>Caja EMT 2x4 3/4" USA UL</v>
      </c>
      <c r="H478" s="369" t="s">
        <v>188</v>
      </c>
      <c r="I478" s="366" t="str">
        <f>I473</f>
        <v>19mm</v>
      </c>
      <c r="J478" s="316"/>
      <c r="K478" s="345" t="str">
        <f t="shared" si="289"/>
        <v>Unid.</v>
      </c>
      <c r="L478" s="28">
        <f>L485</f>
        <v>0</v>
      </c>
      <c r="M478" s="248" t="str">
        <f>IFERROR(VLOOKUP(G478,[1]MATERIALES!$D$5:$I$1368,2,FALSE),0)</f>
        <v xml:space="preserve">Suplidores electricos </v>
      </c>
      <c r="N478" s="367" t="e">
        <f t="shared" si="285"/>
        <v>#VALUE!</v>
      </c>
      <c r="O478" s="140" t="e">
        <f t="shared" si="290"/>
        <v>#VALUE!</v>
      </c>
      <c r="P478" s="367" t="e">
        <f t="shared" si="291"/>
        <v>#VALUE!</v>
      </c>
      <c r="Q478" s="140" t="e">
        <f t="shared" si="286"/>
        <v>#VALUE!</v>
      </c>
      <c r="R478" s="368" t="e">
        <f t="shared" si="287"/>
        <v>#VALUE!</v>
      </c>
      <c r="S478" s="140">
        <f t="shared" si="292"/>
        <v>0</v>
      </c>
      <c r="T478" s="139">
        <f t="shared" si="293"/>
        <v>0</v>
      </c>
      <c r="U478" s="357"/>
      <c r="V478" s="358"/>
      <c r="W478" s="144"/>
    </row>
    <row r="479" spans="1:23" ht="15" hidden="1" customHeight="1" outlineLevel="1" thickBot="1">
      <c r="A479" s="353"/>
      <c r="B479" s="359">
        <f t="shared" si="284"/>
        <v>23.090000000000014</v>
      </c>
      <c r="C479" s="360" t="s">
        <v>812</v>
      </c>
      <c r="D479" s="360" t="s">
        <v>782</v>
      </c>
      <c r="E479" s="360" t="s">
        <v>813</v>
      </c>
      <c r="F479" s="347" t="str">
        <f t="shared" si="288"/>
        <v>240V 1Ø</v>
      </c>
      <c r="G479" s="370" t="str">
        <f>IF(H479="Rectangular",[1]MATERIALES!$D$133,IF(H478="Octagonal",[1]MATERIALES!$D$134,IF(H478="WP",[1]MATERIALES!#REF!,IF(H478="5x5",[1]MATERIALES!$D$136,0))))</f>
        <v>CAJA REG. 12X12X4 N3R</v>
      </c>
      <c r="H479" s="369" t="str">
        <f>H478</f>
        <v>Rectangular</v>
      </c>
      <c r="I479" s="366" t="str">
        <f>I473</f>
        <v>19mm</v>
      </c>
      <c r="J479" s="316"/>
      <c r="K479" s="345" t="str">
        <f t="shared" si="289"/>
        <v>Unid.</v>
      </c>
      <c r="L479" s="28">
        <f>L478</f>
        <v>0</v>
      </c>
      <c r="M479" s="248" t="str">
        <f>IFERROR(VLOOKUP(G479,[1]MATERIALES!$D$5:$I$1368,2,FALSE),0)</f>
        <v xml:space="preserve">Suplidores electricos </v>
      </c>
      <c r="N479" s="367" t="e">
        <f t="shared" si="285"/>
        <v>#VALUE!</v>
      </c>
      <c r="O479" s="140" t="e">
        <f t="shared" si="290"/>
        <v>#VALUE!</v>
      </c>
      <c r="P479" s="367" t="e">
        <f t="shared" si="291"/>
        <v>#VALUE!</v>
      </c>
      <c r="Q479" s="140" t="e">
        <f t="shared" si="286"/>
        <v>#VALUE!</v>
      </c>
      <c r="R479" s="368" t="e">
        <f t="shared" si="287"/>
        <v>#VALUE!</v>
      </c>
      <c r="S479" s="140">
        <f t="shared" si="292"/>
        <v>0</v>
      </c>
      <c r="T479" s="139">
        <f t="shared" si="293"/>
        <v>0</v>
      </c>
      <c r="U479" s="357"/>
      <c r="V479" s="358"/>
      <c r="W479" s="144"/>
    </row>
    <row r="480" spans="1:23" ht="15" hidden="1" customHeight="1" outlineLevel="1" thickBot="1">
      <c r="A480" s="353"/>
      <c r="B480" s="359">
        <f t="shared" si="284"/>
        <v>23.100000000000016</v>
      </c>
      <c r="C480" s="360" t="s">
        <v>812</v>
      </c>
      <c r="D480" s="360" t="s">
        <v>782</v>
      </c>
      <c r="E480" s="360" t="s">
        <v>813</v>
      </c>
      <c r="F480" s="347" t="str">
        <f t="shared" si="288"/>
        <v>240V 1Ø</v>
      </c>
      <c r="G480" s="371" t="str">
        <f>"Fase A"&amp;": "&amp;I480</f>
        <v>Fase A: Conductor 10 AWG THHN</v>
      </c>
      <c r="H480" s="366" t="s">
        <v>181</v>
      </c>
      <c r="I480" s="366" t="s">
        <v>153</v>
      </c>
      <c r="J480" s="366">
        <f>J471</f>
        <v>12.39</v>
      </c>
      <c r="K480" s="345" t="str">
        <f>IF(OR(H480="Conductores Americanos",H480="Conductores Europeos"),"Pies","Unid.")</f>
        <v>Pies</v>
      </c>
      <c r="L480" s="28">
        <f>ROUNDUP(J480*3.28,0)</f>
        <v>41</v>
      </c>
      <c r="M480" s="140" t="str">
        <f>VLOOKUP(I480,[1]MATERIALES!$D$5:$I$1368,2,FALSE)</f>
        <v xml:space="preserve">Suplidores electricos </v>
      </c>
      <c r="N480" s="367" t="e">
        <f t="shared" si="285"/>
        <v>#VALUE!</v>
      </c>
      <c r="O480" s="140" t="e">
        <f t="shared" si="290"/>
        <v>#VALUE!</v>
      </c>
      <c r="P480" s="367" t="e">
        <f t="shared" si="291"/>
        <v>#VALUE!</v>
      </c>
      <c r="Q480" s="140" t="e">
        <f t="shared" si="286"/>
        <v>#VALUE!</v>
      </c>
      <c r="R480" s="368" t="e">
        <f t="shared" si="287"/>
        <v>#VALUE!</v>
      </c>
      <c r="S480" s="140">
        <f t="shared" si="292"/>
        <v>0</v>
      </c>
      <c r="T480" s="139">
        <f t="shared" si="293"/>
        <v>0</v>
      </c>
      <c r="U480" s="357"/>
      <c r="V480" s="358"/>
      <c r="W480" s="144"/>
    </row>
    <row r="481" spans="1:23" ht="15" hidden="1" customHeight="1" outlineLevel="1" thickBot="1">
      <c r="A481" s="353"/>
      <c r="B481" s="359">
        <f t="shared" si="284"/>
        <v>23.110000000000017</v>
      </c>
      <c r="C481" s="360" t="s">
        <v>812</v>
      </c>
      <c r="D481" s="360" t="s">
        <v>782</v>
      </c>
      <c r="E481" s="360" t="s">
        <v>813</v>
      </c>
      <c r="F481" s="347" t="str">
        <f t="shared" si="288"/>
        <v>240V 1Ø</v>
      </c>
      <c r="G481" s="371" t="str">
        <f>IF(F481="120V 1Ø","-",("Fase B"&amp;": "&amp;I481))</f>
        <v>Fase B: Conductor 10 AWG THHN</v>
      </c>
      <c r="H481" s="366" t="str">
        <f t="shared" ref="H481:I483" si="294">H480</f>
        <v>Conductores Americanos</v>
      </c>
      <c r="I481" s="366" t="str">
        <f t="shared" si="294"/>
        <v>Conductor 10 AWG THHN</v>
      </c>
      <c r="J481" s="366">
        <f>IF(G481="-",0,J471)</f>
        <v>12.39</v>
      </c>
      <c r="K481" s="345" t="str">
        <f t="shared" ref="K481:K487" si="295">IF(OR(H481="Conductores Americanos",H481="Conductores Europeos"),"Pies","Unid.")</f>
        <v>Pies</v>
      </c>
      <c r="L481" s="28">
        <f>ROUNDUP(J481*3.28,0)</f>
        <v>41</v>
      </c>
      <c r="M481" s="140" t="str">
        <f>VLOOKUP(I481,[1]MATERIALES!$D$5:$I$1368,2,FALSE)</f>
        <v xml:space="preserve">Suplidores electricos </v>
      </c>
      <c r="N481" s="367" t="e">
        <f t="shared" si="285"/>
        <v>#VALUE!</v>
      </c>
      <c r="O481" s="140" t="e">
        <f t="shared" si="290"/>
        <v>#VALUE!</v>
      </c>
      <c r="P481" s="367" t="e">
        <f t="shared" si="291"/>
        <v>#VALUE!</v>
      </c>
      <c r="Q481" s="140" t="e">
        <f t="shared" si="286"/>
        <v>#VALUE!</v>
      </c>
      <c r="R481" s="368" t="e">
        <f t="shared" si="287"/>
        <v>#VALUE!</v>
      </c>
      <c r="S481" s="140">
        <f t="shared" si="292"/>
        <v>0</v>
      </c>
      <c r="T481" s="139">
        <f t="shared" si="293"/>
        <v>0</v>
      </c>
      <c r="U481" s="357"/>
      <c r="V481" s="358"/>
      <c r="W481" s="144"/>
    </row>
    <row r="482" spans="1:23" ht="15" hidden="1" customHeight="1" outlineLevel="1" thickBot="1">
      <c r="A482" s="353"/>
      <c r="B482" s="359">
        <f t="shared" si="284"/>
        <v>23.120000000000019</v>
      </c>
      <c r="C482" s="360" t="s">
        <v>812</v>
      </c>
      <c r="D482" s="360" t="s">
        <v>782</v>
      </c>
      <c r="E482" s="360" t="s">
        <v>813</v>
      </c>
      <c r="F482" s="347" t="str">
        <f t="shared" si="288"/>
        <v>240V 1Ø</v>
      </c>
      <c r="G482" s="371" t="str">
        <f>IF(F482="120V 1Ø","-",IF(F482="240V 1Ø","-",("Fase C"&amp;": "&amp;I480)))</f>
        <v>-</v>
      </c>
      <c r="H482" s="366" t="str">
        <f t="shared" si="294"/>
        <v>Conductores Americanos</v>
      </c>
      <c r="I482" s="366" t="str">
        <f t="shared" si="294"/>
        <v>Conductor 10 AWG THHN</v>
      </c>
      <c r="J482" s="366">
        <f>IF(G482="-",0,J471)</f>
        <v>0</v>
      </c>
      <c r="K482" s="345" t="str">
        <f t="shared" si="295"/>
        <v>Pies</v>
      </c>
      <c r="L482" s="28">
        <f>ROUNDUP(J482*3.28,0)</f>
        <v>0</v>
      </c>
      <c r="M482" s="140" t="str">
        <f>VLOOKUP(I482,[1]MATERIALES!$D$5:$I$1368,2,FALSE)</f>
        <v xml:space="preserve">Suplidores electricos </v>
      </c>
      <c r="N482" s="367" t="e">
        <f t="shared" si="285"/>
        <v>#VALUE!</v>
      </c>
      <c r="O482" s="140" t="e">
        <f t="shared" si="290"/>
        <v>#VALUE!</v>
      </c>
      <c r="P482" s="367" t="e">
        <f t="shared" si="291"/>
        <v>#VALUE!</v>
      </c>
      <c r="Q482" s="140" t="e">
        <f t="shared" si="286"/>
        <v>#VALUE!</v>
      </c>
      <c r="R482" s="368" t="e">
        <f t="shared" si="287"/>
        <v>#VALUE!</v>
      </c>
      <c r="S482" s="140">
        <f t="shared" si="292"/>
        <v>0</v>
      </c>
      <c r="T482" s="139">
        <f t="shared" si="293"/>
        <v>0</v>
      </c>
      <c r="U482" s="357"/>
      <c r="V482" s="358"/>
      <c r="W482" s="144"/>
    </row>
    <row r="483" spans="1:23" ht="15" hidden="1" customHeight="1" outlineLevel="1" thickBot="1">
      <c r="A483" s="353"/>
      <c r="B483" s="359">
        <f t="shared" si="284"/>
        <v>23.13000000000002</v>
      </c>
      <c r="C483" s="360" t="s">
        <v>812</v>
      </c>
      <c r="D483" s="360" t="s">
        <v>782</v>
      </c>
      <c r="E483" s="360" t="s">
        <v>813</v>
      </c>
      <c r="F483" s="347" t="str">
        <f t="shared" si="288"/>
        <v>240V 1Ø</v>
      </c>
      <c r="G483" s="372" t="str">
        <f>IF(F483="240V 1Ø","-",IF(F483="480V 3Ø","-",("Neutro"&amp;": "&amp;I480)))</f>
        <v>-</v>
      </c>
      <c r="H483" s="366" t="str">
        <f t="shared" si="294"/>
        <v>Conductores Americanos</v>
      </c>
      <c r="I483" s="366" t="str">
        <f t="shared" si="294"/>
        <v>Conductor 10 AWG THHN</v>
      </c>
      <c r="J483" s="366">
        <f>IF(G483="-",0,J471)</f>
        <v>0</v>
      </c>
      <c r="K483" s="345" t="str">
        <f t="shared" si="295"/>
        <v>Pies</v>
      </c>
      <c r="L483" s="28">
        <f>ROUNDUP(J483*3.28,0)</f>
        <v>0</v>
      </c>
      <c r="M483" s="140" t="str">
        <f>VLOOKUP(I483,[1]MATERIALES!$D$5:$I$1368,2,FALSE)</f>
        <v xml:space="preserve">Suplidores electricos </v>
      </c>
      <c r="N483" s="367" t="e">
        <f t="shared" si="285"/>
        <v>#VALUE!</v>
      </c>
      <c r="O483" s="140" t="e">
        <f t="shared" si="290"/>
        <v>#VALUE!</v>
      </c>
      <c r="P483" s="367" t="e">
        <f t="shared" si="291"/>
        <v>#VALUE!</v>
      </c>
      <c r="Q483" s="140" t="e">
        <f t="shared" si="286"/>
        <v>#VALUE!</v>
      </c>
      <c r="R483" s="368" t="e">
        <f t="shared" si="287"/>
        <v>#VALUE!</v>
      </c>
      <c r="S483" s="140">
        <f t="shared" si="292"/>
        <v>0</v>
      </c>
      <c r="T483" s="139">
        <f t="shared" si="293"/>
        <v>0</v>
      </c>
      <c r="U483" s="357"/>
      <c r="V483" s="358"/>
      <c r="W483" s="144"/>
    </row>
    <row r="484" spans="1:23" ht="15" hidden="1" customHeight="1" outlineLevel="1" thickBot="1">
      <c r="A484" s="353"/>
      <c r="B484" s="359">
        <f t="shared" si="284"/>
        <v>23.140000000000022</v>
      </c>
      <c r="C484" s="360" t="s">
        <v>812</v>
      </c>
      <c r="D484" s="360" t="s">
        <v>782</v>
      </c>
      <c r="E484" s="360" t="s">
        <v>813</v>
      </c>
      <c r="F484" s="347" t="str">
        <f t="shared" si="288"/>
        <v>240V 1Ø</v>
      </c>
      <c r="G484" s="372" t="str">
        <f>"Tierra"&amp;": "&amp;I484</f>
        <v>Tierra: Conductor 10 AWG THHN</v>
      </c>
      <c r="H484" s="366" t="str">
        <f>H483</f>
        <v>Conductores Americanos</v>
      </c>
      <c r="I484" s="366" t="str">
        <f>I483</f>
        <v>Conductor 10 AWG THHN</v>
      </c>
      <c r="J484" s="366">
        <f>J471</f>
        <v>12.39</v>
      </c>
      <c r="K484" s="345" t="str">
        <f t="shared" si="295"/>
        <v>Pies</v>
      </c>
      <c r="L484" s="28">
        <f>ROUNDUP(J484*3.28,0)</f>
        <v>41</v>
      </c>
      <c r="M484" s="140" t="str">
        <f>VLOOKUP(I484,[1]MATERIALES!$D$5:$I$1368,2,FALSE)</f>
        <v xml:space="preserve">Suplidores electricos </v>
      </c>
      <c r="N484" s="367" t="e">
        <f t="shared" si="285"/>
        <v>#VALUE!</v>
      </c>
      <c r="O484" s="140" t="e">
        <f t="shared" si="290"/>
        <v>#VALUE!</v>
      </c>
      <c r="P484" s="367" t="e">
        <f t="shared" si="291"/>
        <v>#VALUE!</v>
      </c>
      <c r="Q484" s="140" t="e">
        <f t="shared" si="286"/>
        <v>#VALUE!</v>
      </c>
      <c r="R484" s="368" t="e">
        <f t="shared" si="287"/>
        <v>#VALUE!</v>
      </c>
      <c r="S484" s="140">
        <f t="shared" si="292"/>
        <v>0</v>
      </c>
      <c r="T484" s="139">
        <f t="shared" si="293"/>
        <v>0</v>
      </c>
      <c r="U484" s="357"/>
      <c r="V484" s="358"/>
      <c r="W484" s="144"/>
    </row>
    <row r="485" spans="1:23" ht="15" hidden="1" customHeight="1" outlineLevel="1" thickBot="1">
      <c r="A485" s="353"/>
      <c r="B485" s="359">
        <f t="shared" si="284"/>
        <v>23.150000000000023</v>
      </c>
      <c r="C485" s="360" t="s">
        <v>812</v>
      </c>
      <c r="D485" s="360" t="s">
        <v>782</v>
      </c>
      <c r="E485" s="360" t="s">
        <v>813</v>
      </c>
      <c r="F485" s="347" t="str">
        <f t="shared" si="288"/>
        <v>240V 1Ø</v>
      </c>
      <c r="G485" s="361" t="str" cm="1">
        <f t="array" ref="G485">IFERROR(VLOOKUP(H485&amp;"|"&amp;I485,CHOOSE({1,2},[1]MATERIALES!$B$168:$B$175&amp;"|"&amp;[1]MATERIALES!$C$168:$C$175,[1]MATERIALES!$D$168:$D$175),2,0),"-")</f>
        <v>Tomacorriente 15A Matix (AM5115D + 503SB/SA)</v>
      </c>
      <c r="H485" s="373" t="s">
        <v>382</v>
      </c>
      <c r="I485" s="373" t="s">
        <v>380</v>
      </c>
      <c r="J485" s="316"/>
      <c r="K485" s="345" t="str">
        <f t="shared" si="295"/>
        <v>Unid.</v>
      </c>
      <c r="L485" s="218">
        <v>0</v>
      </c>
      <c r="M485" s="248">
        <f>IFERROR(VLOOKUP(G485,[1]MATERIALES!$D$5:$I$1368,2,FALSE),0)</f>
        <v>0</v>
      </c>
      <c r="N485" s="367">
        <f t="shared" si="285"/>
        <v>0</v>
      </c>
      <c r="O485" s="140">
        <f t="shared" si="290"/>
        <v>0</v>
      </c>
      <c r="P485" s="367">
        <f t="shared" si="291"/>
        <v>0</v>
      </c>
      <c r="Q485" s="140">
        <f t="shared" si="286"/>
        <v>0</v>
      </c>
      <c r="R485" s="368">
        <f t="shared" si="287"/>
        <v>0</v>
      </c>
      <c r="S485" s="140">
        <f t="shared" si="292"/>
        <v>0</v>
      </c>
      <c r="T485" s="139">
        <f t="shared" si="293"/>
        <v>0</v>
      </c>
      <c r="U485" s="357"/>
      <c r="V485" s="358"/>
      <c r="W485" s="144"/>
    </row>
    <row r="486" spans="1:23" ht="15" hidden="1" customHeight="1" outlineLevel="1" thickBot="1">
      <c r="A486" s="353"/>
      <c r="B486" s="359">
        <f t="shared" si="284"/>
        <v>23.160000000000025</v>
      </c>
      <c r="C486" s="360" t="s">
        <v>812</v>
      </c>
      <c r="D486" s="360" t="s">
        <v>782</v>
      </c>
      <c r="E486" s="360" t="s">
        <v>813</v>
      </c>
      <c r="F486" s="347" t="str">
        <f t="shared" si="288"/>
        <v>240V 1Ø</v>
      </c>
      <c r="G486" s="361" t="str" cm="1">
        <f t="array" ref="G486">IFERROR(VLOOKUP(H486&amp;"|"&amp;I486,CHOOSE({1,2},[1]MATERIALES!$B$176:$B$185&amp;"|"&amp;[1]MATERIALES!$C$176:$C$185,[1]MATERIALES!$D$176:$D$185),2,0),"-")</f>
        <v>Tapa para tomacorriente MATIX (AM503/3N)</v>
      </c>
      <c r="H486" s="366" t="str">
        <f>H485</f>
        <v>MATIX</v>
      </c>
      <c r="I486" s="373" t="s">
        <v>392</v>
      </c>
      <c r="J486" s="316"/>
      <c r="K486" s="345" t="str">
        <f t="shared" si="295"/>
        <v>Unid.</v>
      </c>
      <c r="L486" s="345">
        <f>L485</f>
        <v>0</v>
      </c>
      <c r="M486" s="248">
        <f>IFERROR(VLOOKUP(G486,[1]MATERIALES!$D$5:$I$1368,2,FALSE),0)</f>
        <v>0</v>
      </c>
      <c r="N486" s="367">
        <f t="shared" si="285"/>
        <v>0</v>
      </c>
      <c r="O486" s="140">
        <f t="shared" si="290"/>
        <v>0</v>
      </c>
      <c r="P486" s="367">
        <f t="shared" si="291"/>
        <v>0</v>
      </c>
      <c r="Q486" s="140">
        <f t="shared" si="286"/>
        <v>0</v>
      </c>
      <c r="R486" s="368">
        <f t="shared" si="287"/>
        <v>0</v>
      </c>
      <c r="S486" s="140">
        <f t="shared" si="292"/>
        <v>0</v>
      </c>
      <c r="T486" s="139">
        <f t="shared" si="293"/>
        <v>0</v>
      </c>
      <c r="U486" s="357"/>
      <c r="V486" s="358"/>
      <c r="W486" s="144"/>
    </row>
    <row r="487" spans="1:23" ht="15" hidden="1" customHeight="1" outlineLevel="1" thickBot="1">
      <c r="A487" s="353"/>
      <c r="B487" s="359">
        <f t="shared" si="284"/>
        <v>23.170000000000027</v>
      </c>
      <c r="C487" s="360" t="s">
        <v>812</v>
      </c>
      <c r="D487" s="360" t="s">
        <v>782</v>
      </c>
      <c r="E487" s="360" t="s">
        <v>813</v>
      </c>
      <c r="F487" s="347" t="str">
        <f t="shared" si="288"/>
        <v>240V 1Ø</v>
      </c>
      <c r="G487" s="371" t="s">
        <v>422</v>
      </c>
      <c r="H487" s="316"/>
      <c r="I487" s="316"/>
      <c r="J487" s="316"/>
      <c r="K487" s="345" t="str">
        <f t="shared" si="295"/>
        <v>Unid.</v>
      </c>
      <c r="L487" s="345">
        <f>3*(L476)</f>
        <v>3</v>
      </c>
      <c r="M487" s="248">
        <f>IFERROR(VLOOKUP(G487,[1]MATERIALES!$D$5:$I$1368,2,FALSE),0)</f>
        <v>0</v>
      </c>
      <c r="N487" s="367">
        <f t="shared" si="285"/>
        <v>0</v>
      </c>
      <c r="O487" s="140">
        <f t="shared" si="290"/>
        <v>0</v>
      </c>
      <c r="P487" s="367">
        <f t="shared" si="291"/>
        <v>0</v>
      </c>
      <c r="Q487" s="140">
        <f t="shared" si="286"/>
        <v>0</v>
      </c>
      <c r="R487" s="368">
        <f t="shared" si="287"/>
        <v>0</v>
      </c>
      <c r="S487" s="140">
        <f t="shared" si="292"/>
        <v>0</v>
      </c>
      <c r="T487" s="139">
        <f t="shared" si="293"/>
        <v>0</v>
      </c>
      <c r="U487" s="357" t="e">
        <f>SUM(R487:R489)</f>
        <v>#VALUE!</v>
      </c>
      <c r="V487" s="358" t="e">
        <f>'[1]1. OFERTA'!#REF!</f>
        <v>#REF!</v>
      </c>
      <c r="W487" s="144" t="e">
        <f>U487-V487</f>
        <v>#VALUE!</v>
      </c>
    </row>
    <row r="488" spans="1:23" ht="15" hidden="1" customHeight="1" outlineLevel="1" thickBot="1">
      <c r="A488" s="353"/>
      <c r="B488" s="359">
        <f t="shared" si="284"/>
        <v>23.180000000000028</v>
      </c>
      <c r="C488" s="360" t="s">
        <v>812</v>
      </c>
      <c r="D488" s="360" t="s">
        <v>782</v>
      </c>
      <c r="E488" s="360" t="s">
        <v>813</v>
      </c>
      <c r="F488" s="347" t="str">
        <f t="shared" si="288"/>
        <v>240V 1Ø</v>
      </c>
      <c r="G488" s="374" t="s">
        <v>424</v>
      </c>
      <c r="H488" s="316"/>
      <c r="I488" s="316"/>
      <c r="J488" s="316"/>
      <c r="K488" s="345" t="s">
        <v>784</v>
      </c>
      <c r="L488" s="28">
        <f>ROUNDUP(L475+L476+L478,0)</f>
        <v>14</v>
      </c>
      <c r="M488" s="248">
        <f>IFERROR(VLOOKUP(G488,[1]MATERIALES!$D$5:$I$1368,2,FALSE),0)</f>
        <v>0</v>
      </c>
      <c r="N488" s="367">
        <f t="shared" si="285"/>
        <v>0</v>
      </c>
      <c r="O488" s="140">
        <f t="shared" si="290"/>
        <v>0</v>
      </c>
      <c r="P488" s="367">
        <f t="shared" si="291"/>
        <v>0</v>
      </c>
      <c r="Q488" s="140">
        <f t="shared" si="286"/>
        <v>0</v>
      </c>
      <c r="R488" s="368">
        <f t="shared" si="287"/>
        <v>0</v>
      </c>
      <c r="S488" s="140">
        <f t="shared" si="292"/>
        <v>0</v>
      </c>
      <c r="T488" s="139">
        <f t="shared" si="293"/>
        <v>0</v>
      </c>
      <c r="U488" s="357"/>
      <c r="V488" s="358"/>
      <c r="W488" s="144"/>
    </row>
    <row r="489" spans="1:23" ht="15" hidden="1" customHeight="1" outlineLevel="1" thickBot="1">
      <c r="A489" s="353"/>
      <c r="B489" s="359">
        <f t="shared" si="284"/>
        <v>23.19000000000003</v>
      </c>
      <c r="C489" s="360" t="s">
        <v>812</v>
      </c>
      <c r="D489" s="360" t="s">
        <v>782</v>
      </c>
      <c r="E489" s="360" t="s">
        <v>813</v>
      </c>
      <c r="F489" s="347" t="str">
        <f t="shared" si="288"/>
        <v>240V 1Ø</v>
      </c>
      <c r="G489" s="374" t="s">
        <v>168</v>
      </c>
      <c r="H489" s="316"/>
      <c r="I489" s="316"/>
      <c r="J489" s="316"/>
      <c r="K489" s="345" t="s">
        <v>784</v>
      </c>
      <c r="L489" s="28">
        <f>L488</f>
        <v>14</v>
      </c>
      <c r="M489" s="248" t="str">
        <f>IFERROR(VLOOKUP(G489,[1]MATERIALES!$D$5:$I$1368,2,FALSE),0)</f>
        <v xml:space="preserve">Marba Dominicana </v>
      </c>
      <c r="N489" s="367" t="e">
        <f t="shared" si="285"/>
        <v>#VALUE!</v>
      </c>
      <c r="O489" s="140" t="e">
        <f t="shared" si="290"/>
        <v>#VALUE!</v>
      </c>
      <c r="P489" s="367" t="e">
        <f t="shared" si="291"/>
        <v>#VALUE!</v>
      </c>
      <c r="Q489" s="140" t="e">
        <f t="shared" si="286"/>
        <v>#VALUE!</v>
      </c>
      <c r="R489" s="368" t="e">
        <f t="shared" si="287"/>
        <v>#VALUE!</v>
      </c>
      <c r="S489" s="140">
        <f t="shared" si="292"/>
        <v>0</v>
      </c>
      <c r="T489" s="139">
        <f t="shared" si="293"/>
        <v>0</v>
      </c>
      <c r="U489" s="357"/>
      <c r="V489" s="358"/>
      <c r="W489" s="144"/>
    </row>
    <row r="490" spans="1:23" ht="15" customHeight="1" collapsed="1" thickBot="1">
      <c r="A490" s="353"/>
      <c r="B490" s="354">
        <v>24</v>
      </c>
      <c r="C490" s="355" t="s">
        <v>814</v>
      </c>
      <c r="D490" s="269" t="s">
        <v>782</v>
      </c>
      <c r="E490" s="269" t="s">
        <v>815</v>
      </c>
      <c r="F490" s="270" t="s">
        <v>809</v>
      </c>
      <c r="G490" s="271"/>
      <c r="H490" s="272"/>
      <c r="I490" s="272"/>
      <c r="J490" s="272"/>
      <c r="K490" s="268"/>
      <c r="L490" s="268"/>
      <c r="M490" s="273"/>
      <c r="N490" s="274"/>
      <c r="O490" s="273"/>
      <c r="P490" s="274"/>
      <c r="Q490" s="273"/>
      <c r="R490" s="275"/>
      <c r="S490" s="273"/>
      <c r="T490" s="276"/>
      <c r="U490" s="357" t="e">
        <f>SUM(R491:R509)</f>
        <v>#VALUE!</v>
      </c>
      <c r="V490" s="358" t="e">
        <f>'[1]1. OFERTA'!#REF!</f>
        <v>#REF!</v>
      </c>
      <c r="W490" s="144" t="e">
        <f>U490-V490</f>
        <v>#VALUE!</v>
      </c>
    </row>
    <row r="491" spans="1:23" ht="15" hidden="1" customHeight="1" outlineLevel="1" thickBot="1">
      <c r="A491" s="353"/>
      <c r="B491" s="359">
        <f t="shared" si="284"/>
        <v>24.01</v>
      </c>
      <c r="C491" s="360" t="s">
        <v>814</v>
      </c>
      <c r="D491" s="360" t="s">
        <v>782</v>
      </c>
      <c r="E491" s="360" t="s">
        <v>815</v>
      </c>
      <c r="F491" s="347" t="s">
        <v>809</v>
      </c>
      <c r="G491" s="361" t="str">
        <f>IF(H491="PVC",VLOOKUP(I491,[1]MATERIALES!$C$5:$D$11,2,FALSE),IF(H491="EMT",VLOOKUP(I491,[1]MATERIALES!$C$40:$D$46,2,FALSE),IF(H491="IMC",VLOOKUP(I491,[1]MATERIALES!$C$82:$D$88,2,FALSE),IF(H491="LFNC",VLOOKUP(I491,[1]MATERIALES!$C$110:$D$116,2,FALSE),0))))</f>
        <v>Tubería PVC SDR-26 3/4"</v>
      </c>
      <c r="H491" s="362" t="s">
        <v>184</v>
      </c>
      <c r="I491" s="362" t="s">
        <v>212</v>
      </c>
      <c r="J491" s="362">
        <v>8.82</v>
      </c>
      <c r="K491" s="134" t="str">
        <f>IF(OR(H491="Conductores Americanos",H491="Conductores Europeos"),"Pies","Unid.")</f>
        <v>Unid.</v>
      </c>
      <c r="L491" s="363">
        <f>IF(H491="PVC",ROUNDUP(J491/6,0),IF(H491="EMT",ROUNDUP(J491/3,0),IF(H491="IMC",ROUNDUP(J491/3,0),IF(H491="LFNC",ROUNDUP(3.28*J491,0),0))))</f>
        <v>2</v>
      </c>
      <c r="M491" s="248" t="str">
        <f>IFERROR(VLOOKUP(G491,[1]MATERIALES!$D$5:$I$1368,2,FALSE),0)</f>
        <v xml:space="preserve">Suplidores electricos </v>
      </c>
      <c r="N491" s="364" t="e">
        <f t="shared" ref="N491:N509" si="296">M491/$N$2</f>
        <v>#VALUE!</v>
      </c>
      <c r="O491" s="248" t="e">
        <f>+L491*M491</f>
        <v>#VALUE!</v>
      </c>
      <c r="P491" s="364" t="e">
        <f>L491*N491</f>
        <v>#VALUE!</v>
      </c>
      <c r="Q491" s="248" t="e">
        <f t="shared" ref="Q491:Q509" si="297">+$O491+($O491*$R$2)</f>
        <v>#VALUE!</v>
      </c>
      <c r="R491" s="365" t="e">
        <f t="shared" ref="R491:R509" si="298">+$P491+($P491*$R$2)</f>
        <v>#VALUE!</v>
      </c>
      <c r="S491" s="248">
        <f>+IFERROR(Q491/L491,0)</f>
        <v>0</v>
      </c>
      <c r="T491" s="146">
        <f>+IFERROR(R491/L491,0)</f>
        <v>0</v>
      </c>
      <c r="U491" s="357"/>
      <c r="V491" s="358"/>
      <c r="W491" s="144"/>
    </row>
    <row r="492" spans="1:23" ht="15" hidden="1" customHeight="1" outlineLevel="1" thickBot="1">
      <c r="A492" s="353"/>
      <c r="B492" s="359">
        <f t="shared" si="284"/>
        <v>24.020000000000003</v>
      </c>
      <c r="C492" s="360" t="s">
        <v>814</v>
      </c>
      <c r="D492" s="360" t="s">
        <v>782</v>
      </c>
      <c r="E492" s="360" t="s">
        <v>815</v>
      </c>
      <c r="F492" s="347" t="str">
        <f t="shared" ref="F492:F509" si="299">F491</f>
        <v>240V 1Ø</v>
      </c>
      <c r="G492" s="361" t="str">
        <f>IF(H492="PVC",VLOOKUP(I492,[1]MATERIALES!$C$12:$D$18,2,FALSE),IF(H492="EMT",VLOOKUP(I492,[1]MATERIALES!$C$47:$D$53,2,FALSE),IF(H492="IMC",VLOOKUP(I492,[1]MATERIALES!$C$89:$D$96,2,FALSE),"-")))</f>
        <v>Coupling PVC 3/4"</v>
      </c>
      <c r="H492" s="366" t="str">
        <f>H491</f>
        <v>PVC</v>
      </c>
      <c r="I492" s="366" t="str">
        <f>I491</f>
        <v>19mm</v>
      </c>
      <c r="J492" s="316"/>
      <c r="K492" s="345" t="str">
        <f t="shared" ref="K492:K499" si="300">IF(OR(H492="Conductores Americanos",H492="Conductores Europeos"),"Pies","Unid.")</f>
        <v>Unid.</v>
      </c>
      <c r="L492" s="28">
        <f>IF(H492="LFNC",0,L491)</f>
        <v>2</v>
      </c>
      <c r="M492" s="140" t="str">
        <f>IF(H492="LFNC",0,VLOOKUP(G492,[1]MATERIALES!$D$5:$I$1368,2,FALSE))</f>
        <v xml:space="preserve">Suplidores electricos </v>
      </c>
      <c r="N492" s="367" t="e">
        <f t="shared" si="296"/>
        <v>#VALUE!</v>
      </c>
      <c r="O492" s="140" t="e">
        <f t="shared" ref="O492:O509" si="301">+L492*M492</f>
        <v>#VALUE!</v>
      </c>
      <c r="P492" s="367" t="e">
        <f t="shared" ref="P492:P509" si="302">L492*N492</f>
        <v>#VALUE!</v>
      </c>
      <c r="Q492" s="140" t="e">
        <f t="shared" si="297"/>
        <v>#VALUE!</v>
      </c>
      <c r="R492" s="368" t="e">
        <f t="shared" si="298"/>
        <v>#VALUE!</v>
      </c>
      <c r="S492" s="140">
        <f t="shared" ref="S492:S509" si="303">+IFERROR(Q492/L492,0)</f>
        <v>0</v>
      </c>
      <c r="T492" s="139">
        <f t="shared" ref="T492:T509" si="304">+IFERROR(R492/L492,0)</f>
        <v>0</v>
      </c>
      <c r="U492" s="357"/>
      <c r="V492" s="358"/>
      <c r="W492" s="144"/>
    </row>
    <row r="493" spans="1:23" ht="15" hidden="1" customHeight="1" outlineLevel="1" thickBot="1">
      <c r="A493" s="353"/>
      <c r="B493" s="359">
        <f t="shared" si="284"/>
        <v>24.030000000000005</v>
      </c>
      <c r="C493" s="360" t="s">
        <v>814</v>
      </c>
      <c r="D493" s="360" t="s">
        <v>782</v>
      </c>
      <c r="E493" s="360" t="s">
        <v>815</v>
      </c>
      <c r="F493" s="347" t="str">
        <f t="shared" si="299"/>
        <v>240V 1Ø</v>
      </c>
      <c r="G493" s="361" t="str">
        <f>IF(H493="PVC",VLOOKUP(I493,[1]MATERIALES!$C$19:$D$25,2,FALSE),IF(H493="EMT",VLOOKUP(I493,[1]MATERIALES!$C$54:$D$60,2,FALSE),IF(H493="IMC",VLOOKUP(I493,[1]MATERIALES!$C$96:$D$102,2,FALSE),IF(H493="LFNC",VLOOKUP(I493,[1]MATERIALES!$C$117:$D$123,2,FALSE),0))))</f>
        <v>Adaptador Macho PVC 3/4"</v>
      </c>
      <c r="H493" s="366" t="str">
        <f>H491</f>
        <v>PVC</v>
      </c>
      <c r="I493" s="366" t="str">
        <f>I491</f>
        <v>19mm</v>
      </c>
      <c r="J493" s="316"/>
      <c r="K493" s="345" t="str">
        <f t="shared" si="300"/>
        <v>Unid.</v>
      </c>
      <c r="L493" s="28">
        <f>1+L496*2+L498</f>
        <v>3</v>
      </c>
      <c r="M493" s="248" t="str">
        <f>IFERROR(VLOOKUP(G493,[1]MATERIALES!$D$5:$I$1368,2,FALSE),0)</f>
        <v xml:space="preserve">Suplidores electricos </v>
      </c>
      <c r="N493" s="367" t="e">
        <f t="shared" si="296"/>
        <v>#VALUE!</v>
      </c>
      <c r="O493" s="140" t="e">
        <f t="shared" si="301"/>
        <v>#VALUE!</v>
      </c>
      <c r="P493" s="367" t="e">
        <f t="shared" si="302"/>
        <v>#VALUE!</v>
      </c>
      <c r="Q493" s="140" t="e">
        <f t="shared" si="297"/>
        <v>#VALUE!</v>
      </c>
      <c r="R493" s="368" t="e">
        <f t="shared" si="298"/>
        <v>#VALUE!</v>
      </c>
      <c r="S493" s="140">
        <f t="shared" si="303"/>
        <v>0</v>
      </c>
      <c r="T493" s="139">
        <f t="shared" si="304"/>
        <v>0</v>
      </c>
      <c r="U493" s="357"/>
      <c r="V493" s="358"/>
      <c r="W493" s="144"/>
    </row>
    <row r="494" spans="1:23" ht="15" hidden="1" customHeight="1" outlineLevel="1" thickBot="1">
      <c r="A494" s="353"/>
      <c r="B494" s="359">
        <f t="shared" si="284"/>
        <v>24.040000000000006</v>
      </c>
      <c r="C494" s="360" t="s">
        <v>814</v>
      </c>
      <c r="D494" s="360" t="s">
        <v>782</v>
      </c>
      <c r="E494" s="360" t="s">
        <v>815</v>
      </c>
      <c r="F494" s="347" t="str">
        <f t="shared" si="299"/>
        <v>240V 1Ø</v>
      </c>
      <c r="G494" s="361" t="str">
        <f>IF(H494="PVC",VLOOKUP(I494,[1]MATERIALES!$C$33:$D$39,2,FALSE),IF(H494="EMT",VLOOKUP(I494,[1]MATERIALES!$C$61:$D$67,2,FALSE),IF(H494="IMC",VLOOKUP(I494,[1]MATERIALES!$C$103:$D$109,2,FALSE),"-")))</f>
        <v>Curva 90 PVC SDR 3/4"</v>
      </c>
      <c r="H494" s="366" t="str">
        <f>H491</f>
        <v>PVC</v>
      </c>
      <c r="I494" s="366" t="str">
        <f>I491</f>
        <v>19mm</v>
      </c>
      <c r="J494" s="316"/>
      <c r="K494" s="345" t="str">
        <f t="shared" si="300"/>
        <v>Unid.</v>
      </c>
      <c r="L494" s="28">
        <f>IF(H494="LFNC",0,(1+L505))</f>
        <v>1</v>
      </c>
      <c r="M494" s="140" t="str">
        <f>IF(H494="LFNC",0,VLOOKUP(G494,[1]MATERIALES!$D$5:$I$1368,2,FALSE))</f>
        <v xml:space="preserve">Suplidores electricos </v>
      </c>
      <c r="N494" s="367" t="e">
        <f t="shared" si="296"/>
        <v>#VALUE!</v>
      </c>
      <c r="O494" s="140" t="e">
        <f t="shared" si="301"/>
        <v>#VALUE!</v>
      </c>
      <c r="P494" s="367" t="e">
        <f t="shared" si="302"/>
        <v>#VALUE!</v>
      </c>
      <c r="Q494" s="140" t="e">
        <f t="shared" si="297"/>
        <v>#VALUE!</v>
      </c>
      <c r="R494" s="368" t="e">
        <f t="shared" si="298"/>
        <v>#VALUE!</v>
      </c>
      <c r="S494" s="140">
        <f t="shared" si="303"/>
        <v>0</v>
      </c>
      <c r="T494" s="139">
        <f t="shared" si="304"/>
        <v>0</v>
      </c>
      <c r="U494" s="357"/>
      <c r="V494" s="358"/>
      <c r="W494" s="144"/>
    </row>
    <row r="495" spans="1:23" ht="15" hidden="1" customHeight="1" outlineLevel="1" thickBot="1">
      <c r="A495" s="353"/>
      <c r="B495" s="359">
        <f t="shared" si="284"/>
        <v>24.050000000000008</v>
      </c>
      <c r="C495" s="360" t="s">
        <v>814</v>
      </c>
      <c r="D495" s="360" t="s">
        <v>782</v>
      </c>
      <c r="E495" s="360" t="s">
        <v>815</v>
      </c>
      <c r="F495" s="347" t="str">
        <f t="shared" si="299"/>
        <v>240V 1Ø</v>
      </c>
      <c r="G495" s="361" t="str">
        <f>VLOOKUP(I495,[1]MATERIALES!$C$68:$D$74,2,FALSE)</f>
        <v>Abrazadera EMT 3/4'' </v>
      </c>
      <c r="H495" s="316"/>
      <c r="I495" s="366" t="str">
        <f>I491</f>
        <v>19mm</v>
      </c>
      <c r="J495" s="316"/>
      <c r="K495" s="345" t="str">
        <f t="shared" si="300"/>
        <v>Unid.</v>
      </c>
      <c r="L495" s="28">
        <f>ROUNDUP(J491,0)</f>
        <v>9</v>
      </c>
      <c r="M495" s="248" t="str">
        <f>IFERROR(VLOOKUP(G495,[1]MATERIALES!$D$5:$I$1368,2,FALSE),0)</f>
        <v xml:space="preserve">Suplidores electricos </v>
      </c>
      <c r="N495" s="367" t="e">
        <f t="shared" si="296"/>
        <v>#VALUE!</v>
      </c>
      <c r="O495" s="140" t="e">
        <f t="shared" si="301"/>
        <v>#VALUE!</v>
      </c>
      <c r="P495" s="367" t="e">
        <f t="shared" si="302"/>
        <v>#VALUE!</v>
      </c>
      <c r="Q495" s="140" t="e">
        <f t="shared" si="297"/>
        <v>#VALUE!</v>
      </c>
      <c r="R495" s="368" t="e">
        <f t="shared" si="298"/>
        <v>#VALUE!</v>
      </c>
      <c r="S495" s="140">
        <f t="shared" si="303"/>
        <v>0</v>
      </c>
      <c r="T495" s="139">
        <f t="shared" si="304"/>
        <v>0</v>
      </c>
      <c r="U495" s="357"/>
      <c r="V495" s="358"/>
      <c r="W495" s="144"/>
    </row>
    <row r="496" spans="1:23" ht="15" hidden="1" customHeight="1" outlineLevel="1" thickBot="1">
      <c r="A496" s="353"/>
      <c r="B496" s="359">
        <f t="shared" si="284"/>
        <v>24.060000000000009</v>
      </c>
      <c r="C496" s="360" t="s">
        <v>814</v>
      </c>
      <c r="D496" s="360" t="s">
        <v>782</v>
      </c>
      <c r="E496" s="360" t="s">
        <v>815</v>
      </c>
      <c r="F496" s="347" t="str">
        <f t="shared" si="299"/>
        <v>240V 1Ø</v>
      </c>
      <c r="G496" s="361" t="str" cm="1">
        <f t="array" ref="G496">_xlfn.SWITCH(I496,"13mm",(IF(H496="Rectangular",VLOOKUP(I496,[1]MATERIALES!$C$124:$D$125,2,FALSE),IF(H496="Octagonal",VLOOKUP(I496,[1]MATERIALES!$C$126:$D$127,2,FALSE),IF(H496="WP",VLOOKUP(I496,[1]MATERIALES!$C$128:$D$129,2,FALSE),IF(H496="5x5",VLOOKUP(I496,[1]MATERIALES!$C$130:$D$132,2,FALSE)))))),"19mm",(IF(H496="Rectangular",VLOOKUP(I496,[1]MATERIALES!$C$124:$D$125,2,FALSE),IF(H496="Octagonal",VLOOKUP(I496,[1]MATERIALES!$C$126:$D$127,2,FALSE),IF(H496="WP",VLOOKUP(I496,[1]MATERIALES!$C$128:$D$129,2,FALSE),IF(H496="5x5",VLOOKUP(I496,[1]MATERIALES!$C$130:$D$132,2,FALSE)))))),"25mm",IF(H496="Rectangular","-",IF(H496="Octagonal","--",IF(H496="WP","---",IF(H496="5x5",VLOOKUP(I496,[1]MATERIALES!$C$130:$D$132,2,FALSE),0)))),"38mm","-","50mm","-","75mm","-","100mm","-")</f>
        <v>Caja octagonal EMT 3/4" USA UL</v>
      </c>
      <c r="H496" s="369" t="s">
        <v>194</v>
      </c>
      <c r="I496" s="366" t="str">
        <f>I491</f>
        <v>19mm</v>
      </c>
      <c r="J496" s="316"/>
      <c r="K496" s="345" t="str">
        <f t="shared" si="300"/>
        <v>Unid.</v>
      </c>
      <c r="L496" s="28">
        <f>1+L505</f>
        <v>1</v>
      </c>
      <c r="M496" s="248" t="str">
        <f>IFERROR(VLOOKUP(G496,[1]MATERIALES!$D$5:$I$1368,2,FALSE),0)</f>
        <v xml:space="preserve">Suplidores electricos </v>
      </c>
      <c r="N496" s="367" t="e">
        <f t="shared" si="296"/>
        <v>#VALUE!</v>
      </c>
      <c r="O496" s="140" t="e">
        <f t="shared" si="301"/>
        <v>#VALUE!</v>
      </c>
      <c r="P496" s="367" t="e">
        <f t="shared" si="302"/>
        <v>#VALUE!</v>
      </c>
      <c r="Q496" s="140" t="e">
        <f t="shared" si="297"/>
        <v>#VALUE!</v>
      </c>
      <c r="R496" s="368" t="e">
        <f t="shared" si="298"/>
        <v>#VALUE!</v>
      </c>
      <c r="S496" s="140">
        <f t="shared" si="303"/>
        <v>0</v>
      </c>
      <c r="T496" s="139">
        <f t="shared" si="304"/>
        <v>0</v>
      </c>
      <c r="U496" s="357"/>
      <c r="V496" s="358"/>
      <c r="W496" s="144"/>
    </row>
    <row r="497" spans="1:23" ht="15" hidden="1" customHeight="1" outlineLevel="1" thickBot="1">
      <c r="A497" s="353"/>
      <c r="B497" s="359">
        <f t="shared" si="284"/>
        <v>24.070000000000011</v>
      </c>
      <c r="C497" s="360" t="s">
        <v>814</v>
      </c>
      <c r="D497" s="360" t="s">
        <v>782</v>
      </c>
      <c r="E497" s="360" t="s">
        <v>815</v>
      </c>
      <c r="F497" s="347" t="str">
        <f t="shared" si="299"/>
        <v>240V 1Ø</v>
      </c>
      <c r="G497" s="370" t="str">
        <f>IF(H497="Rectangular",[1]MATERIALES!$D$133,IF(H496="Octagonal",[1]MATERIALES!$D$134,IF(H496="WP",[1]MATERIALES!$D$135,IF(H496="5x5",[1]MATERIALES!$D$136,0))))</f>
        <v>Tapa caja EMT 2x4 Inoxidable.</v>
      </c>
      <c r="H497" s="369" t="str">
        <f>H496</f>
        <v>Octagonal</v>
      </c>
      <c r="I497" s="366" t="str">
        <f>I491</f>
        <v>19mm</v>
      </c>
      <c r="J497" s="316"/>
      <c r="K497" s="345" t="str">
        <f t="shared" si="300"/>
        <v>Unid.</v>
      </c>
      <c r="L497" s="28">
        <f>L496</f>
        <v>1</v>
      </c>
      <c r="M497" s="248" t="str">
        <f>IFERROR(VLOOKUP(G497,[1]MATERIALES!$D$5:$I$1368,2,FALSE),0)</f>
        <v xml:space="preserve">Suplidores electricos </v>
      </c>
      <c r="N497" s="367" t="e">
        <f t="shared" si="296"/>
        <v>#VALUE!</v>
      </c>
      <c r="O497" s="140" t="e">
        <f t="shared" si="301"/>
        <v>#VALUE!</v>
      </c>
      <c r="P497" s="367" t="e">
        <f t="shared" si="302"/>
        <v>#VALUE!</v>
      </c>
      <c r="Q497" s="140" t="e">
        <f t="shared" si="297"/>
        <v>#VALUE!</v>
      </c>
      <c r="R497" s="368" t="e">
        <f t="shared" si="298"/>
        <v>#VALUE!</v>
      </c>
      <c r="S497" s="140">
        <f t="shared" si="303"/>
        <v>0</v>
      </c>
      <c r="T497" s="139">
        <f t="shared" si="304"/>
        <v>0</v>
      </c>
      <c r="U497" s="357"/>
      <c r="V497" s="358"/>
      <c r="W497" s="144"/>
    </row>
    <row r="498" spans="1:23" ht="15" hidden="1" customHeight="1" outlineLevel="1" thickBot="1">
      <c r="A498" s="353"/>
      <c r="B498" s="359">
        <f t="shared" si="284"/>
        <v>24.080000000000013</v>
      </c>
      <c r="C498" s="360" t="s">
        <v>814</v>
      </c>
      <c r="D498" s="360" t="s">
        <v>782</v>
      </c>
      <c r="E498" s="360" t="s">
        <v>815</v>
      </c>
      <c r="F498" s="347" t="str">
        <f t="shared" si="299"/>
        <v>240V 1Ø</v>
      </c>
      <c r="G498" s="361" t="str" cm="1">
        <f t="array" ref="G498">_xlfn.SWITCH(I498,"13mm",(IF(H498="Rectangular",VLOOKUP(I498,[1]MATERIALES!$C$124:$D$125,2,FALSE),IF(H498="Octagonal",VLOOKUP(I498,[1]MATERIALES!$C$126:$D$127,2,FALSE),IF(H498="WP",VLOOKUP(I498,[1]MATERIALES!$C$128:$D$129,2,FALSE),IF(H498="5x5",VLOOKUP(I498,[1]MATERIALES!$C$130:$D$132,2,FALSE)))))),"19mm",(IF(H498="Rectangular",VLOOKUP(I498,[1]MATERIALES!$C$124:$D$125,2,FALSE),IF(H498="Octagonal",VLOOKUP(I498,[1]MATERIALES!$C$126:$D$127,2,FALSE),IF(H498="WP",VLOOKUP(I498,[1]MATERIALES!$C$128:$D$129,2,FALSE),IF(H498="5x5",VLOOKUP(I498,[1]MATERIALES!$C$130:$D$132,2,FALSE)))))),"25mm",IF(H498="Rectangular","-",IF(H498="Octagonal","--",IF(H498="WP","---",IF(H498="5x5",VLOOKUP(I498,[1]MATERIALES!$C$130:$D$132,2,FALSE),0)))),"38mm","-","50mm","-","75mm","-","100mm","-")</f>
        <v>Caja EMT 2x4 3/4" USA UL</v>
      </c>
      <c r="H498" s="369" t="s">
        <v>188</v>
      </c>
      <c r="I498" s="366" t="str">
        <f>I493</f>
        <v>19mm</v>
      </c>
      <c r="J498" s="316"/>
      <c r="K498" s="345" t="str">
        <f t="shared" si="300"/>
        <v>Unid.</v>
      </c>
      <c r="L498" s="28">
        <f>L505</f>
        <v>0</v>
      </c>
      <c r="M498" s="248" t="str">
        <f>IFERROR(VLOOKUP(G498,[1]MATERIALES!$D$5:$I$1368,2,FALSE),0)</f>
        <v xml:space="preserve">Suplidores electricos </v>
      </c>
      <c r="N498" s="367" t="e">
        <f t="shared" si="296"/>
        <v>#VALUE!</v>
      </c>
      <c r="O498" s="140" t="e">
        <f t="shared" si="301"/>
        <v>#VALUE!</v>
      </c>
      <c r="P498" s="367" t="e">
        <f t="shared" si="302"/>
        <v>#VALUE!</v>
      </c>
      <c r="Q498" s="140" t="e">
        <f t="shared" si="297"/>
        <v>#VALUE!</v>
      </c>
      <c r="R498" s="368" t="e">
        <f t="shared" si="298"/>
        <v>#VALUE!</v>
      </c>
      <c r="S498" s="140">
        <f t="shared" si="303"/>
        <v>0</v>
      </c>
      <c r="T498" s="139">
        <f t="shared" si="304"/>
        <v>0</v>
      </c>
      <c r="U498" s="357"/>
      <c r="V498" s="358"/>
      <c r="W498" s="144"/>
    </row>
    <row r="499" spans="1:23" ht="15" hidden="1" customHeight="1" outlineLevel="1" thickBot="1">
      <c r="A499" s="353"/>
      <c r="B499" s="359">
        <f t="shared" si="284"/>
        <v>24.090000000000014</v>
      </c>
      <c r="C499" s="360" t="s">
        <v>814</v>
      </c>
      <c r="D499" s="360" t="s">
        <v>782</v>
      </c>
      <c r="E499" s="360" t="s">
        <v>815</v>
      </c>
      <c r="F499" s="347" t="str">
        <f t="shared" si="299"/>
        <v>240V 1Ø</v>
      </c>
      <c r="G499" s="370" t="str">
        <f>IF(H499="Rectangular",[1]MATERIALES!$D$133,IF(H498="Octagonal",[1]MATERIALES!$D$134,IF(H498="WP",[1]MATERIALES!#REF!,IF(H498="5x5",[1]MATERIALES!$D$136,0))))</f>
        <v>CAJA REG. 12X12X4 N3R</v>
      </c>
      <c r="H499" s="369" t="str">
        <f>H498</f>
        <v>Rectangular</v>
      </c>
      <c r="I499" s="366" t="str">
        <f>I493</f>
        <v>19mm</v>
      </c>
      <c r="J499" s="316"/>
      <c r="K499" s="345" t="str">
        <f t="shared" si="300"/>
        <v>Unid.</v>
      </c>
      <c r="L499" s="28">
        <f>L498</f>
        <v>0</v>
      </c>
      <c r="M499" s="248" t="str">
        <f>IFERROR(VLOOKUP(G499,[1]MATERIALES!$D$5:$I$1368,2,FALSE),0)</f>
        <v xml:space="preserve">Suplidores electricos </v>
      </c>
      <c r="N499" s="367" t="e">
        <f t="shared" si="296"/>
        <v>#VALUE!</v>
      </c>
      <c r="O499" s="140" t="e">
        <f t="shared" si="301"/>
        <v>#VALUE!</v>
      </c>
      <c r="P499" s="367" t="e">
        <f t="shared" si="302"/>
        <v>#VALUE!</v>
      </c>
      <c r="Q499" s="140" t="e">
        <f t="shared" si="297"/>
        <v>#VALUE!</v>
      </c>
      <c r="R499" s="368" t="e">
        <f t="shared" si="298"/>
        <v>#VALUE!</v>
      </c>
      <c r="S499" s="140">
        <f t="shared" si="303"/>
        <v>0</v>
      </c>
      <c r="T499" s="139">
        <f t="shared" si="304"/>
        <v>0</v>
      </c>
      <c r="U499" s="357"/>
      <c r="V499" s="358"/>
      <c r="W499" s="144"/>
    </row>
    <row r="500" spans="1:23" ht="15" hidden="1" customHeight="1" outlineLevel="1" thickBot="1">
      <c r="A500" s="353"/>
      <c r="B500" s="359">
        <f t="shared" si="284"/>
        <v>24.100000000000016</v>
      </c>
      <c r="C500" s="360" t="s">
        <v>814</v>
      </c>
      <c r="D500" s="360" t="s">
        <v>782</v>
      </c>
      <c r="E500" s="360" t="s">
        <v>815</v>
      </c>
      <c r="F500" s="347" t="str">
        <f t="shared" si="299"/>
        <v>240V 1Ø</v>
      </c>
      <c r="G500" s="371" t="str">
        <f>"Fase A"&amp;": "&amp;I500</f>
        <v>Fase A: Conductor 10 AWG THHN</v>
      </c>
      <c r="H500" s="366" t="s">
        <v>181</v>
      </c>
      <c r="I500" s="366" t="s">
        <v>153</v>
      </c>
      <c r="J500" s="366">
        <f>J491</f>
        <v>8.82</v>
      </c>
      <c r="K500" s="345" t="str">
        <f>IF(OR(H500="Conductores Americanos",H500="Conductores Europeos"),"Pies","Unid.")</f>
        <v>Pies</v>
      </c>
      <c r="L500" s="28">
        <f>ROUNDUP(J500*3.28,0)</f>
        <v>29</v>
      </c>
      <c r="M500" s="140" t="str">
        <f>VLOOKUP(I500,[1]MATERIALES!$D$5:$I$1368,2,FALSE)</f>
        <v xml:space="preserve">Suplidores electricos </v>
      </c>
      <c r="N500" s="367" t="e">
        <f t="shared" si="296"/>
        <v>#VALUE!</v>
      </c>
      <c r="O500" s="140" t="e">
        <f t="shared" si="301"/>
        <v>#VALUE!</v>
      </c>
      <c r="P500" s="367" t="e">
        <f t="shared" si="302"/>
        <v>#VALUE!</v>
      </c>
      <c r="Q500" s="140" t="e">
        <f t="shared" si="297"/>
        <v>#VALUE!</v>
      </c>
      <c r="R500" s="368" t="e">
        <f t="shared" si="298"/>
        <v>#VALUE!</v>
      </c>
      <c r="S500" s="140">
        <f t="shared" si="303"/>
        <v>0</v>
      </c>
      <c r="T500" s="139">
        <f t="shared" si="304"/>
        <v>0</v>
      </c>
      <c r="U500" s="357"/>
      <c r="V500" s="358"/>
      <c r="W500" s="144"/>
    </row>
    <row r="501" spans="1:23" ht="15" hidden="1" customHeight="1" outlineLevel="1" thickBot="1">
      <c r="A501" s="353"/>
      <c r="B501" s="359">
        <f t="shared" si="284"/>
        <v>24.110000000000017</v>
      </c>
      <c r="C501" s="360" t="s">
        <v>814</v>
      </c>
      <c r="D501" s="360" t="s">
        <v>782</v>
      </c>
      <c r="E501" s="360" t="s">
        <v>815</v>
      </c>
      <c r="F501" s="347" t="str">
        <f t="shared" si="299"/>
        <v>240V 1Ø</v>
      </c>
      <c r="G501" s="371" t="str">
        <f>IF(F501="120V 1Ø","-",("Fase B"&amp;": "&amp;I501))</f>
        <v>Fase B: Conductor 10 AWG THHN</v>
      </c>
      <c r="H501" s="366" t="str">
        <f t="shared" ref="H501:I503" si="305">H500</f>
        <v>Conductores Americanos</v>
      </c>
      <c r="I501" s="366" t="str">
        <f t="shared" si="305"/>
        <v>Conductor 10 AWG THHN</v>
      </c>
      <c r="J501" s="366">
        <f>IF(G501="-",0,J491)</f>
        <v>8.82</v>
      </c>
      <c r="K501" s="345" t="str">
        <f t="shared" ref="K501:K507" si="306">IF(OR(H501="Conductores Americanos",H501="Conductores Europeos"),"Pies","Unid.")</f>
        <v>Pies</v>
      </c>
      <c r="L501" s="28">
        <f>ROUNDUP(J501*3.28,0)</f>
        <v>29</v>
      </c>
      <c r="M501" s="140" t="str">
        <f>VLOOKUP(I501,[1]MATERIALES!$D$5:$I$1368,2,FALSE)</f>
        <v xml:space="preserve">Suplidores electricos </v>
      </c>
      <c r="N501" s="367" t="e">
        <f t="shared" si="296"/>
        <v>#VALUE!</v>
      </c>
      <c r="O501" s="140" t="e">
        <f t="shared" si="301"/>
        <v>#VALUE!</v>
      </c>
      <c r="P501" s="367" t="e">
        <f t="shared" si="302"/>
        <v>#VALUE!</v>
      </c>
      <c r="Q501" s="140" t="e">
        <f t="shared" si="297"/>
        <v>#VALUE!</v>
      </c>
      <c r="R501" s="368" t="e">
        <f t="shared" si="298"/>
        <v>#VALUE!</v>
      </c>
      <c r="S501" s="140">
        <f t="shared" si="303"/>
        <v>0</v>
      </c>
      <c r="T501" s="139">
        <f t="shared" si="304"/>
        <v>0</v>
      </c>
      <c r="U501" s="357"/>
      <c r="V501" s="358"/>
      <c r="W501" s="144"/>
    </row>
    <row r="502" spans="1:23" ht="15" hidden="1" customHeight="1" outlineLevel="1" thickBot="1">
      <c r="A502" s="353"/>
      <c r="B502" s="359">
        <f t="shared" si="284"/>
        <v>24.120000000000019</v>
      </c>
      <c r="C502" s="360" t="s">
        <v>814</v>
      </c>
      <c r="D502" s="360" t="s">
        <v>782</v>
      </c>
      <c r="E502" s="360" t="s">
        <v>815</v>
      </c>
      <c r="F502" s="347" t="str">
        <f t="shared" si="299"/>
        <v>240V 1Ø</v>
      </c>
      <c r="G502" s="371" t="str">
        <f>IF(F502="120V 1Ø","-",IF(F502="240V 1Ø","-",("Fase C"&amp;": "&amp;I500)))</f>
        <v>-</v>
      </c>
      <c r="H502" s="366" t="str">
        <f t="shared" si="305"/>
        <v>Conductores Americanos</v>
      </c>
      <c r="I502" s="366" t="str">
        <f t="shared" si="305"/>
        <v>Conductor 10 AWG THHN</v>
      </c>
      <c r="J502" s="366">
        <f>IF(G502="-",0,J491)</f>
        <v>0</v>
      </c>
      <c r="K502" s="345" t="str">
        <f t="shared" si="306"/>
        <v>Pies</v>
      </c>
      <c r="L502" s="28">
        <f>ROUNDUP(J502*3.28,0)</f>
        <v>0</v>
      </c>
      <c r="M502" s="140" t="str">
        <f>VLOOKUP(I502,[1]MATERIALES!$D$5:$I$1368,2,FALSE)</f>
        <v xml:space="preserve">Suplidores electricos </v>
      </c>
      <c r="N502" s="367" t="e">
        <f t="shared" si="296"/>
        <v>#VALUE!</v>
      </c>
      <c r="O502" s="140" t="e">
        <f t="shared" si="301"/>
        <v>#VALUE!</v>
      </c>
      <c r="P502" s="367" t="e">
        <f t="shared" si="302"/>
        <v>#VALUE!</v>
      </c>
      <c r="Q502" s="140" t="e">
        <f t="shared" si="297"/>
        <v>#VALUE!</v>
      </c>
      <c r="R502" s="368" t="e">
        <f t="shared" si="298"/>
        <v>#VALUE!</v>
      </c>
      <c r="S502" s="140">
        <f t="shared" si="303"/>
        <v>0</v>
      </c>
      <c r="T502" s="139">
        <f t="shared" si="304"/>
        <v>0</v>
      </c>
      <c r="U502" s="357"/>
      <c r="V502" s="358"/>
      <c r="W502" s="144"/>
    </row>
    <row r="503" spans="1:23" ht="15" hidden="1" customHeight="1" outlineLevel="1" thickBot="1">
      <c r="A503" s="353"/>
      <c r="B503" s="359">
        <f t="shared" si="284"/>
        <v>24.13000000000002</v>
      </c>
      <c r="C503" s="360" t="s">
        <v>814</v>
      </c>
      <c r="D503" s="360" t="s">
        <v>782</v>
      </c>
      <c r="E503" s="360" t="s">
        <v>815</v>
      </c>
      <c r="F503" s="347" t="str">
        <f t="shared" si="299"/>
        <v>240V 1Ø</v>
      </c>
      <c r="G503" s="372" t="str">
        <f>IF(F503="240V 1Ø","-",IF(F503="480V 3Ø","-",("Neutro"&amp;": "&amp;I500)))</f>
        <v>-</v>
      </c>
      <c r="H503" s="366" t="str">
        <f t="shared" si="305"/>
        <v>Conductores Americanos</v>
      </c>
      <c r="I503" s="366" t="str">
        <f t="shared" si="305"/>
        <v>Conductor 10 AWG THHN</v>
      </c>
      <c r="J503" s="366">
        <f>IF(G503="-",0,J491)</f>
        <v>0</v>
      </c>
      <c r="K503" s="345" t="str">
        <f t="shared" si="306"/>
        <v>Pies</v>
      </c>
      <c r="L503" s="28">
        <f>ROUNDUP(J503*3.28,0)</f>
        <v>0</v>
      </c>
      <c r="M503" s="140" t="str">
        <f>VLOOKUP(I503,[1]MATERIALES!$D$5:$I$1368,2,FALSE)</f>
        <v xml:space="preserve">Suplidores electricos </v>
      </c>
      <c r="N503" s="367" t="e">
        <f t="shared" si="296"/>
        <v>#VALUE!</v>
      </c>
      <c r="O503" s="140" t="e">
        <f t="shared" si="301"/>
        <v>#VALUE!</v>
      </c>
      <c r="P503" s="367" t="e">
        <f t="shared" si="302"/>
        <v>#VALUE!</v>
      </c>
      <c r="Q503" s="140" t="e">
        <f t="shared" si="297"/>
        <v>#VALUE!</v>
      </c>
      <c r="R503" s="368" t="e">
        <f t="shared" si="298"/>
        <v>#VALUE!</v>
      </c>
      <c r="S503" s="140">
        <f t="shared" si="303"/>
        <v>0</v>
      </c>
      <c r="T503" s="139">
        <f t="shared" si="304"/>
        <v>0</v>
      </c>
      <c r="U503" s="357"/>
      <c r="V503" s="358"/>
      <c r="W503" s="144"/>
    </row>
    <row r="504" spans="1:23" ht="15" hidden="1" customHeight="1" outlineLevel="1" thickBot="1">
      <c r="A504" s="353"/>
      <c r="B504" s="359">
        <f t="shared" si="284"/>
        <v>24.140000000000022</v>
      </c>
      <c r="C504" s="360" t="s">
        <v>814</v>
      </c>
      <c r="D504" s="360" t="s">
        <v>782</v>
      </c>
      <c r="E504" s="360" t="s">
        <v>815</v>
      </c>
      <c r="F504" s="347" t="str">
        <f t="shared" si="299"/>
        <v>240V 1Ø</v>
      </c>
      <c r="G504" s="372" t="str">
        <f>"Tierra"&amp;": "&amp;I504</f>
        <v>Tierra: Conductor 10 AWG THHN</v>
      </c>
      <c r="H504" s="366" t="str">
        <f>H503</f>
        <v>Conductores Americanos</v>
      </c>
      <c r="I504" s="366" t="str">
        <f>I503</f>
        <v>Conductor 10 AWG THHN</v>
      </c>
      <c r="J504" s="366">
        <f>J491</f>
        <v>8.82</v>
      </c>
      <c r="K504" s="345" t="str">
        <f t="shared" si="306"/>
        <v>Pies</v>
      </c>
      <c r="L504" s="28">
        <f>ROUNDUP(J504*3.28,0)</f>
        <v>29</v>
      </c>
      <c r="M504" s="140" t="str">
        <f>VLOOKUP(I504,[1]MATERIALES!$D$5:$I$1368,2,FALSE)</f>
        <v xml:space="preserve">Suplidores electricos </v>
      </c>
      <c r="N504" s="367" t="e">
        <f t="shared" si="296"/>
        <v>#VALUE!</v>
      </c>
      <c r="O504" s="140" t="e">
        <f t="shared" si="301"/>
        <v>#VALUE!</v>
      </c>
      <c r="P504" s="367" t="e">
        <f t="shared" si="302"/>
        <v>#VALUE!</v>
      </c>
      <c r="Q504" s="140" t="e">
        <f t="shared" si="297"/>
        <v>#VALUE!</v>
      </c>
      <c r="R504" s="368" t="e">
        <f t="shared" si="298"/>
        <v>#VALUE!</v>
      </c>
      <c r="S504" s="140">
        <f t="shared" si="303"/>
        <v>0</v>
      </c>
      <c r="T504" s="139">
        <f t="shared" si="304"/>
        <v>0</v>
      </c>
      <c r="U504" s="357"/>
      <c r="V504" s="358"/>
      <c r="W504" s="144"/>
    </row>
    <row r="505" spans="1:23" ht="15" hidden="1" customHeight="1" outlineLevel="1" thickBot="1">
      <c r="A505" s="353"/>
      <c r="B505" s="359">
        <f t="shared" si="284"/>
        <v>24.150000000000023</v>
      </c>
      <c r="C505" s="360" t="s">
        <v>814</v>
      </c>
      <c r="D505" s="360" t="s">
        <v>782</v>
      </c>
      <c r="E505" s="360" t="s">
        <v>815</v>
      </c>
      <c r="F505" s="347" t="str">
        <f t="shared" si="299"/>
        <v>240V 1Ø</v>
      </c>
      <c r="G505" s="361" t="str" cm="1">
        <f t="array" ref="G505">IFERROR(VLOOKUP(H505&amp;"|"&amp;I505,CHOOSE({1,2},[1]MATERIALES!$B$168:$B$175&amp;"|"&amp;[1]MATERIALES!$C$168:$C$175,[1]MATERIALES!$D$168:$D$175),2,0),"-")</f>
        <v>Tomacorriente 15A Matix (AM5115D + 503SB/SA)</v>
      </c>
      <c r="H505" s="373" t="s">
        <v>382</v>
      </c>
      <c r="I505" s="373" t="s">
        <v>380</v>
      </c>
      <c r="J505" s="316"/>
      <c r="K505" s="345" t="str">
        <f t="shared" si="306"/>
        <v>Unid.</v>
      </c>
      <c r="L505" s="218">
        <v>0</v>
      </c>
      <c r="M505" s="248">
        <f>IFERROR(VLOOKUP(G505,[1]MATERIALES!$D$5:$I$1368,2,FALSE),0)</f>
        <v>0</v>
      </c>
      <c r="N505" s="367">
        <f t="shared" si="296"/>
        <v>0</v>
      </c>
      <c r="O505" s="140">
        <f t="shared" si="301"/>
        <v>0</v>
      </c>
      <c r="P505" s="367">
        <f t="shared" si="302"/>
        <v>0</v>
      </c>
      <c r="Q505" s="140">
        <f t="shared" si="297"/>
        <v>0</v>
      </c>
      <c r="R505" s="368">
        <f t="shared" si="298"/>
        <v>0</v>
      </c>
      <c r="S505" s="140">
        <f t="shared" si="303"/>
        <v>0</v>
      </c>
      <c r="T505" s="139">
        <f t="shared" si="304"/>
        <v>0</v>
      </c>
      <c r="U505" s="357"/>
      <c r="V505" s="358"/>
      <c r="W505" s="144"/>
    </row>
    <row r="506" spans="1:23" ht="15" hidden="1" customHeight="1" outlineLevel="1" thickBot="1">
      <c r="A506" s="353"/>
      <c r="B506" s="359">
        <f t="shared" si="284"/>
        <v>24.160000000000025</v>
      </c>
      <c r="C506" s="360" t="s">
        <v>814</v>
      </c>
      <c r="D506" s="360" t="s">
        <v>782</v>
      </c>
      <c r="E506" s="360" t="s">
        <v>815</v>
      </c>
      <c r="F506" s="347" t="str">
        <f t="shared" si="299"/>
        <v>240V 1Ø</v>
      </c>
      <c r="G506" s="361" t="str" cm="1">
        <f t="array" ref="G506">IFERROR(VLOOKUP(H506&amp;"|"&amp;I506,CHOOSE({1,2},[1]MATERIALES!$B$176:$B$185&amp;"|"&amp;[1]MATERIALES!$C$176:$C$185,[1]MATERIALES!$D$176:$D$185),2,0),"-")</f>
        <v>Tapa para tomacorriente MATIX (AM503/3N)</v>
      </c>
      <c r="H506" s="366" t="str">
        <f>H505</f>
        <v>MATIX</v>
      </c>
      <c r="I506" s="373" t="s">
        <v>392</v>
      </c>
      <c r="J506" s="316"/>
      <c r="K506" s="345" t="str">
        <f t="shared" si="306"/>
        <v>Unid.</v>
      </c>
      <c r="L506" s="345">
        <f>L505</f>
        <v>0</v>
      </c>
      <c r="M506" s="248">
        <f>IFERROR(VLOOKUP(G506,[1]MATERIALES!$D$5:$I$1368,2,FALSE),0)</f>
        <v>0</v>
      </c>
      <c r="N506" s="367">
        <f t="shared" si="296"/>
        <v>0</v>
      </c>
      <c r="O506" s="140">
        <f t="shared" si="301"/>
        <v>0</v>
      </c>
      <c r="P506" s="367">
        <f t="shared" si="302"/>
        <v>0</v>
      </c>
      <c r="Q506" s="140">
        <f t="shared" si="297"/>
        <v>0</v>
      </c>
      <c r="R506" s="368">
        <f t="shared" si="298"/>
        <v>0</v>
      </c>
      <c r="S506" s="140">
        <f t="shared" si="303"/>
        <v>0</v>
      </c>
      <c r="T506" s="139">
        <f t="shared" si="304"/>
        <v>0</v>
      </c>
      <c r="U506" s="357"/>
      <c r="V506" s="358"/>
      <c r="W506" s="144"/>
    </row>
    <row r="507" spans="1:23" ht="15" hidden="1" customHeight="1" outlineLevel="1" thickBot="1">
      <c r="A507" s="353"/>
      <c r="B507" s="359">
        <f t="shared" si="284"/>
        <v>24.170000000000027</v>
      </c>
      <c r="C507" s="360" t="s">
        <v>814</v>
      </c>
      <c r="D507" s="360" t="s">
        <v>782</v>
      </c>
      <c r="E507" s="360" t="s">
        <v>815</v>
      </c>
      <c r="F507" s="347" t="str">
        <f t="shared" si="299"/>
        <v>240V 1Ø</v>
      </c>
      <c r="G507" s="371" t="s">
        <v>422</v>
      </c>
      <c r="H507" s="316"/>
      <c r="I507" s="316"/>
      <c r="J507" s="316"/>
      <c r="K507" s="345" t="str">
        <f t="shared" si="306"/>
        <v>Unid.</v>
      </c>
      <c r="L507" s="345">
        <f>3*(L496)</f>
        <v>3</v>
      </c>
      <c r="M507" s="248">
        <f>IFERROR(VLOOKUP(G507,[1]MATERIALES!$D$5:$I$1368,2,FALSE),0)</f>
        <v>0</v>
      </c>
      <c r="N507" s="367">
        <f t="shared" si="296"/>
        <v>0</v>
      </c>
      <c r="O507" s="140">
        <f t="shared" si="301"/>
        <v>0</v>
      </c>
      <c r="P507" s="367">
        <f t="shared" si="302"/>
        <v>0</v>
      </c>
      <c r="Q507" s="140">
        <f t="shared" si="297"/>
        <v>0</v>
      </c>
      <c r="R507" s="368">
        <f t="shared" si="298"/>
        <v>0</v>
      </c>
      <c r="S507" s="140">
        <f t="shared" si="303"/>
        <v>0</v>
      </c>
      <c r="T507" s="139">
        <f t="shared" si="304"/>
        <v>0</v>
      </c>
      <c r="U507" s="357" t="e">
        <f>SUM(R507:R509)</f>
        <v>#VALUE!</v>
      </c>
      <c r="V507" s="358" t="e">
        <f>'[1]1. OFERTA'!#REF!</f>
        <v>#REF!</v>
      </c>
      <c r="W507" s="144" t="e">
        <f>U507-V507</f>
        <v>#VALUE!</v>
      </c>
    </row>
    <row r="508" spans="1:23" ht="15" hidden="1" customHeight="1" outlineLevel="1" thickBot="1">
      <c r="A508" s="353"/>
      <c r="B508" s="359">
        <f t="shared" si="284"/>
        <v>24.180000000000028</v>
      </c>
      <c r="C508" s="360" t="s">
        <v>814</v>
      </c>
      <c r="D508" s="360" t="s">
        <v>782</v>
      </c>
      <c r="E508" s="360" t="s">
        <v>815</v>
      </c>
      <c r="F508" s="347" t="str">
        <f t="shared" si="299"/>
        <v>240V 1Ø</v>
      </c>
      <c r="G508" s="374" t="s">
        <v>424</v>
      </c>
      <c r="H508" s="316"/>
      <c r="I508" s="316"/>
      <c r="J508" s="316"/>
      <c r="K508" s="345" t="s">
        <v>784</v>
      </c>
      <c r="L508" s="28">
        <f>ROUNDUP(L495+L496+L498,0)</f>
        <v>10</v>
      </c>
      <c r="M508" s="248">
        <f>IFERROR(VLOOKUP(G508,[1]MATERIALES!$D$5:$I$1368,2,FALSE),0)</f>
        <v>0</v>
      </c>
      <c r="N508" s="367">
        <f t="shared" si="296"/>
        <v>0</v>
      </c>
      <c r="O508" s="140">
        <f t="shared" si="301"/>
        <v>0</v>
      </c>
      <c r="P508" s="367">
        <f t="shared" si="302"/>
        <v>0</v>
      </c>
      <c r="Q508" s="140">
        <f t="shared" si="297"/>
        <v>0</v>
      </c>
      <c r="R508" s="368">
        <f t="shared" si="298"/>
        <v>0</v>
      </c>
      <c r="S508" s="140">
        <f t="shared" si="303"/>
        <v>0</v>
      </c>
      <c r="T508" s="139">
        <f t="shared" si="304"/>
        <v>0</v>
      </c>
      <c r="U508" s="357"/>
      <c r="V508" s="358"/>
      <c r="W508" s="144"/>
    </row>
    <row r="509" spans="1:23" ht="15" hidden="1" customHeight="1" outlineLevel="1" thickBot="1">
      <c r="A509" s="353"/>
      <c r="B509" s="359">
        <f t="shared" si="284"/>
        <v>24.19000000000003</v>
      </c>
      <c r="C509" s="360" t="s">
        <v>814</v>
      </c>
      <c r="D509" s="360" t="s">
        <v>782</v>
      </c>
      <c r="E509" s="360" t="s">
        <v>815</v>
      </c>
      <c r="F509" s="347" t="str">
        <f t="shared" si="299"/>
        <v>240V 1Ø</v>
      </c>
      <c r="G509" s="374" t="s">
        <v>168</v>
      </c>
      <c r="H509" s="316"/>
      <c r="I509" s="316"/>
      <c r="J509" s="316"/>
      <c r="K509" s="345" t="s">
        <v>784</v>
      </c>
      <c r="L509" s="28">
        <f>L508</f>
        <v>10</v>
      </c>
      <c r="M509" s="248" t="str">
        <f>IFERROR(VLOOKUP(G509,[1]MATERIALES!$D$5:$I$1368,2,FALSE),0)</f>
        <v xml:space="preserve">Marba Dominicana </v>
      </c>
      <c r="N509" s="367" t="e">
        <f t="shared" si="296"/>
        <v>#VALUE!</v>
      </c>
      <c r="O509" s="140" t="e">
        <f t="shared" si="301"/>
        <v>#VALUE!</v>
      </c>
      <c r="P509" s="367" t="e">
        <f t="shared" si="302"/>
        <v>#VALUE!</v>
      </c>
      <c r="Q509" s="140" t="e">
        <f t="shared" si="297"/>
        <v>#VALUE!</v>
      </c>
      <c r="R509" s="368" t="e">
        <f t="shared" si="298"/>
        <v>#VALUE!</v>
      </c>
      <c r="S509" s="140">
        <f t="shared" si="303"/>
        <v>0</v>
      </c>
      <c r="T509" s="139">
        <f t="shared" si="304"/>
        <v>0</v>
      </c>
      <c r="U509" s="357"/>
      <c r="V509" s="358"/>
      <c r="W509" s="144"/>
    </row>
    <row r="510" spans="1:23" ht="15" customHeight="1" collapsed="1" thickBot="1">
      <c r="A510" s="353"/>
      <c r="B510" s="354">
        <v>25</v>
      </c>
      <c r="C510" s="355" t="s">
        <v>816</v>
      </c>
      <c r="D510" s="269" t="s">
        <v>782</v>
      </c>
      <c r="E510" s="269" t="s">
        <v>817</v>
      </c>
      <c r="F510" s="270" t="s">
        <v>809</v>
      </c>
      <c r="G510" s="271"/>
      <c r="H510" s="272"/>
      <c r="I510" s="272"/>
      <c r="J510" s="272"/>
      <c r="K510" s="268"/>
      <c r="L510" s="268"/>
      <c r="M510" s="273"/>
      <c r="N510" s="274"/>
      <c r="O510" s="273"/>
      <c r="P510" s="274"/>
      <c r="Q510" s="273"/>
      <c r="R510" s="275"/>
      <c r="S510" s="273"/>
      <c r="T510" s="276"/>
      <c r="U510" s="357" t="e">
        <f>SUM(R511:R529)</f>
        <v>#VALUE!</v>
      </c>
      <c r="V510" s="358" t="e">
        <f>'[1]1. OFERTA'!#REF!</f>
        <v>#REF!</v>
      </c>
      <c r="W510" s="144" t="e">
        <f>U510-V510</f>
        <v>#VALUE!</v>
      </c>
    </row>
    <row r="511" spans="1:23" ht="15" hidden="1" customHeight="1" outlineLevel="1" thickBot="1">
      <c r="A511" s="353"/>
      <c r="B511" s="359">
        <f t="shared" si="284"/>
        <v>25.01</v>
      </c>
      <c r="C511" s="360" t="s">
        <v>816</v>
      </c>
      <c r="D511" s="360" t="s">
        <v>782</v>
      </c>
      <c r="E511" s="360" t="s">
        <v>817</v>
      </c>
      <c r="F511" s="347" t="s">
        <v>809</v>
      </c>
      <c r="G511" s="361" t="str">
        <f>IF(H511="PVC",VLOOKUP(I511,[1]MATERIALES!$C$5:$D$11,2,FALSE),IF(H511="EMT",VLOOKUP(I511,[1]MATERIALES!$C$40:$D$46,2,FALSE),IF(H511="IMC",VLOOKUP(I511,[1]MATERIALES!$C$82:$D$88,2,FALSE),IF(H511="LFNC",VLOOKUP(I511,[1]MATERIALES!$C$110:$D$116,2,FALSE),0))))</f>
        <v>Tubería PVC SDR-26 1/2"</v>
      </c>
      <c r="H511" s="362" t="s">
        <v>184</v>
      </c>
      <c r="I511" s="362" t="s">
        <v>216</v>
      </c>
      <c r="J511" s="362">
        <v>15.6</v>
      </c>
      <c r="K511" s="134" t="str">
        <f>IF(OR(H511="Conductores Americanos",H511="Conductores Europeos"),"Pies","Unid.")</f>
        <v>Unid.</v>
      </c>
      <c r="L511" s="363">
        <f>IF(H511="PVC",ROUNDUP(J511/6,0),IF(H511="EMT",ROUNDUP(J511/3,0),IF(H511="IMC",ROUNDUP(J511/3,0),IF(H511="LFNC",ROUNDUP(3.28*J511,0),0))))</f>
        <v>3</v>
      </c>
      <c r="M511" s="248" t="str">
        <f>IFERROR(VLOOKUP(G511,[1]MATERIALES!$D$5:$I$1368,2,FALSE),0)</f>
        <v xml:space="preserve">Suplidores electricos </v>
      </c>
      <c r="N511" s="364" t="e">
        <f t="shared" ref="N511:N529" si="307">M511/$N$2</f>
        <v>#VALUE!</v>
      </c>
      <c r="O511" s="248" t="e">
        <f>+L511*M511</f>
        <v>#VALUE!</v>
      </c>
      <c r="P511" s="364" t="e">
        <f>L511*N511</f>
        <v>#VALUE!</v>
      </c>
      <c r="Q511" s="248" t="e">
        <f t="shared" ref="Q511:Q529" si="308">+$O511+($O511*$R$2)</f>
        <v>#VALUE!</v>
      </c>
      <c r="R511" s="365" t="e">
        <f t="shared" ref="R511:R529" si="309">+$P511+($P511*$R$2)</f>
        <v>#VALUE!</v>
      </c>
      <c r="S511" s="248">
        <f>+IFERROR(Q511/L511,0)</f>
        <v>0</v>
      </c>
      <c r="T511" s="146">
        <f>+IFERROR(R511/L511,0)</f>
        <v>0</v>
      </c>
      <c r="U511" s="357"/>
      <c r="V511" s="358"/>
      <c r="W511" s="144"/>
    </row>
    <row r="512" spans="1:23" ht="15" hidden="1" customHeight="1" outlineLevel="1" thickBot="1">
      <c r="A512" s="353"/>
      <c r="B512" s="359">
        <f t="shared" si="284"/>
        <v>25.020000000000003</v>
      </c>
      <c r="C512" s="360" t="s">
        <v>816</v>
      </c>
      <c r="D512" s="360" t="s">
        <v>782</v>
      </c>
      <c r="E512" s="360" t="s">
        <v>817</v>
      </c>
      <c r="F512" s="347" t="str">
        <f t="shared" ref="F512:F529" si="310">F511</f>
        <v>240V 1Ø</v>
      </c>
      <c r="G512" s="361" t="str">
        <f>IF(H512="PVC",VLOOKUP(I512,[1]MATERIALES!$C$12:$D$18,2,FALSE),IF(H512="EMT",VLOOKUP(I512,[1]MATERIALES!$C$47:$D$53,2,FALSE),IF(H512="IMC",VLOOKUP(I512,[1]MATERIALES!$C$89:$D$96,2,FALSE),"-")))</f>
        <v>Coupling PVC 1/2"</v>
      </c>
      <c r="H512" s="366" t="str">
        <f>H511</f>
        <v>PVC</v>
      </c>
      <c r="I512" s="366" t="str">
        <f>I511</f>
        <v>13mm</v>
      </c>
      <c r="J512" s="316"/>
      <c r="K512" s="345" t="str">
        <f t="shared" ref="K512:K519" si="311">IF(OR(H512="Conductores Americanos",H512="Conductores Europeos"),"Pies","Unid.")</f>
        <v>Unid.</v>
      </c>
      <c r="L512" s="28">
        <f>IF(H512="LFNC",0,L511)</f>
        <v>3</v>
      </c>
      <c r="M512" s="140" t="str">
        <f>IF(H512="LFNC",0,VLOOKUP(G512,[1]MATERIALES!$D$5:$I$1368,2,FALSE))</f>
        <v xml:space="preserve">Suplidores electricos </v>
      </c>
      <c r="N512" s="367" t="e">
        <f t="shared" si="307"/>
        <v>#VALUE!</v>
      </c>
      <c r="O512" s="140" t="e">
        <f t="shared" ref="O512:O529" si="312">+L512*M512</f>
        <v>#VALUE!</v>
      </c>
      <c r="P512" s="367" t="e">
        <f t="shared" ref="P512:P529" si="313">L512*N512</f>
        <v>#VALUE!</v>
      </c>
      <c r="Q512" s="140" t="e">
        <f t="shared" si="308"/>
        <v>#VALUE!</v>
      </c>
      <c r="R512" s="368" t="e">
        <f t="shared" si="309"/>
        <v>#VALUE!</v>
      </c>
      <c r="S512" s="140">
        <f t="shared" ref="S512:S529" si="314">+IFERROR(Q512/L512,0)</f>
        <v>0</v>
      </c>
      <c r="T512" s="139">
        <f t="shared" ref="T512:T529" si="315">+IFERROR(R512/L512,0)</f>
        <v>0</v>
      </c>
      <c r="U512" s="357"/>
      <c r="V512" s="358"/>
      <c r="W512" s="144"/>
    </row>
    <row r="513" spans="1:23" ht="15" hidden="1" customHeight="1" outlineLevel="1" thickBot="1">
      <c r="A513" s="353"/>
      <c r="B513" s="359">
        <f t="shared" si="284"/>
        <v>25.030000000000005</v>
      </c>
      <c r="C513" s="360" t="s">
        <v>816</v>
      </c>
      <c r="D513" s="360" t="s">
        <v>782</v>
      </c>
      <c r="E513" s="360" t="s">
        <v>817</v>
      </c>
      <c r="F513" s="347" t="str">
        <f t="shared" si="310"/>
        <v>240V 1Ø</v>
      </c>
      <c r="G513" s="361" t="str">
        <f>IF(H513="PVC",VLOOKUP(I513,[1]MATERIALES!$C$19:$D$25,2,FALSE),IF(H513="EMT",VLOOKUP(I513,[1]MATERIALES!$C$54:$D$60,2,FALSE),IF(H513="IMC",VLOOKUP(I513,[1]MATERIALES!$C$96:$D$102,2,FALSE),IF(H513="LFNC",VLOOKUP(I513,[1]MATERIALES!$C$117:$D$123,2,FALSE),0))))</f>
        <v>Adaptador Macho PVC 1/2"</v>
      </c>
      <c r="H513" s="366" t="str">
        <f>H511</f>
        <v>PVC</v>
      </c>
      <c r="I513" s="366" t="str">
        <f>I511</f>
        <v>13mm</v>
      </c>
      <c r="J513" s="316"/>
      <c r="K513" s="345" t="str">
        <f t="shared" si="311"/>
        <v>Unid.</v>
      </c>
      <c r="L513" s="28">
        <f>1+L516*2+L518</f>
        <v>3</v>
      </c>
      <c r="M513" s="248" t="str">
        <f>IFERROR(VLOOKUP(G513,[1]MATERIALES!$D$5:$I$1368,2,FALSE),0)</f>
        <v xml:space="preserve">Suplidores electricos </v>
      </c>
      <c r="N513" s="367" t="e">
        <f t="shared" si="307"/>
        <v>#VALUE!</v>
      </c>
      <c r="O513" s="140" t="e">
        <f t="shared" si="312"/>
        <v>#VALUE!</v>
      </c>
      <c r="P513" s="367" t="e">
        <f t="shared" si="313"/>
        <v>#VALUE!</v>
      </c>
      <c r="Q513" s="140" t="e">
        <f t="shared" si="308"/>
        <v>#VALUE!</v>
      </c>
      <c r="R513" s="368" t="e">
        <f t="shared" si="309"/>
        <v>#VALUE!</v>
      </c>
      <c r="S513" s="140">
        <f t="shared" si="314"/>
        <v>0</v>
      </c>
      <c r="T513" s="139">
        <f t="shared" si="315"/>
        <v>0</v>
      </c>
      <c r="U513" s="357"/>
      <c r="V513" s="358"/>
      <c r="W513" s="144"/>
    </row>
    <row r="514" spans="1:23" ht="15" hidden="1" customHeight="1" outlineLevel="1" thickBot="1">
      <c r="A514" s="353"/>
      <c r="B514" s="359">
        <f t="shared" si="284"/>
        <v>25.040000000000006</v>
      </c>
      <c r="C514" s="360" t="s">
        <v>816</v>
      </c>
      <c r="D514" s="360" t="s">
        <v>782</v>
      </c>
      <c r="E514" s="360" t="s">
        <v>817</v>
      </c>
      <c r="F514" s="347" t="str">
        <f t="shared" si="310"/>
        <v>240V 1Ø</v>
      </c>
      <c r="G514" s="361" t="str">
        <f>IF(H514="PVC",VLOOKUP(I514,[1]MATERIALES!$C$33:$D$39,2,FALSE),IF(H514="EMT",VLOOKUP(I514,[1]MATERIALES!$C$61:$D$67,2,FALSE),IF(H514="IMC",VLOOKUP(I514,[1]MATERIALES!$C$103:$D$109,2,FALSE),"-")))</f>
        <v>Curva 90 PVC SDR 1/2"</v>
      </c>
      <c r="H514" s="366" t="str">
        <f>H511</f>
        <v>PVC</v>
      </c>
      <c r="I514" s="366" t="str">
        <f>I511</f>
        <v>13mm</v>
      </c>
      <c r="J514" s="316"/>
      <c r="K514" s="345" t="str">
        <f t="shared" si="311"/>
        <v>Unid.</v>
      </c>
      <c r="L514" s="28">
        <f>IF(H514="LFNC",0,(1+L525))</f>
        <v>1</v>
      </c>
      <c r="M514" s="140" t="str">
        <f>IF(H514="LFNC",0,VLOOKUP(G514,[1]MATERIALES!$D$5:$I$1368,2,FALSE))</f>
        <v xml:space="preserve">Suplidores electricos </v>
      </c>
      <c r="N514" s="367" t="e">
        <f t="shared" si="307"/>
        <v>#VALUE!</v>
      </c>
      <c r="O514" s="140" t="e">
        <f t="shared" si="312"/>
        <v>#VALUE!</v>
      </c>
      <c r="P514" s="367" t="e">
        <f t="shared" si="313"/>
        <v>#VALUE!</v>
      </c>
      <c r="Q514" s="140" t="e">
        <f t="shared" si="308"/>
        <v>#VALUE!</v>
      </c>
      <c r="R514" s="368" t="e">
        <f t="shared" si="309"/>
        <v>#VALUE!</v>
      </c>
      <c r="S514" s="140">
        <f t="shared" si="314"/>
        <v>0</v>
      </c>
      <c r="T514" s="139">
        <f t="shared" si="315"/>
        <v>0</v>
      </c>
      <c r="U514" s="357"/>
      <c r="V514" s="358"/>
      <c r="W514" s="144"/>
    </row>
    <row r="515" spans="1:23" ht="15" hidden="1" customHeight="1" outlineLevel="1" thickBot="1">
      <c r="A515" s="353"/>
      <c r="B515" s="359">
        <f t="shared" si="284"/>
        <v>25.050000000000008</v>
      </c>
      <c r="C515" s="360" t="s">
        <v>816</v>
      </c>
      <c r="D515" s="360" t="s">
        <v>782</v>
      </c>
      <c r="E515" s="360" t="s">
        <v>817</v>
      </c>
      <c r="F515" s="347" t="str">
        <f t="shared" si="310"/>
        <v>240V 1Ø</v>
      </c>
      <c r="G515" s="361" t="str">
        <f>VLOOKUP(I515,[1]MATERIALES!$C$68:$D$74,2,FALSE)</f>
        <v>Abrazadera EMT 1/2'' </v>
      </c>
      <c r="H515" s="316"/>
      <c r="I515" s="366" t="str">
        <f>I511</f>
        <v>13mm</v>
      </c>
      <c r="J515" s="316"/>
      <c r="K515" s="345" t="str">
        <f t="shared" si="311"/>
        <v>Unid.</v>
      </c>
      <c r="L515" s="28">
        <f>ROUNDUP(J511,0)</f>
        <v>16</v>
      </c>
      <c r="M515" s="248" t="str">
        <f>IFERROR(VLOOKUP(G515,[1]MATERIALES!$D$5:$I$1368,2,FALSE),0)</f>
        <v xml:space="preserve">Suplidores electricos </v>
      </c>
      <c r="N515" s="367" t="e">
        <f t="shared" si="307"/>
        <v>#VALUE!</v>
      </c>
      <c r="O515" s="140" t="e">
        <f t="shared" si="312"/>
        <v>#VALUE!</v>
      </c>
      <c r="P515" s="367" t="e">
        <f t="shared" si="313"/>
        <v>#VALUE!</v>
      </c>
      <c r="Q515" s="140" t="e">
        <f t="shared" si="308"/>
        <v>#VALUE!</v>
      </c>
      <c r="R515" s="368" t="e">
        <f t="shared" si="309"/>
        <v>#VALUE!</v>
      </c>
      <c r="S515" s="140">
        <f t="shared" si="314"/>
        <v>0</v>
      </c>
      <c r="T515" s="139">
        <f t="shared" si="315"/>
        <v>0</v>
      </c>
      <c r="U515" s="357"/>
      <c r="V515" s="358"/>
      <c r="W515" s="144"/>
    </row>
    <row r="516" spans="1:23" ht="15" hidden="1" customHeight="1" outlineLevel="1" thickBot="1">
      <c r="A516" s="353"/>
      <c r="B516" s="359">
        <f t="shared" si="284"/>
        <v>25.060000000000009</v>
      </c>
      <c r="C516" s="360" t="s">
        <v>816</v>
      </c>
      <c r="D516" s="360" t="s">
        <v>782</v>
      </c>
      <c r="E516" s="360" t="s">
        <v>817</v>
      </c>
      <c r="F516" s="347" t="str">
        <f t="shared" si="310"/>
        <v>240V 1Ø</v>
      </c>
      <c r="G516" s="361" t="str" cm="1">
        <f t="array" ref="G516">_xlfn.SWITCH(I516,"13mm",(IF(H516="Rectangular",VLOOKUP(I516,[1]MATERIALES!$C$124:$D$125,2,FALSE),IF(H516="Octagonal",VLOOKUP(I516,[1]MATERIALES!$C$126:$D$127,2,FALSE),IF(H516="WP",VLOOKUP(I516,[1]MATERIALES!$C$128:$D$129,2,FALSE),IF(H516="5x5",VLOOKUP(I516,[1]MATERIALES!$C$130:$D$132,2,FALSE)))))),"19mm",(IF(H516="Rectangular",VLOOKUP(I516,[1]MATERIALES!$C$124:$D$125,2,FALSE),IF(H516="Octagonal",VLOOKUP(I516,[1]MATERIALES!$C$126:$D$127,2,FALSE),IF(H516="WP",VLOOKUP(I516,[1]MATERIALES!$C$128:$D$129,2,FALSE),IF(H516="5x5",VLOOKUP(I516,[1]MATERIALES!$C$130:$D$132,2,FALSE)))))),"25mm",IF(H516="Rectangular","-",IF(H516="Octagonal","--",IF(H516="WP","---",IF(H516="5x5",VLOOKUP(I516,[1]MATERIALES!$C$130:$D$132,2,FALSE),0)))),"38mm","-","50mm","-","75mm","-","100mm","-")</f>
        <v>Caja octagonal EMT 1/2" USA UL</v>
      </c>
      <c r="H516" s="369" t="s">
        <v>194</v>
      </c>
      <c r="I516" s="366" t="str">
        <f>I511</f>
        <v>13mm</v>
      </c>
      <c r="J516" s="316"/>
      <c r="K516" s="345" t="str">
        <f t="shared" si="311"/>
        <v>Unid.</v>
      </c>
      <c r="L516" s="28">
        <f>1+L525</f>
        <v>1</v>
      </c>
      <c r="M516" s="248" t="str">
        <f>IFERROR(VLOOKUP(G516,[1]MATERIALES!$D$5:$I$1368,2,FALSE),0)</f>
        <v xml:space="preserve">Suplidores electricos </v>
      </c>
      <c r="N516" s="367" t="e">
        <f t="shared" si="307"/>
        <v>#VALUE!</v>
      </c>
      <c r="O516" s="140" t="e">
        <f t="shared" si="312"/>
        <v>#VALUE!</v>
      </c>
      <c r="P516" s="367" t="e">
        <f t="shared" si="313"/>
        <v>#VALUE!</v>
      </c>
      <c r="Q516" s="140" t="e">
        <f t="shared" si="308"/>
        <v>#VALUE!</v>
      </c>
      <c r="R516" s="368" t="e">
        <f t="shared" si="309"/>
        <v>#VALUE!</v>
      </c>
      <c r="S516" s="140">
        <f t="shared" si="314"/>
        <v>0</v>
      </c>
      <c r="T516" s="139">
        <f t="shared" si="315"/>
        <v>0</v>
      </c>
      <c r="U516" s="357"/>
      <c r="V516" s="358"/>
      <c r="W516" s="144"/>
    </row>
    <row r="517" spans="1:23" ht="15" hidden="1" customHeight="1" outlineLevel="1" thickBot="1">
      <c r="A517" s="353"/>
      <c r="B517" s="359">
        <f t="shared" si="284"/>
        <v>25.070000000000011</v>
      </c>
      <c r="C517" s="360" t="s">
        <v>816</v>
      </c>
      <c r="D517" s="360" t="s">
        <v>782</v>
      </c>
      <c r="E517" s="360" t="s">
        <v>817</v>
      </c>
      <c r="F517" s="347" t="str">
        <f t="shared" si="310"/>
        <v>240V 1Ø</v>
      </c>
      <c r="G517" s="370" t="str">
        <f>IF(H517="Rectangular",[1]MATERIALES!$D$133,IF(H516="Octagonal",[1]MATERIALES!$D$134,IF(H516="WP",[1]MATERIALES!$D$135,IF(H516="5x5",[1]MATERIALES!$D$136,0))))</f>
        <v>Tapa caja EMT 2x4 Inoxidable.</v>
      </c>
      <c r="H517" s="369" t="str">
        <f>H516</f>
        <v>Octagonal</v>
      </c>
      <c r="I517" s="366" t="str">
        <f>I511</f>
        <v>13mm</v>
      </c>
      <c r="J517" s="316"/>
      <c r="K517" s="345" t="str">
        <f t="shared" si="311"/>
        <v>Unid.</v>
      </c>
      <c r="L517" s="28">
        <f>L516</f>
        <v>1</v>
      </c>
      <c r="M517" s="248" t="str">
        <f>IFERROR(VLOOKUP(G517,[1]MATERIALES!$D$5:$I$1368,2,FALSE),0)</f>
        <v xml:space="preserve">Suplidores electricos </v>
      </c>
      <c r="N517" s="367" t="e">
        <f t="shared" si="307"/>
        <v>#VALUE!</v>
      </c>
      <c r="O517" s="140" t="e">
        <f t="shared" si="312"/>
        <v>#VALUE!</v>
      </c>
      <c r="P517" s="367" t="e">
        <f t="shared" si="313"/>
        <v>#VALUE!</v>
      </c>
      <c r="Q517" s="140" t="e">
        <f t="shared" si="308"/>
        <v>#VALUE!</v>
      </c>
      <c r="R517" s="368" t="e">
        <f t="shared" si="309"/>
        <v>#VALUE!</v>
      </c>
      <c r="S517" s="140">
        <f t="shared" si="314"/>
        <v>0</v>
      </c>
      <c r="T517" s="139">
        <f t="shared" si="315"/>
        <v>0</v>
      </c>
      <c r="U517" s="357"/>
      <c r="V517" s="358"/>
      <c r="W517" s="144"/>
    </row>
    <row r="518" spans="1:23" ht="15" hidden="1" customHeight="1" outlineLevel="1" thickBot="1">
      <c r="A518" s="353"/>
      <c r="B518" s="359">
        <f t="shared" si="284"/>
        <v>25.080000000000013</v>
      </c>
      <c r="C518" s="360" t="s">
        <v>816</v>
      </c>
      <c r="D518" s="360" t="s">
        <v>782</v>
      </c>
      <c r="E518" s="360" t="s">
        <v>817</v>
      </c>
      <c r="F518" s="347" t="str">
        <f t="shared" si="310"/>
        <v>240V 1Ø</v>
      </c>
      <c r="G518" s="361" t="str" cm="1">
        <f t="array" ref="G518">_xlfn.SWITCH(I518,"13mm",(IF(H518="Rectangular",VLOOKUP(I518,[1]MATERIALES!$C$124:$D$125,2,FALSE),IF(H518="Octagonal",VLOOKUP(I518,[1]MATERIALES!$C$126:$D$127,2,FALSE),IF(H518="WP",VLOOKUP(I518,[1]MATERIALES!$C$128:$D$129,2,FALSE),IF(H518="5x5",VLOOKUP(I518,[1]MATERIALES!$C$130:$D$132,2,FALSE)))))),"19mm",(IF(H518="Rectangular",VLOOKUP(I518,[1]MATERIALES!$C$124:$D$125,2,FALSE),IF(H518="Octagonal",VLOOKUP(I518,[1]MATERIALES!$C$126:$D$127,2,FALSE),IF(H518="WP",VLOOKUP(I518,[1]MATERIALES!$C$128:$D$129,2,FALSE),IF(H518="5x5",VLOOKUP(I518,[1]MATERIALES!$C$130:$D$132,2,FALSE)))))),"25mm",IF(H518="Rectangular","-",IF(H518="Octagonal","--",IF(H518="WP","---",IF(H518="5x5",VLOOKUP(I518,[1]MATERIALES!$C$130:$D$132,2,FALSE),0)))),"38mm","-","50mm","-","75mm","-","100mm","-")</f>
        <v>Caja EMT 2x4 1/2" USA UL</v>
      </c>
      <c r="H518" s="369" t="s">
        <v>188</v>
      </c>
      <c r="I518" s="366" t="str">
        <f>I513</f>
        <v>13mm</v>
      </c>
      <c r="J518" s="316"/>
      <c r="K518" s="345" t="str">
        <f t="shared" si="311"/>
        <v>Unid.</v>
      </c>
      <c r="L518" s="28">
        <f>L525</f>
        <v>0</v>
      </c>
      <c r="M518" s="248" t="str">
        <f>IFERROR(VLOOKUP(G518,[1]MATERIALES!$D$5:$I$1368,2,FALSE),0)</f>
        <v xml:space="preserve">Suplidores electricos </v>
      </c>
      <c r="N518" s="367" t="e">
        <f t="shared" si="307"/>
        <v>#VALUE!</v>
      </c>
      <c r="O518" s="140" t="e">
        <f t="shared" si="312"/>
        <v>#VALUE!</v>
      </c>
      <c r="P518" s="367" t="e">
        <f t="shared" si="313"/>
        <v>#VALUE!</v>
      </c>
      <c r="Q518" s="140" t="e">
        <f t="shared" si="308"/>
        <v>#VALUE!</v>
      </c>
      <c r="R518" s="368" t="e">
        <f t="shared" si="309"/>
        <v>#VALUE!</v>
      </c>
      <c r="S518" s="140">
        <f t="shared" si="314"/>
        <v>0</v>
      </c>
      <c r="T518" s="139">
        <f t="shared" si="315"/>
        <v>0</v>
      </c>
      <c r="U518" s="357"/>
      <c r="V518" s="358"/>
      <c r="W518" s="144"/>
    </row>
    <row r="519" spans="1:23" ht="15" hidden="1" customHeight="1" outlineLevel="1" thickBot="1">
      <c r="A519" s="353"/>
      <c r="B519" s="359">
        <f t="shared" si="284"/>
        <v>25.090000000000014</v>
      </c>
      <c r="C519" s="360" t="s">
        <v>816</v>
      </c>
      <c r="D519" s="360" t="s">
        <v>782</v>
      </c>
      <c r="E519" s="360" t="s">
        <v>817</v>
      </c>
      <c r="F519" s="347" t="str">
        <f t="shared" si="310"/>
        <v>240V 1Ø</v>
      </c>
      <c r="G519" s="370" t="str">
        <f>IF(H519="Rectangular",[1]MATERIALES!$D$133,IF(H518="Octagonal",[1]MATERIALES!$D$134,IF(H518="WP",[1]MATERIALES!#REF!,IF(H518="5x5",[1]MATERIALES!$D$136,0))))</f>
        <v>CAJA REG. 12X12X4 N3R</v>
      </c>
      <c r="H519" s="369" t="str">
        <f>H518</f>
        <v>Rectangular</v>
      </c>
      <c r="I519" s="366" t="str">
        <f>I513</f>
        <v>13mm</v>
      </c>
      <c r="J519" s="316"/>
      <c r="K519" s="345" t="str">
        <f t="shared" si="311"/>
        <v>Unid.</v>
      </c>
      <c r="L519" s="28">
        <f>L518</f>
        <v>0</v>
      </c>
      <c r="M519" s="248" t="str">
        <f>IFERROR(VLOOKUP(G519,[1]MATERIALES!$D$5:$I$1368,2,FALSE),0)</f>
        <v xml:space="preserve">Suplidores electricos </v>
      </c>
      <c r="N519" s="367" t="e">
        <f t="shared" si="307"/>
        <v>#VALUE!</v>
      </c>
      <c r="O519" s="140" t="e">
        <f t="shared" si="312"/>
        <v>#VALUE!</v>
      </c>
      <c r="P519" s="367" t="e">
        <f t="shared" si="313"/>
        <v>#VALUE!</v>
      </c>
      <c r="Q519" s="140" t="e">
        <f t="shared" si="308"/>
        <v>#VALUE!</v>
      </c>
      <c r="R519" s="368" t="e">
        <f t="shared" si="309"/>
        <v>#VALUE!</v>
      </c>
      <c r="S519" s="140">
        <f t="shared" si="314"/>
        <v>0</v>
      </c>
      <c r="T519" s="139">
        <f t="shared" si="315"/>
        <v>0</v>
      </c>
      <c r="U519" s="357"/>
      <c r="V519" s="358"/>
      <c r="W519" s="144"/>
    </row>
    <row r="520" spans="1:23" ht="15" hidden="1" customHeight="1" outlineLevel="1" thickBot="1">
      <c r="A520" s="353"/>
      <c r="B520" s="359">
        <f t="shared" si="284"/>
        <v>25.100000000000016</v>
      </c>
      <c r="C520" s="360" t="s">
        <v>816</v>
      </c>
      <c r="D520" s="360" t="s">
        <v>782</v>
      </c>
      <c r="E520" s="360" t="s">
        <v>817</v>
      </c>
      <c r="F520" s="347" t="str">
        <f t="shared" si="310"/>
        <v>240V 1Ø</v>
      </c>
      <c r="G520" s="371" t="str">
        <f>"Fase A"&amp;": "&amp;I520</f>
        <v>Fase A: Conductor 12 AWG THHN</v>
      </c>
      <c r="H520" s="366" t="s">
        <v>181</v>
      </c>
      <c r="I520" s="366" t="s">
        <v>189</v>
      </c>
      <c r="J520" s="366">
        <f>J511</f>
        <v>15.6</v>
      </c>
      <c r="K520" s="345" t="str">
        <f>IF(OR(H520="Conductores Americanos",H520="Conductores Europeos"),"Pies","Unid.")</f>
        <v>Pies</v>
      </c>
      <c r="L520" s="28">
        <f>ROUNDUP(J520*3.28,0)</f>
        <v>52</v>
      </c>
      <c r="M520" s="140" t="str">
        <f>VLOOKUP(I520,[1]MATERIALES!$D$5:$I$1368,2,FALSE)</f>
        <v xml:space="preserve">Suplidores electricos </v>
      </c>
      <c r="N520" s="367" t="e">
        <f t="shared" si="307"/>
        <v>#VALUE!</v>
      </c>
      <c r="O520" s="140" t="e">
        <f t="shared" si="312"/>
        <v>#VALUE!</v>
      </c>
      <c r="P520" s="367" t="e">
        <f t="shared" si="313"/>
        <v>#VALUE!</v>
      </c>
      <c r="Q520" s="140" t="e">
        <f t="shared" si="308"/>
        <v>#VALUE!</v>
      </c>
      <c r="R520" s="368" t="e">
        <f t="shared" si="309"/>
        <v>#VALUE!</v>
      </c>
      <c r="S520" s="140">
        <f t="shared" si="314"/>
        <v>0</v>
      </c>
      <c r="T520" s="139">
        <f t="shared" si="315"/>
        <v>0</v>
      </c>
      <c r="U520" s="357"/>
      <c r="V520" s="358"/>
      <c r="W520" s="144"/>
    </row>
    <row r="521" spans="1:23" ht="15" hidden="1" customHeight="1" outlineLevel="1" thickBot="1">
      <c r="A521" s="353"/>
      <c r="B521" s="359">
        <f t="shared" si="284"/>
        <v>25.110000000000017</v>
      </c>
      <c r="C521" s="360" t="s">
        <v>816</v>
      </c>
      <c r="D521" s="360" t="s">
        <v>782</v>
      </c>
      <c r="E521" s="360" t="s">
        <v>817</v>
      </c>
      <c r="F521" s="347" t="str">
        <f t="shared" si="310"/>
        <v>240V 1Ø</v>
      </c>
      <c r="G521" s="371" t="str">
        <f>IF(F521="120V 1Ø","-",("Fase B"&amp;": "&amp;I521))</f>
        <v>Fase B: Conductor 12 AWG THHN</v>
      </c>
      <c r="H521" s="366" t="str">
        <f t="shared" ref="H521:I523" si="316">H520</f>
        <v>Conductores Americanos</v>
      </c>
      <c r="I521" s="366" t="str">
        <f t="shared" si="316"/>
        <v>Conductor 12 AWG THHN</v>
      </c>
      <c r="J521" s="366">
        <f>IF(G521="-",0,J511)</f>
        <v>15.6</v>
      </c>
      <c r="K521" s="345" t="str">
        <f t="shared" ref="K521:K527" si="317">IF(OR(H521="Conductores Americanos",H521="Conductores Europeos"),"Pies","Unid.")</f>
        <v>Pies</v>
      </c>
      <c r="L521" s="28">
        <f>ROUNDUP(J521*3.28,0)</f>
        <v>52</v>
      </c>
      <c r="M521" s="140" t="str">
        <f>VLOOKUP(I521,[1]MATERIALES!$D$5:$I$1368,2,FALSE)</f>
        <v xml:space="preserve">Suplidores electricos </v>
      </c>
      <c r="N521" s="367" t="e">
        <f t="shared" si="307"/>
        <v>#VALUE!</v>
      </c>
      <c r="O521" s="140" t="e">
        <f t="shared" si="312"/>
        <v>#VALUE!</v>
      </c>
      <c r="P521" s="367" t="e">
        <f t="shared" si="313"/>
        <v>#VALUE!</v>
      </c>
      <c r="Q521" s="140" t="e">
        <f t="shared" si="308"/>
        <v>#VALUE!</v>
      </c>
      <c r="R521" s="368" t="e">
        <f t="shared" si="309"/>
        <v>#VALUE!</v>
      </c>
      <c r="S521" s="140">
        <f t="shared" si="314"/>
        <v>0</v>
      </c>
      <c r="T521" s="139">
        <f t="shared" si="315"/>
        <v>0</v>
      </c>
      <c r="U521" s="357"/>
      <c r="V521" s="358"/>
      <c r="W521" s="144"/>
    </row>
    <row r="522" spans="1:23" ht="15" hidden="1" customHeight="1" outlineLevel="1" thickBot="1">
      <c r="A522" s="353"/>
      <c r="B522" s="359">
        <f t="shared" si="284"/>
        <v>25.120000000000019</v>
      </c>
      <c r="C522" s="360" t="s">
        <v>816</v>
      </c>
      <c r="D522" s="360" t="s">
        <v>782</v>
      </c>
      <c r="E522" s="360" t="s">
        <v>817</v>
      </c>
      <c r="F522" s="347" t="str">
        <f t="shared" si="310"/>
        <v>240V 1Ø</v>
      </c>
      <c r="G522" s="371" t="str">
        <f>IF(F522="120V 1Ø","-",IF(F522="240V 1Ø","-",("Fase C"&amp;": "&amp;I520)))</f>
        <v>-</v>
      </c>
      <c r="H522" s="366" t="str">
        <f t="shared" si="316"/>
        <v>Conductores Americanos</v>
      </c>
      <c r="I522" s="366" t="str">
        <f t="shared" si="316"/>
        <v>Conductor 12 AWG THHN</v>
      </c>
      <c r="J522" s="366">
        <f>IF(G522="-",0,J511)</f>
        <v>0</v>
      </c>
      <c r="K522" s="345" t="str">
        <f t="shared" si="317"/>
        <v>Pies</v>
      </c>
      <c r="L522" s="28">
        <f>ROUNDUP(J522*3.28,0)</f>
        <v>0</v>
      </c>
      <c r="M522" s="140" t="str">
        <f>VLOOKUP(I522,[1]MATERIALES!$D$5:$I$1368,2,FALSE)</f>
        <v xml:space="preserve">Suplidores electricos </v>
      </c>
      <c r="N522" s="367" t="e">
        <f t="shared" si="307"/>
        <v>#VALUE!</v>
      </c>
      <c r="O522" s="140" t="e">
        <f t="shared" si="312"/>
        <v>#VALUE!</v>
      </c>
      <c r="P522" s="367" t="e">
        <f t="shared" si="313"/>
        <v>#VALUE!</v>
      </c>
      <c r="Q522" s="140" t="e">
        <f t="shared" si="308"/>
        <v>#VALUE!</v>
      </c>
      <c r="R522" s="368" t="e">
        <f t="shared" si="309"/>
        <v>#VALUE!</v>
      </c>
      <c r="S522" s="140">
        <f t="shared" si="314"/>
        <v>0</v>
      </c>
      <c r="T522" s="139">
        <f t="shared" si="315"/>
        <v>0</v>
      </c>
      <c r="U522" s="357"/>
      <c r="V522" s="358"/>
      <c r="W522" s="144"/>
    </row>
    <row r="523" spans="1:23" ht="15" hidden="1" customHeight="1" outlineLevel="1" thickBot="1">
      <c r="A523" s="353"/>
      <c r="B523" s="359">
        <f t="shared" si="284"/>
        <v>25.13000000000002</v>
      </c>
      <c r="C523" s="360" t="s">
        <v>816</v>
      </c>
      <c r="D523" s="360" t="s">
        <v>782</v>
      </c>
      <c r="E523" s="360" t="s">
        <v>817</v>
      </c>
      <c r="F523" s="347" t="str">
        <f t="shared" si="310"/>
        <v>240V 1Ø</v>
      </c>
      <c r="G523" s="372" t="str">
        <f>IF(F523="240V 1Ø","-",IF(F523="480V 3Ø","-",("Neutro"&amp;": "&amp;I520)))</f>
        <v>-</v>
      </c>
      <c r="H523" s="366" t="str">
        <f t="shared" si="316"/>
        <v>Conductores Americanos</v>
      </c>
      <c r="I523" s="366" t="str">
        <f t="shared" si="316"/>
        <v>Conductor 12 AWG THHN</v>
      </c>
      <c r="J523" s="366">
        <f>IF(G523="-",0,J511)</f>
        <v>0</v>
      </c>
      <c r="K523" s="345" t="str">
        <f t="shared" si="317"/>
        <v>Pies</v>
      </c>
      <c r="L523" s="28">
        <f>ROUNDUP(J523*3.28,0)</f>
        <v>0</v>
      </c>
      <c r="M523" s="140" t="str">
        <f>VLOOKUP(I523,[1]MATERIALES!$D$5:$I$1368,2,FALSE)</f>
        <v xml:space="preserve">Suplidores electricos </v>
      </c>
      <c r="N523" s="367" t="e">
        <f t="shared" si="307"/>
        <v>#VALUE!</v>
      </c>
      <c r="O523" s="140" t="e">
        <f t="shared" si="312"/>
        <v>#VALUE!</v>
      </c>
      <c r="P523" s="367" t="e">
        <f t="shared" si="313"/>
        <v>#VALUE!</v>
      </c>
      <c r="Q523" s="140" t="e">
        <f t="shared" si="308"/>
        <v>#VALUE!</v>
      </c>
      <c r="R523" s="368" t="e">
        <f t="shared" si="309"/>
        <v>#VALUE!</v>
      </c>
      <c r="S523" s="140">
        <f t="shared" si="314"/>
        <v>0</v>
      </c>
      <c r="T523" s="139">
        <f t="shared" si="315"/>
        <v>0</v>
      </c>
      <c r="U523" s="357"/>
      <c r="V523" s="358"/>
      <c r="W523" s="144"/>
    </row>
    <row r="524" spans="1:23" ht="15" hidden="1" customHeight="1" outlineLevel="1" thickBot="1">
      <c r="A524" s="353"/>
      <c r="B524" s="359">
        <f t="shared" si="284"/>
        <v>25.140000000000022</v>
      </c>
      <c r="C524" s="360" t="s">
        <v>816</v>
      </c>
      <c r="D524" s="360" t="s">
        <v>782</v>
      </c>
      <c r="E524" s="360" t="s">
        <v>817</v>
      </c>
      <c r="F524" s="347" t="str">
        <f t="shared" si="310"/>
        <v>240V 1Ø</v>
      </c>
      <c r="G524" s="372" t="str">
        <f>"Tierra"&amp;": "&amp;I524</f>
        <v>Tierra: Conductor 12 AWG THHN</v>
      </c>
      <c r="H524" s="366" t="str">
        <f>H523</f>
        <v>Conductores Americanos</v>
      </c>
      <c r="I524" s="366" t="str">
        <f>I523</f>
        <v>Conductor 12 AWG THHN</v>
      </c>
      <c r="J524" s="366">
        <f>J511</f>
        <v>15.6</v>
      </c>
      <c r="K524" s="345" t="str">
        <f t="shared" si="317"/>
        <v>Pies</v>
      </c>
      <c r="L524" s="28">
        <f>ROUNDUP(J524*3.28,0)</f>
        <v>52</v>
      </c>
      <c r="M524" s="140" t="str">
        <f>VLOOKUP(I524,[1]MATERIALES!$D$5:$I$1368,2,FALSE)</f>
        <v xml:space="preserve">Suplidores electricos </v>
      </c>
      <c r="N524" s="367" t="e">
        <f t="shared" si="307"/>
        <v>#VALUE!</v>
      </c>
      <c r="O524" s="140" t="e">
        <f t="shared" si="312"/>
        <v>#VALUE!</v>
      </c>
      <c r="P524" s="367" t="e">
        <f t="shared" si="313"/>
        <v>#VALUE!</v>
      </c>
      <c r="Q524" s="140" t="e">
        <f t="shared" si="308"/>
        <v>#VALUE!</v>
      </c>
      <c r="R524" s="368" t="e">
        <f t="shared" si="309"/>
        <v>#VALUE!</v>
      </c>
      <c r="S524" s="140">
        <f t="shared" si="314"/>
        <v>0</v>
      </c>
      <c r="T524" s="139">
        <f t="shared" si="315"/>
        <v>0</v>
      </c>
      <c r="U524" s="357"/>
      <c r="V524" s="358"/>
      <c r="W524" s="144"/>
    </row>
    <row r="525" spans="1:23" ht="15" hidden="1" customHeight="1" outlineLevel="1" thickBot="1">
      <c r="A525" s="353"/>
      <c r="B525" s="359">
        <f t="shared" si="284"/>
        <v>25.150000000000023</v>
      </c>
      <c r="C525" s="360" t="s">
        <v>816</v>
      </c>
      <c r="D525" s="360" t="s">
        <v>782</v>
      </c>
      <c r="E525" s="360" t="s">
        <v>817</v>
      </c>
      <c r="F525" s="347" t="str">
        <f t="shared" si="310"/>
        <v>240V 1Ø</v>
      </c>
      <c r="G525" s="361" t="str" cm="1">
        <f t="array" ref="G525">IFERROR(VLOOKUP(H525&amp;"|"&amp;I525,CHOOSE({1,2},[1]MATERIALES!$B$168:$B$175&amp;"|"&amp;[1]MATERIALES!$C$168:$C$175,[1]MATERIALES!$D$168:$D$175),2,0),"-")</f>
        <v>Tomacorriente 15A Matix (AM5115D + 503SB/SA)</v>
      </c>
      <c r="H525" s="373" t="s">
        <v>382</v>
      </c>
      <c r="I525" s="373" t="s">
        <v>380</v>
      </c>
      <c r="J525" s="316"/>
      <c r="K525" s="345" t="str">
        <f t="shared" si="317"/>
        <v>Unid.</v>
      </c>
      <c r="L525" s="218">
        <v>0</v>
      </c>
      <c r="M525" s="248">
        <f>IFERROR(VLOOKUP(G525,[1]MATERIALES!$D$5:$I$1368,2,FALSE),0)</f>
        <v>0</v>
      </c>
      <c r="N525" s="367">
        <f t="shared" si="307"/>
        <v>0</v>
      </c>
      <c r="O525" s="140">
        <f t="shared" si="312"/>
        <v>0</v>
      </c>
      <c r="P525" s="367">
        <f t="shared" si="313"/>
        <v>0</v>
      </c>
      <c r="Q525" s="140">
        <f t="shared" si="308"/>
        <v>0</v>
      </c>
      <c r="R525" s="368">
        <f t="shared" si="309"/>
        <v>0</v>
      </c>
      <c r="S525" s="140">
        <f t="shared" si="314"/>
        <v>0</v>
      </c>
      <c r="T525" s="139">
        <f t="shared" si="315"/>
        <v>0</v>
      </c>
      <c r="U525" s="357"/>
      <c r="V525" s="358"/>
      <c r="W525" s="144"/>
    </row>
    <row r="526" spans="1:23" ht="15" hidden="1" customHeight="1" outlineLevel="1" thickBot="1">
      <c r="A526" s="353"/>
      <c r="B526" s="359">
        <f t="shared" si="284"/>
        <v>25.160000000000025</v>
      </c>
      <c r="C526" s="360" t="s">
        <v>816</v>
      </c>
      <c r="D526" s="360" t="s">
        <v>782</v>
      </c>
      <c r="E526" s="360" t="s">
        <v>817</v>
      </c>
      <c r="F526" s="347" t="str">
        <f t="shared" si="310"/>
        <v>240V 1Ø</v>
      </c>
      <c r="G526" s="361" t="str" cm="1">
        <f t="array" ref="G526">IFERROR(VLOOKUP(H526&amp;"|"&amp;I526,CHOOSE({1,2},[1]MATERIALES!$B$176:$B$185&amp;"|"&amp;[1]MATERIALES!$C$176:$C$185,[1]MATERIALES!$D$176:$D$185),2,0),"-")</f>
        <v>Tapa para tomacorriente MATIX (AM503/3N)</v>
      </c>
      <c r="H526" s="366" t="str">
        <f>H525</f>
        <v>MATIX</v>
      </c>
      <c r="I526" s="373" t="s">
        <v>392</v>
      </c>
      <c r="J526" s="316"/>
      <c r="K526" s="345" t="str">
        <f t="shared" si="317"/>
        <v>Unid.</v>
      </c>
      <c r="L526" s="345">
        <f>L525</f>
        <v>0</v>
      </c>
      <c r="M526" s="248">
        <f>IFERROR(VLOOKUP(G526,[1]MATERIALES!$D$5:$I$1368,2,FALSE),0)</f>
        <v>0</v>
      </c>
      <c r="N526" s="367">
        <f t="shared" si="307"/>
        <v>0</v>
      </c>
      <c r="O526" s="140">
        <f t="shared" si="312"/>
        <v>0</v>
      </c>
      <c r="P526" s="367">
        <f t="shared" si="313"/>
        <v>0</v>
      </c>
      <c r="Q526" s="140">
        <f t="shared" si="308"/>
        <v>0</v>
      </c>
      <c r="R526" s="368">
        <f t="shared" si="309"/>
        <v>0</v>
      </c>
      <c r="S526" s="140">
        <f t="shared" si="314"/>
        <v>0</v>
      </c>
      <c r="T526" s="139">
        <f t="shared" si="315"/>
        <v>0</v>
      </c>
      <c r="U526" s="357"/>
      <c r="V526" s="358"/>
      <c r="W526" s="144"/>
    </row>
    <row r="527" spans="1:23" ht="15" hidden="1" customHeight="1" outlineLevel="1" thickBot="1">
      <c r="A527" s="353"/>
      <c r="B527" s="359">
        <f t="shared" si="284"/>
        <v>25.170000000000027</v>
      </c>
      <c r="C527" s="360" t="s">
        <v>816</v>
      </c>
      <c r="D527" s="360" t="s">
        <v>782</v>
      </c>
      <c r="E527" s="360" t="s">
        <v>817</v>
      </c>
      <c r="F527" s="347" t="str">
        <f t="shared" si="310"/>
        <v>240V 1Ø</v>
      </c>
      <c r="G527" s="371" t="s">
        <v>422</v>
      </c>
      <c r="H527" s="316"/>
      <c r="I527" s="316"/>
      <c r="J527" s="316"/>
      <c r="K527" s="345" t="str">
        <f t="shared" si="317"/>
        <v>Unid.</v>
      </c>
      <c r="L527" s="345">
        <f>3*(L516)</f>
        <v>3</v>
      </c>
      <c r="M527" s="248">
        <f>IFERROR(VLOOKUP(G527,[1]MATERIALES!$D$5:$I$1368,2,FALSE),0)</f>
        <v>0</v>
      </c>
      <c r="N527" s="367">
        <f t="shared" si="307"/>
        <v>0</v>
      </c>
      <c r="O527" s="140">
        <f t="shared" si="312"/>
        <v>0</v>
      </c>
      <c r="P527" s="367">
        <f t="shared" si="313"/>
        <v>0</v>
      </c>
      <c r="Q527" s="140">
        <f t="shared" si="308"/>
        <v>0</v>
      </c>
      <c r="R527" s="368">
        <f t="shared" si="309"/>
        <v>0</v>
      </c>
      <c r="S527" s="140">
        <f t="shared" si="314"/>
        <v>0</v>
      </c>
      <c r="T527" s="139">
        <f t="shared" si="315"/>
        <v>0</v>
      </c>
      <c r="U527" s="357" t="e">
        <f>SUM(R527:R529)</f>
        <v>#VALUE!</v>
      </c>
      <c r="V527" s="358" t="e">
        <f>'[1]1. OFERTA'!#REF!</f>
        <v>#REF!</v>
      </c>
      <c r="W527" s="144" t="e">
        <f>U527-V527</f>
        <v>#VALUE!</v>
      </c>
    </row>
    <row r="528" spans="1:23" ht="15" hidden="1" customHeight="1" outlineLevel="1" thickBot="1">
      <c r="A528" s="353"/>
      <c r="B528" s="359">
        <f t="shared" si="284"/>
        <v>25.180000000000028</v>
      </c>
      <c r="C528" s="360" t="s">
        <v>816</v>
      </c>
      <c r="D528" s="360" t="s">
        <v>782</v>
      </c>
      <c r="E528" s="360" t="s">
        <v>817</v>
      </c>
      <c r="F528" s="347" t="str">
        <f t="shared" si="310"/>
        <v>240V 1Ø</v>
      </c>
      <c r="G528" s="374" t="s">
        <v>424</v>
      </c>
      <c r="H528" s="316"/>
      <c r="I528" s="316"/>
      <c r="J528" s="316"/>
      <c r="K528" s="345" t="s">
        <v>784</v>
      </c>
      <c r="L528" s="28">
        <f>ROUNDUP(L515+L516+L518,0)</f>
        <v>17</v>
      </c>
      <c r="M528" s="248">
        <f>IFERROR(VLOOKUP(G528,[1]MATERIALES!$D$5:$I$1368,2,FALSE),0)</f>
        <v>0</v>
      </c>
      <c r="N528" s="367">
        <f t="shared" si="307"/>
        <v>0</v>
      </c>
      <c r="O528" s="140">
        <f t="shared" si="312"/>
        <v>0</v>
      </c>
      <c r="P528" s="367">
        <f t="shared" si="313"/>
        <v>0</v>
      </c>
      <c r="Q528" s="140">
        <f t="shared" si="308"/>
        <v>0</v>
      </c>
      <c r="R528" s="368">
        <f t="shared" si="309"/>
        <v>0</v>
      </c>
      <c r="S528" s="140">
        <f t="shared" si="314"/>
        <v>0</v>
      </c>
      <c r="T528" s="139">
        <f t="shared" si="315"/>
        <v>0</v>
      </c>
      <c r="U528" s="357"/>
      <c r="V528" s="358"/>
      <c r="W528" s="144"/>
    </row>
    <row r="529" spans="1:23" ht="15" hidden="1" customHeight="1" outlineLevel="1" thickBot="1">
      <c r="A529" s="353"/>
      <c r="B529" s="359">
        <f t="shared" si="284"/>
        <v>25.19000000000003</v>
      </c>
      <c r="C529" s="360" t="s">
        <v>816</v>
      </c>
      <c r="D529" s="360" t="s">
        <v>782</v>
      </c>
      <c r="E529" s="360" t="s">
        <v>817</v>
      </c>
      <c r="F529" s="347" t="str">
        <f t="shared" si="310"/>
        <v>240V 1Ø</v>
      </c>
      <c r="G529" s="374" t="s">
        <v>168</v>
      </c>
      <c r="H529" s="316"/>
      <c r="I529" s="316"/>
      <c r="J529" s="316"/>
      <c r="K529" s="345" t="s">
        <v>784</v>
      </c>
      <c r="L529" s="28">
        <f>L528</f>
        <v>17</v>
      </c>
      <c r="M529" s="248" t="str">
        <f>IFERROR(VLOOKUP(G529,[1]MATERIALES!$D$5:$I$1368,2,FALSE),0)</f>
        <v xml:space="preserve">Marba Dominicana </v>
      </c>
      <c r="N529" s="367" t="e">
        <f t="shared" si="307"/>
        <v>#VALUE!</v>
      </c>
      <c r="O529" s="140" t="e">
        <f t="shared" si="312"/>
        <v>#VALUE!</v>
      </c>
      <c r="P529" s="367" t="e">
        <f t="shared" si="313"/>
        <v>#VALUE!</v>
      </c>
      <c r="Q529" s="140" t="e">
        <f t="shared" si="308"/>
        <v>#VALUE!</v>
      </c>
      <c r="R529" s="368" t="e">
        <f t="shared" si="309"/>
        <v>#VALUE!</v>
      </c>
      <c r="S529" s="140">
        <f t="shared" si="314"/>
        <v>0</v>
      </c>
      <c r="T529" s="139">
        <f t="shared" si="315"/>
        <v>0</v>
      </c>
      <c r="U529" s="357"/>
      <c r="V529" s="358"/>
      <c r="W529" s="144"/>
    </row>
    <row r="530" spans="1:23" ht="15" customHeight="1" collapsed="1" thickBot="1">
      <c r="A530" s="353"/>
      <c r="B530" s="354">
        <v>26</v>
      </c>
      <c r="C530" s="355" t="s">
        <v>818</v>
      </c>
      <c r="D530" s="269" t="s">
        <v>782</v>
      </c>
      <c r="E530" s="269" t="s">
        <v>819</v>
      </c>
      <c r="F530" s="270" t="s">
        <v>809</v>
      </c>
      <c r="G530" s="271"/>
      <c r="H530" s="272"/>
      <c r="I530" s="272"/>
      <c r="J530" s="272"/>
      <c r="K530" s="268"/>
      <c r="L530" s="268"/>
      <c r="M530" s="273"/>
      <c r="N530" s="274"/>
      <c r="O530" s="273"/>
      <c r="P530" s="274"/>
      <c r="Q530" s="273"/>
      <c r="R530" s="275"/>
      <c r="S530" s="273"/>
      <c r="T530" s="276"/>
      <c r="U530" s="357" t="e">
        <f>SUM(R531:R549)</f>
        <v>#VALUE!</v>
      </c>
      <c r="V530" s="358" t="e">
        <f>'[1]1. OFERTA'!#REF!</f>
        <v>#REF!</v>
      </c>
      <c r="W530" s="144" t="e">
        <f>U530-V530</f>
        <v>#VALUE!</v>
      </c>
    </row>
    <row r="531" spans="1:23" ht="15" hidden="1" customHeight="1" outlineLevel="1" thickBot="1">
      <c r="A531" s="353"/>
      <c r="B531" s="359">
        <f t="shared" si="284"/>
        <v>26.01</v>
      </c>
      <c r="C531" s="360" t="s">
        <v>818</v>
      </c>
      <c r="D531" s="360" t="s">
        <v>782</v>
      </c>
      <c r="E531" s="360" t="s">
        <v>819</v>
      </c>
      <c r="F531" s="347" t="s">
        <v>783</v>
      </c>
      <c r="G531" s="361" t="str">
        <f>IF(H531="PVC",VLOOKUP(I531,[1]MATERIALES!$C$5:$D$11,2,FALSE),IF(H531="EMT",VLOOKUP(I531,[1]MATERIALES!$C$40:$D$46,2,FALSE),IF(H531="IMC",VLOOKUP(I531,[1]MATERIALES!$C$82:$D$88,2,FALSE),IF(H531="LFNC",VLOOKUP(I531,[1]MATERIALES!$C$110:$D$116,2,FALSE),0))))</f>
        <v>Tubería PVC SDR-26 3/4"</v>
      </c>
      <c r="H531" s="362" t="s">
        <v>184</v>
      </c>
      <c r="I531" s="362" t="s">
        <v>212</v>
      </c>
      <c r="J531" s="362">
        <v>26.27</v>
      </c>
      <c r="K531" s="134" t="str">
        <f>IF(OR(H531="Conductores Americanos",H531="Conductores Europeos"),"Pies","Unid.")</f>
        <v>Unid.</v>
      </c>
      <c r="L531" s="363">
        <f>IF(H531="PVC",ROUNDUP(J531/6,0),IF(H531="EMT",ROUNDUP(J531/3,0),IF(H531="IMC",ROUNDUP(J531/3,0),IF(H531="LFNC",ROUNDUP(3.28*J531,0),0))))</f>
        <v>5</v>
      </c>
      <c r="M531" s="248" t="str">
        <f>IFERROR(VLOOKUP(G531,[1]MATERIALES!$D$5:$I$1368,2,FALSE),0)</f>
        <v xml:space="preserve">Suplidores electricos </v>
      </c>
      <c r="N531" s="364" t="e">
        <f t="shared" ref="N531:N549" si="318">M531/$N$2</f>
        <v>#VALUE!</v>
      </c>
      <c r="O531" s="248" t="e">
        <f>+L531*M531</f>
        <v>#VALUE!</v>
      </c>
      <c r="P531" s="364" t="e">
        <f>L531*N531</f>
        <v>#VALUE!</v>
      </c>
      <c r="Q531" s="248" t="e">
        <f t="shared" ref="Q531:Q549" si="319">+$O531+($O531*$R$2)</f>
        <v>#VALUE!</v>
      </c>
      <c r="R531" s="365" t="e">
        <f t="shared" ref="R531:R549" si="320">+$P531+($P531*$R$2)</f>
        <v>#VALUE!</v>
      </c>
      <c r="S531" s="248">
        <f>+IFERROR(Q531/L531,0)</f>
        <v>0</v>
      </c>
      <c r="T531" s="146">
        <f>+IFERROR(R531/L531,0)</f>
        <v>0</v>
      </c>
      <c r="U531" s="357"/>
      <c r="V531" s="358"/>
      <c r="W531" s="144"/>
    </row>
    <row r="532" spans="1:23" ht="15" hidden="1" customHeight="1" outlineLevel="1" thickBot="1">
      <c r="A532" s="353"/>
      <c r="B532" s="359">
        <f t="shared" si="284"/>
        <v>26.020000000000003</v>
      </c>
      <c r="C532" s="360" t="s">
        <v>818</v>
      </c>
      <c r="D532" s="360" t="s">
        <v>782</v>
      </c>
      <c r="E532" s="360" t="s">
        <v>819</v>
      </c>
      <c r="F532" s="347" t="str">
        <f t="shared" ref="F532:F546" si="321">F531</f>
        <v>120V 1Ø</v>
      </c>
      <c r="G532" s="361" t="str">
        <f>IF(H532="PVC",VLOOKUP(I532,[1]MATERIALES!$C$12:$D$18,2,FALSE),IF(H532="EMT",VLOOKUP(I532,[1]MATERIALES!$C$47:$D$53,2,FALSE),IF(H532="IMC",VLOOKUP(I532,[1]MATERIALES!$C$89:$D$96,2,FALSE),"-")))</f>
        <v>Coupling PVC 3/4"</v>
      </c>
      <c r="H532" s="366" t="str">
        <f>H531</f>
        <v>PVC</v>
      </c>
      <c r="I532" s="366" t="str">
        <f>I531</f>
        <v>19mm</v>
      </c>
      <c r="J532" s="316"/>
      <c r="K532" s="345" t="str">
        <f t="shared" ref="K532:K539" si="322">IF(OR(H532="Conductores Americanos",H532="Conductores Europeos"),"Pies","Unid.")</f>
        <v>Unid.</v>
      </c>
      <c r="L532" s="28">
        <f>IF(H532="LFNC",0,L531)</f>
        <v>5</v>
      </c>
      <c r="M532" s="140" t="str">
        <f>IF(H532="LFNC",0,VLOOKUP(G532,[1]MATERIALES!$D$5:$I$1368,2,FALSE))</f>
        <v xml:space="preserve">Suplidores electricos </v>
      </c>
      <c r="N532" s="367" t="e">
        <f t="shared" si="318"/>
        <v>#VALUE!</v>
      </c>
      <c r="O532" s="140" t="e">
        <f t="shared" ref="O532:O549" si="323">+L532*M532</f>
        <v>#VALUE!</v>
      </c>
      <c r="P532" s="367" t="e">
        <f t="shared" ref="P532:P549" si="324">L532*N532</f>
        <v>#VALUE!</v>
      </c>
      <c r="Q532" s="140" t="e">
        <f t="shared" si="319"/>
        <v>#VALUE!</v>
      </c>
      <c r="R532" s="368" t="e">
        <f t="shared" si="320"/>
        <v>#VALUE!</v>
      </c>
      <c r="S532" s="140">
        <f t="shared" ref="S532:S549" si="325">+IFERROR(Q532/L532,0)</f>
        <v>0</v>
      </c>
      <c r="T532" s="139">
        <f t="shared" ref="T532:T549" si="326">+IFERROR(R532/L532,0)</f>
        <v>0</v>
      </c>
      <c r="U532" s="357"/>
      <c r="V532" s="358"/>
      <c r="W532" s="144"/>
    </row>
    <row r="533" spans="1:23" ht="15" hidden="1" customHeight="1" outlineLevel="1" thickBot="1">
      <c r="A533" s="353"/>
      <c r="B533" s="359">
        <f t="shared" si="284"/>
        <v>26.030000000000005</v>
      </c>
      <c r="C533" s="360" t="s">
        <v>818</v>
      </c>
      <c r="D533" s="360" t="s">
        <v>782</v>
      </c>
      <c r="E533" s="360" t="s">
        <v>819</v>
      </c>
      <c r="F533" s="347" t="str">
        <f t="shared" si="321"/>
        <v>120V 1Ø</v>
      </c>
      <c r="G533" s="361" t="str">
        <f>IF(H533="PVC",VLOOKUP(I533,[1]MATERIALES!$C$19:$D$25,2,FALSE),IF(H533="EMT",VLOOKUP(I533,[1]MATERIALES!$C$54:$D$60,2,FALSE),IF(H533="IMC",VLOOKUP(I533,[1]MATERIALES!$C$96:$D$102,2,FALSE),IF(H533="LFNC",VLOOKUP(I533,[1]MATERIALES!$C$117:$D$123,2,FALSE),0))))</f>
        <v>Adaptador Macho PVC 3/4"</v>
      </c>
      <c r="H533" s="366" t="str">
        <f>H531</f>
        <v>PVC</v>
      </c>
      <c r="I533" s="366" t="str">
        <f>I531</f>
        <v>19mm</v>
      </c>
      <c r="J533" s="316"/>
      <c r="K533" s="345" t="str">
        <f t="shared" si="322"/>
        <v>Unid.</v>
      </c>
      <c r="L533" s="28">
        <f>1+L536*2+L538</f>
        <v>3</v>
      </c>
      <c r="M533" s="248" t="str">
        <f>IFERROR(VLOOKUP(G533,[1]MATERIALES!$D$5:$I$1368,2,FALSE),0)</f>
        <v xml:space="preserve">Suplidores electricos </v>
      </c>
      <c r="N533" s="367" t="e">
        <f t="shared" si="318"/>
        <v>#VALUE!</v>
      </c>
      <c r="O533" s="140" t="e">
        <f t="shared" si="323"/>
        <v>#VALUE!</v>
      </c>
      <c r="P533" s="367" t="e">
        <f t="shared" si="324"/>
        <v>#VALUE!</v>
      </c>
      <c r="Q533" s="140" t="e">
        <f t="shared" si="319"/>
        <v>#VALUE!</v>
      </c>
      <c r="R533" s="368" t="e">
        <f t="shared" si="320"/>
        <v>#VALUE!</v>
      </c>
      <c r="S533" s="140">
        <f t="shared" si="325"/>
        <v>0</v>
      </c>
      <c r="T533" s="139">
        <f t="shared" si="326"/>
        <v>0</v>
      </c>
      <c r="U533" s="357"/>
      <c r="V533" s="358"/>
      <c r="W533" s="144"/>
    </row>
    <row r="534" spans="1:23" ht="15" hidden="1" customHeight="1" outlineLevel="1" thickBot="1">
      <c r="A534" s="353"/>
      <c r="B534" s="359">
        <f t="shared" si="284"/>
        <v>26.040000000000006</v>
      </c>
      <c r="C534" s="360" t="s">
        <v>818</v>
      </c>
      <c r="D534" s="360" t="s">
        <v>782</v>
      </c>
      <c r="E534" s="360" t="s">
        <v>819</v>
      </c>
      <c r="F534" s="347" t="str">
        <f t="shared" si="321"/>
        <v>120V 1Ø</v>
      </c>
      <c r="G534" s="361" t="str">
        <f>IF(H534="PVC",VLOOKUP(I534,[1]MATERIALES!$C$33:$D$39,2,FALSE),IF(H534="EMT",VLOOKUP(I534,[1]MATERIALES!$C$61:$D$67,2,FALSE),IF(H534="IMC",VLOOKUP(I534,[1]MATERIALES!$C$103:$D$109,2,FALSE),"-")))</f>
        <v>Curva 90 PVC SDR 3/4"</v>
      </c>
      <c r="H534" s="366" t="str">
        <f>H531</f>
        <v>PVC</v>
      </c>
      <c r="I534" s="366" t="str">
        <f>I531</f>
        <v>19mm</v>
      </c>
      <c r="J534" s="316"/>
      <c r="K534" s="345" t="str">
        <f t="shared" si="322"/>
        <v>Unid.</v>
      </c>
      <c r="L534" s="28">
        <f>IF(H534="LFNC",0,(1+L545))</f>
        <v>1</v>
      </c>
      <c r="M534" s="140" t="str">
        <f>IF(H534="LFNC",0,VLOOKUP(G534,[1]MATERIALES!$D$5:$I$1368,2,FALSE))</f>
        <v xml:space="preserve">Suplidores electricos </v>
      </c>
      <c r="N534" s="367" t="e">
        <f t="shared" si="318"/>
        <v>#VALUE!</v>
      </c>
      <c r="O534" s="140" t="e">
        <f t="shared" si="323"/>
        <v>#VALUE!</v>
      </c>
      <c r="P534" s="367" t="e">
        <f t="shared" si="324"/>
        <v>#VALUE!</v>
      </c>
      <c r="Q534" s="140" t="e">
        <f t="shared" si="319"/>
        <v>#VALUE!</v>
      </c>
      <c r="R534" s="368" t="e">
        <f t="shared" si="320"/>
        <v>#VALUE!</v>
      </c>
      <c r="S534" s="140">
        <f t="shared" si="325"/>
        <v>0</v>
      </c>
      <c r="T534" s="139">
        <f t="shared" si="326"/>
        <v>0</v>
      </c>
      <c r="U534" s="357"/>
      <c r="V534" s="358"/>
      <c r="W534" s="144"/>
    </row>
    <row r="535" spans="1:23" ht="15" hidden="1" customHeight="1" outlineLevel="1" thickBot="1">
      <c r="A535" s="353"/>
      <c r="B535" s="359">
        <f t="shared" ref="B535:B546" si="327">B534+0.01</f>
        <v>26.050000000000008</v>
      </c>
      <c r="C535" s="360" t="s">
        <v>818</v>
      </c>
      <c r="D535" s="360" t="s">
        <v>782</v>
      </c>
      <c r="E535" s="360" t="s">
        <v>819</v>
      </c>
      <c r="F535" s="347" t="str">
        <f t="shared" si="321"/>
        <v>120V 1Ø</v>
      </c>
      <c r="G535" s="361" t="str">
        <f>VLOOKUP(I535,[1]MATERIALES!$C$68:$D$74,2,FALSE)</f>
        <v>Abrazadera EMT 3/4'' </v>
      </c>
      <c r="H535" s="316"/>
      <c r="I535" s="366" t="str">
        <f>I531</f>
        <v>19mm</v>
      </c>
      <c r="J535" s="316"/>
      <c r="K535" s="345" t="str">
        <f t="shared" si="322"/>
        <v>Unid.</v>
      </c>
      <c r="L535" s="28">
        <f>ROUNDUP(J531,0)</f>
        <v>27</v>
      </c>
      <c r="M535" s="248" t="str">
        <f>IFERROR(VLOOKUP(G535,[1]MATERIALES!$D$5:$I$1368,2,FALSE),0)</f>
        <v xml:space="preserve">Suplidores electricos </v>
      </c>
      <c r="N535" s="367" t="e">
        <f t="shared" si="318"/>
        <v>#VALUE!</v>
      </c>
      <c r="O535" s="140" t="e">
        <f t="shared" si="323"/>
        <v>#VALUE!</v>
      </c>
      <c r="P535" s="367" t="e">
        <f t="shared" si="324"/>
        <v>#VALUE!</v>
      </c>
      <c r="Q535" s="140" t="e">
        <f t="shared" si="319"/>
        <v>#VALUE!</v>
      </c>
      <c r="R535" s="368" t="e">
        <f t="shared" si="320"/>
        <v>#VALUE!</v>
      </c>
      <c r="S535" s="140">
        <f t="shared" si="325"/>
        <v>0</v>
      </c>
      <c r="T535" s="139">
        <f t="shared" si="326"/>
        <v>0</v>
      </c>
      <c r="U535" s="357"/>
      <c r="V535" s="358"/>
      <c r="W535" s="144"/>
    </row>
    <row r="536" spans="1:23" ht="15" hidden="1" customHeight="1" outlineLevel="1" thickBot="1">
      <c r="A536" s="353"/>
      <c r="B536" s="359">
        <f t="shared" si="327"/>
        <v>26.060000000000009</v>
      </c>
      <c r="C536" s="360" t="s">
        <v>818</v>
      </c>
      <c r="D536" s="360" t="s">
        <v>782</v>
      </c>
      <c r="E536" s="360" t="s">
        <v>819</v>
      </c>
      <c r="F536" s="347" t="str">
        <f t="shared" si="321"/>
        <v>120V 1Ø</v>
      </c>
      <c r="G536" s="361" t="str" cm="1">
        <f t="array" ref="G536">_xlfn.SWITCH(I536,"13mm",(IF(H536="Rectangular",VLOOKUP(I536,[1]MATERIALES!$C$124:$D$125,2,FALSE),IF(H536="Octagonal",VLOOKUP(I536,[1]MATERIALES!$C$126:$D$127,2,FALSE),IF(H536="WP",VLOOKUP(I536,[1]MATERIALES!$C$128:$D$129,2,FALSE),IF(H536="5x5",VLOOKUP(I536,[1]MATERIALES!$C$130:$D$132,2,FALSE)))))),"19mm",(IF(H536="Rectangular",VLOOKUP(I536,[1]MATERIALES!$C$124:$D$125,2,FALSE),IF(H536="Octagonal",VLOOKUP(I536,[1]MATERIALES!$C$126:$D$127,2,FALSE),IF(H536="WP",VLOOKUP(I536,[1]MATERIALES!$C$128:$D$129,2,FALSE),IF(H536="5x5",VLOOKUP(I536,[1]MATERIALES!$C$130:$D$132,2,FALSE)))))),"25mm",IF(H536="Rectangular","-",IF(H536="Octagonal","--",IF(H536="WP","---",IF(H536="5x5",VLOOKUP(I536,[1]MATERIALES!$C$130:$D$132,2,FALSE),0)))),"38mm","-","50mm","-","75mm","-","100mm","-")</f>
        <v>Caja 2x4 waterproof 3/4"</v>
      </c>
      <c r="H536" s="369" t="s">
        <v>199</v>
      </c>
      <c r="I536" s="366" t="str">
        <f>I531</f>
        <v>19mm</v>
      </c>
      <c r="J536" s="316"/>
      <c r="K536" s="345" t="str">
        <f t="shared" si="322"/>
        <v>Unid.</v>
      </c>
      <c r="L536" s="28">
        <f>1+L545</f>
        <v>1</v>
      </c>
      <c r="M536" s="248">
        <f>IFERROR(VLOOKUP(G536,[1]MATERIALES!$D$5:$I$1368,2,FALSE),0)</f>
        <v>0</v>
      </c>
      <c r="N536" s="367">
        <f t="shared" si="318"/>
        <v>0</v>
      </c>
      <c r="O536" s="140">
        <f t="shared" si="323"/>
        <v>0</v>
      </c>
      <c r="P536" s="367">
        <f t="shared" si="324"/>
        <v>0</v>
      </c>
      <c r="Q536" s="140">
        <f t="shared" si="319"/>
        <v>0</v>
      </c>
      <c r="R536" s="368">
        <f t="shared" si="320"/>
        <v>0</v>
      </c>
      <c r="S536" s="140">
        <f t="shared" si="325"/>
        <v>0</v>
      </c>
      <c r="T536" s="139">
        <f t="shared" si="326"/>
        <v>0</v>
      </c>
      <c r="U536" s="357"/>
      <c r="V536" s="358"/>
      <c r="W536" s="144"/>
    </row>
    <row r="537" spans="1:23" ht="15" hidden="1" customHeight="1" outlineLevel="1" thickBot="1">
      <c r="A537" s="353"/>
      <c r="B537" s="359">
        <f t="shared" si="327"/>
        <v>26.070000000000011</v>
      </c>
      <c r="C537" s="360" t="s">
        <v>818</v>
      </c>
      <c r="D537" s="360" t="s">
        <v>782</v>
      </c>
      <c r="E537" s="360" t="s">
        <v>819</v>
      </c>
      <c r="F537" s="347" t="str">
        <f t="shared" si="321"/>
        <v>120V 1Ø</v>
      </c>
      <c r="G537" s="370" t="str">
        <f>IF(H537="Rectangular",[1]MATERIALES!$D$133,IF(H536="Octagonal",[1]MATERIALES!$D$134,IF(H536="WP",[1]MATERIALES!$D$135,IF(H536="5x5",[1]MATERIALES!$D$136,0))))</f>
        <v>Tapa caja octagonal EMT USA UL</v>
      </c>
      <c r="H537" s="369" t="str">
        <f>H536</f>
        <v>WP</v>
      </c>
      <c r="I537" s="366" t="str">
        <f>I531</f>
        <v>19mm</v>
      </c>
      <c r="J537" s="316"/>
      <c r="K537" s="345" t="str">
        <f t="shared" si="322"/>
        <v>Unid.</v>
      </c>
      <c r="L537" s="28">
        <f>L536</f>
        <v>1</v>
      </c>
      <c r="M537" s="248" t="str">
        <f>IFERROR(VLOOKUP(G537,[1]MATERIALES!$D$5:$I$1368,2,FALSE),0)</f>
        <v xml:space="preserve">Suplidores electricos </v>
      </c>
      <c r="N537" s="367" t="e">
        <f t="shared" si="318"/>
        <v>#VALUE!</v>
      </c>
      <c r="O537" s="140" t="e">
        <f t="shared" si="323"/>
        <v>#VALUE!</v>
      </c>
      <c r="P537" s="367" t="e">
        <f t="shared" si="324"/>
        <v>#VALUE!</v>
      </c>
      <c r="Q537" s="140" t="e">
        <f t="shared" si="319"/>
        <v>#VALUE!</v>
      </c>
      <c r="R537" s="368" t="e">
        <f t="shared" si="320"/>
        <v>#VALUE!</v>
      </c>
      <c r="S537" s="140">
        <f t="shared" si="325"/>
        <v>0</v>
      </c>
      <c r="T537" s="139">
        <f t="shared" si="326"/>
        <v>0</v>
      </c>
      <c r="U537" s="357"/>
      <c r="V537" s="358"/>
      <c r="W537" s="144"/>
    </row>
    <row r="538" spans="1:23" ht="15" hidden="1" customHeight="1" outlineLevel="1" thickBot="1">
      <c r="A538" s="353"/>
      <c r="B538" s="359">
        <f t="shared" si="327"/>
        <v>26.080000000000013</v>
      </c>
      <c r="C538" s="360" t="s">
        <v>818</v>
      </c>
      <c r="D538" s="360" t="s">
        <v>782</v>
      </c>
      <c r="E538" s="360" t="s">
        <v>819</v>
      </c>
      <c r="F538" s="347" t="str">
        <f t="shared" si="321"/>
        <v>120V 1Ø</v>
      </c>
      <c r="G538" s="361" t="str" cm="1">
        <f t="array" ref="G538">_xlfn.SWITCH(I538,"13mm",(IF(H538="Rectangular",VLOOKUP(I538,[1]MATERIALES!$C$124:$D$125,2,FALSE),IF(H538="Octagonal",VLOOKUP(I538,[1]MATERIALES!$C$126:$D$127,2,FALSE),IF(H538="WP",VLOOKUP(I538,[1]MATERIALES!$C$128:$D$129,2,FALSE),IF(H538="5x5",VLOOKUP(I538,[1]MATERIALES!$C$130:$D$132,2,FALSE)))))),"19mm",(IF(H538="Rectangular",VLOOKUP(I538,[1]MATERIALES!$C$124:$D$125,2,FALSE),IF(H538="Octagonal",VLOOKUP(I538,[1]MATERIALES!$C$126:$D$127,2,FALSE),IF(H538="WP",VLOOKUP(I538,[1]MATERIALES!$C$128:$D$129,2,FALSE),IF(H538="5x5",VLOOKUP(I538,[1]MATERIALES!$C$130:$D$132,2,FALSE)))))),"25mm",IF(H538="Rectangular","-",IF(H538="Octagonal","--",IF(H538="WP","---",IF(H538="5x5",VLOOKUP(I538,[1]MATERIALES!$C$130:$D$132,2,FALSE),0)))),"38mm","-","50mm","-","75mm","-","100mm","-")</f>
        <v>Caja EMT 2x4 3/4" USA UL</v>
      </c>
      <c r="H538" s="369" t="s">
        <v>188</v>
      </c>
      <c r="I538" s="366" t="str">
        <f>I533</f>
        <v>19mm</v>
      </c>
      <c r="J538" s="316"/>
      <c r="K538" s="345" t="str">
        <f t="shared" si="322"/>
        <v>Unid.</v>
      </c>
      <c r="L538" s="28">
        <f>L545</f>
        <v>0</v>
      </c>
      <c r="M538" s="248" t="str">
        <f>IFERROR(VLOOKUP(G538,[1]MATERIALES!$D$5:$I$1368,2,FALSE),0)</f>
        <v xml:space="preserve">Suplidores electricos </v>
      </c>
      <c r="N538" s="367" t="e">
        <f t="shared" si="318"/>
        <v>#VALUE!</v>
      </c>
      <c r="O538" s="140" t="e">
        <f t="shared" si="323"/>
        <v>#VALUE!</v>
      </c>
      <c r="P538" s="367" t="e">
        <f t="shared" si="324"/>
        <v>#VALUE!</v>
      </c>
      <c r="Q538" s="140" t="e">
        <f t="shared" si="319"/>
        <v>#VALUE!</v>
      </c>
      <c r="R538" s="368" t="e">
        <f t="shared" si="320"/>
        <v>#VALUE!</v>
      </c>
      <c r="S538" s="140">
        <f t="shared" si="325"/>
        <v>0</v>
      </c>
      <c r="T538" s="139">
        <f t="shared" si="326"/>
        <v>0</v>
      </c>
      <c r="U538" s="357"/>
      <c r="V538" s="358"/>
      <c r="W538" s="144"/>
    </row>
    <row r="539" spans="1:23" ht="15" hidden="1" customHeight="1" outlineLevel="1" thickBot="1">
      <c r="A539" s="353"/>
      <c r="B539" s="359">
        <f t="shared" si="327"/>
        <v>26.090000000000014</v>
      </c>
      <c r="C539" s="360" t="s">
        <v>818</v>
      </c>
      <c r="D539" s="360" t="s">
        <v>782</v>
      </c>
      <c r="E539" s="360" t="s">
        <v>819</v>
      </c>
      <c r="F539" s="347" t="str">
        <f t="shared" si="321"/>
        <v>120V 1Ø</v>
      </c>
      <c r="G539" s="370" t="str">
        <f>IF(H539="Rectangular",[1]MATERIALES!$D$133,IF(H538="Octagonal",[1]MATERIALES!$D$134,IF(H538="WP",[1]MATERIALES!#REF!,IF(H538="5x5",[1]MATERIALES!$D$136,0))))</f>
        <v>CAJA REG. 12X12X4 N3R</v>
      </c>
      <c r="H539" s="369" t="str">
        <f>H538</f>
        <v>Rectangular</v>
      </c>
      <c r="I539" s="366" t="str">
        <f>I533</f>
        <v>19mm</v>
      </c>
      <c r="J539" s="316"/>
      <c r="K539" s="345" t="str">
        <f t="shared" si="322"/>
        <v>Unid.</v>
      </c>
      <c r="L539" s="28">
        <f>L538</f>
        <v>0</v>
      </c>
      <c r="M539" s="248" t="str">
        <f>IFERROR(VLOOKUP(G539,[1]MATERIALES!$D$5:$I$1368,2,FALSE),0)</f>
        <v xml:space="preserve">Suplidores electricos </v>
      </c>
      <c r="N539" s="367" t="e">
        <f t="shared" si="318"/>
        <v>#VALUE!</v>
      </c>
      <c r="O539" s="140" t="e">
        <f t="shared" si="323"/>
        <v>#VALUE!</v>
      </c>
      <c r="P539" s="367" t="e">
        <f t="shared" si="324"/>
        <v>#VALUE!</v>
      </c>
      <c r="Q539" s="140" t="e">
        <f t="shared" si="319"/>
        <v>#VALUE!</v>
      </c>
      <c r="R539" s="368" t="e">
        <f t="shared" si="320"/>
        <v>#VALUE!</v>
      </c>
      <c r="S539" s="140">
        <f t="shared" si="325"/>
        <v>0</v>
      </c>
      <c r="T539" s="139">
        <f t="shared" si="326"/>
        <v>0</v>
      </c>
      <c r="U539" s="357"/>
      <c r="V539" s="358"/>
      <c r="W539" s="144"/>
    </row>
    <row r="540" spans="1:23" ht="15" hidden="1" customHeight="1" outlineLevel="1" thickBot="1">
      <c r="A540" s="353"/>
      <c r="B540" s="359">
        <f t="shared" si="327"/>
        <v>26.100000000000016</v>
      </c>
      <c r="C540" s="360" t="s">
        <v>818</v>
      </c>
      <c r="D540" s="360" t="s">
        <v>782</v>
      </c>
      <c r="E540" s="360" t="s">
        <v>819</v>
      </c>
      <c r="F540" s="347" t="str">
        <f t="shared" si="321"/>
        <v>120V 1Ø</v>
      </c>
      <c r="G540" s="371" t="str">
        <f>"Fase A"&amp;": "&amp;I540</f>
        <v>Fase A: Conductor 10 AWG THHN</v>
      </c>
      <c r="H540" s="366" t="s">
        <v>181</v>
      </c>
      <c r="I540" s="366" t="s">
        <v>153</v>
      </c>
      <c r="J540" s="366">
        <f>J531</f>
        <v>26.27</v>
      </c>
      <c r="K540" s="345" t="str">
        <f>IF(OR(H540="Conductores Americanos",H540="Conductores Europeos"),"Pies","Unid.")</f>
        <v>Pies</v>
      </c>
      <c r="L540" s="28">
        <f>ROUNDUP(J540*3.28,0)</f>
        <v>87</v>
      </c>
      <c r="M540" s="140" t="str">
        <f>VLOOKUP(I540,[1]MATERIALES!$D$5:$I$1368,2,FALSE)</f>
        <v xml:space="preserve">Suplidores electricos </v>
      </c>
      <c r="N540" s="367" t="e">
        <f t="shared" si="318"/>
        <v>#VALUE!</v>
      </c>
      <c r="O540" s="140" t="e">
        <f t="shared" si="323"/>
        <v>#VALUE!</v>
      </c>
      <c r="P540" s="367" t="e">
        <f t="shared" si="324"/>
        <v>#VALUE!</v>
      </c>
      <c r="Q540" s="140" t="e">
        <f t="shared" si="319"/>
        <v>#VALUE!</v>
      </c>
      <c r="R540" s="368" t="e">
        <f t="shared" si="320"/>
        <v>#VALUE!</v>
      </c>
      <c r="S540" s="140">
        <f t="shared" si="325"/>
        <v>0</v>
      </c>
      <c r="T540" s="139">
        <f t="shared" si="326"/>
        <v>0</v>
      </c>
      <c r="U540" s="357"/>
      <c r="V540" s="358"/>
      <c r="W540" s="144"/>
    </row>
    <row r="541" spans="1:23" ht="15" hidden="1" customHeight="1" outlineLevel="1" thickBot="1">
      <c r="A541" s="353"/>
      <c r="B541" s="359">
        <f t="shared" si="327"/>
        <v>26.110000000000017</v>
      </c>
      <c r="C541" s="360" t="s">
        <v>818</v>
      </c>
      <c r="D541" s="360" t="s">
        <v>782</v>
      </c>
      <c r="E541" s="360" t="s">
        <v>819</v>
      </c>
      <c r="F541" s="347" t="str">
        <f t="shared" si="321"/>
        <v>120V 1Ø</v>
      </c>
      <c r="G541" s="371" t="str">
        <f>IF(F541="120V 1Ø","-",("Fase B"&amp;": "&amp;I541))</f>
        <v>-</v>
      </c>
      <c r="H541" s="366" t="str">
        <f t="shared" ref="H541:I543" si="328">H540</f>
        <v>Conductores Americanos</v>
      </c>
      <c r="I541" s="366" t="str">
        <f t="shared" si="328"/>
        <v>Conductor 10 AWG THHN</v>
      </c>
      <c r="J541" s="366">
        <f>IF(G541="-",0,J531)</f>
        <v>0</v>
      </c>
      <c r="K541" s="345" t="str">
        <f t="shared" ref="K541:K547" si="329">IF(OR(H541="Conductores Americanos",H541="Conductores Europeos"),"Pies","Unid.")</f>
        <v>Pies</v>
      </c>
      <c r="L541" s="28">
        <f>ROUNDUP(J541*3.28,0)</f>
        <v>0</v>
      </c>
      <c r="M541" s="140" t="str">
        <f>VLOOKUP(I541,[1]MATERIALES!$D$5:$I$1368,2,FALSE)</f>
        <v xml:space="preserve">Suplidores electricos </v>
      </c>
      <c r="N541" s="367" t="e">
        <f t="shared" si="318"/>
        <v>#VALUE!</v>
      </c>
      <c r="O541" s="140" t="e">
        <f t="shared" si="323"/>
        <v>#VALUE!</v>
      </c>
      <c r="P541" s="367" t="e">
        <f t="shared" si="324"/>
        <v>#VALUE!</v>
      </c>
      <c r="Q541" s="140" t="e">
        <f t="shared" si="319"/>
        <v>#VALUE!</v>
      </c>
      <c r="R541" s="368" t="e">
        <f t="shared" si="320"/>
        <v>#VALUE!</v>
      </c>
      <c r="S541" s="140">
        <f t="shared" si="325"/>
        <v>0</v>
      </c>
      <c r="T541" s="139">
        <f t="shared" si="326"/>
        <v>0</v>
      </c>
      <c r="U541" s="357"/>
      <c r="V541" s="358"/>
      <c r="W541" s="144"/>
    </row>
    <row r="542" spans="1:23" ht="15" hidden="1" customHeight="1" outlineLevel="1" thickBot="1">
      <c r="A542" s="353"/>
      <c r="B542" s="359">
        <f t="shared" si="327"/>
        <v>26.120000000000019</v>
      </c>
      <c r="C542" s="360" t="s">
        <v>818</v>
      </c>
      <c r="D542" s="360" t="s">
        <v>782</v>
      </c>
      <c r="E542" s="360" t="s">
        <v>819</v>
      </c>
      <c r="F542" s="347" t="str">
        <f t="shared" si="321"/>
        <v>120V 1Ø</v>
      </c>
      <c r="G542" s="371" t="str">
        <f>IF(F542="120V 1Ø","-",IF(F542="240V 1Ø","-",("Fase C"&amp;": "&amp;I540)))</f>
        <v>-</v>
      </c>
      <c r="H542" s="366" t="str">
        <f t="shared" si="328"/>
        <v>Conductores Americanos</v>
      </c>
      <c r="I542" s="366" t="str">
        <f t="shared" si="328"/>
        <v>Conductor 10 AWG THHN</v>
      </c>
      <c r="J542" s="366">
        <f>IF(G542="-",0,J531)</f>
        <v>0</v>
      </c>
      <c r="K542" s="345" t="str">
        <f t="shared" si="329"/>
        <v>Pies</v>
      </c>
      <c r="L542" s="28">
        <f>ROUNDUP(J542*3.28,0)</f>
        <v>0</v>
      </c>
      <c r="M542" s="140" t="str">
        <f>VLOOKUP(I542,[1]MATERIALES!$D$5:$I$1368,2,FALSE)</f>
        <v xml:space="preserve">Suplidores electricos </v>
      </c>
      <c r="N542" s="367" t="e">
        <f t="shared" si="318"/>
        <v>#VALUE!</v>
      </c>
      <c r="O542" s="140" t="e">
        <f t="shared" si="323"/>
        <v>#VALUE!</v>
      </c>
      <c r="P542" s="367" t="e">
        <f t="shared" si="324"/>
        <v>#VALUE!</v>
      </c>
      <c r="Q542" s="140" t="e">
        <f t="shared" si="319"/>
        <v>#VALUE!</v>
      </c>
      <c r="R542" s="368" t="e">
        <f t="shared" si="320"/>
        <v>#VALUE!</v>
      </c>
      <c r="S542" s="140">
        <f t="shared" si="325"/>
        <v>0</v>
      </c>
      <c r="T542" s="139">
        <f t="shared" si="326"/>
        <v>0</v>
      </c>
      <c r="U542" s="357"/>
      <c r="V542" s="358"/>
      <c r="W542" s="144"/>
    </row>
    <row r="543" spans="1:23" ht="15" hidden="1" customHeight="1" outlineLevel="1" thickBot="1">
      <c r="A543" s="353"/>
      <c r="B543" s="359">
        <f t="shared" si="327"/>
        <v>26.13000000000002</v>
      </c>
      <c r="C543" s="360" t="s">
        <v>818</v>
      </c>
      <c r="D543" s="360" t="s">
        <v>782</v>
      </c>
      <c r="E543" s="360" t="s">
        <v>819</v>
      </c>
      <c r="F543" s="347" t="str">
        <f t="shared" si="321"/>
        <v>120V 1Ø</v>
      </c>
      <c r="G543" s="372" t="str">
        <f>IF(F543="240V 1Ø","-",IF(F543="480V 3Ø","-",("Neutro"&amp;": "&amp;I540)))</f>
        <v>Neutro: Conductor 10 AWG THHN</v>
      </c>
      <c r="H543" s="366" t="str">
        <f t="shared" si="328"/>
        <v>Conductores Americanos</v>
      </c>
      <c r="I543" s="366" t="str">
        <f t="shared" si="328"/>
        <v>Conductor 10 AWG THHN</v>
      </c>
      <c r="J543" s="366">
        <f>IF(G543="-",0,J531)</f>
        <v>26.27</v>
      </c>
      <c r="K543" s="345" t="str">
        <f t="shared" si="329"/>
        <v>Pies</v>
      </c>
      <c r="L543" s="28">
        <f>ROUNDUP(J543*3.28,0)</f>
        <v>87</v>
      </c>
      <c r="M543" s="140" t="str">
        <f>VLOOKUP(I543,[1]MATERIALES!$D$5:$I$1368,2,FALSE)</f>
        <v xml:space="preserve">Suplidores electricos </v>
      </c>
      <c r="N543" s="367" t="e">
        <f t="shared" si="318"/>
        <v>#VALUE!</v>
      </c>
      <c r="O543" s="140" t="e">
        <f t="shared" si="323"/>
        <v>#VALUE!</v>
      </c>
      <c r="P543" s="367" t="e">
        <f t="shared" si="324"/>
        <v>#VALUE!</v>
      </c>
      <c r="Q543" s="140" t="e">
        <f t="shared" si="319"/>
        <v>#VALUE!</v>
      </c>
      <c r="R543" s="368" t="e">
        <f t="shared" si="320"/>
        <v>#VALUE!</v>
      </c>
      <c r="S543" s="140">
        <f t="shared" si="325"/>
        <v>0</v>
      </c>
      <c r="T543" s="139">
        <f t="shared" si="326"/>
        <v>0</v>
      </c>
      <c r="U543" s="357"/>
      <c r="V543" s="358"/>
      <c r="W543" s="144"/>
    </row>
    <row r="544" spans="1:23" ht="15" hidden="1" customHeight="1" outlineLevel="1" thickBot="1">
      <c r="A544" s="353"/>
      <c r="B544" s="359">
        <f t="shared" si="327"/>
        <v>26.140000000000022</v>
      </c>
      <c r="C544" s="360" t="s">
        <v>818</v>
      </c>
      <c r="D544" s="360" t="s">
        <v>782</v>
      </c>
      <c r="E544" s="360" t="s">
        <v>819</v>
      </c>
      <c r="F544" s="347" t="str">
        <f t="shared" si="321"/>
        <v>120V 1Ø</v>
      </c>
      <c r="G544" s="372" t="str">
        <f>"Tierra"&amp;": "&amp;I544</f>
        <v>Tierra: Conductor 10 AWG THHN</v>
      </c>
      <c r="H544" s="366" t="str">
        <f>H543</f>
        <v>Conductores Americanos</v>
      </c>
      <c r="I544" s="366" t="str">
        <f>I543</f>
        <v>Conductor 10 AWG THHN</v>
      </c>
      <c r="J544" s="366">
        <f>J531</f>
        <v>26.27</v>
      </c>
      <c r="K544" s="345" t="str">
        <f t="shared" si="329"/>
        <v>Pies</v>
      </c>
      <c r="L544" s="28">
        <f>ROUNDUP(J544*3.28,0)</f>
        <v>87</v>
      </c>
      <c r="M544" s="140" t="str">
        <f>VLOOKUP(I544,[1]MATERIALES!$D$5:$I$1368,2,FALSE)</f>
        <v xml:space="preserve">Suplidores electricos </v>
      </c>
      <c r="N544" s="367" t="e">
        <f t="shared" si="318"/>
        <v>#VALUE!</v>
      </c>
      <c r="O544" s="140" t="e">
        <f t="shared" si="323"/>
        <v>#VALUE!</v>
      </c>
      <c r="P544" s="367" t="e">
        <f t="shared" si="324"/>
        <v>#VALUE!</v>
      </c>
      <c r="Q544" s="140" t="e">
        <f t="shared" si="319"/>
        <v>#VALUE!</v>
      </c>
      <c r="R544" s="368" t="e">
        <f t="shared" si="320"/>
        <v>#VALUE!</v>
      </c>
      <c r="S544" s="140">
        <f t="shared" si="325"/>
        <v>0</v>
      </c>
      <c r="T544" s="139">
        <f t="shared" si="326"/>
        <v>0</v>
      </c>
      <c r="U544" s="357"/>
      <c r="V544" s="358"/>
      <c r="W544" s="144"/>
    </row>
    <row r="545" spans="1:23" ht="15" hidden="1" customHeight="1" outlineLevel="1" thickBot="1">
      <c r="A545" s="353"/>
      <c r="B545" s="359">
        <f t="shared" si="327"/>
        <v>26.150000000000023</v>
      </c>
      <c r="C545" s="360" t="s">
        <v>818</v>
      </c>
      <c r="D545" s="360" t="s">
        <v>782</v>
      </c>
      <c r="E545" s="360" t="s">
        <v>819</v>
      </c>
      <c r="F545" s="347" t="str">
        <f t="shared" si="321"/>
        <v>120V 1Ø</v>
      </c>
      <c r="G545" s="361" t="str" cm="1">
        <f t="array" ref="G545">IFERROR(VLOOKUP(H545&amp;"|"&amp;I545,CHOOSE({1,2},[1]MATERIALES!$B$168:$B$175&amp;"|"&amp;[1]MATERIALES!$C$168:$C$175,[1]MATERIALES!$D$168:$D$175),2,0),"-")</f>
        <v>Tomacorriente 15A Matix (AM5115D + 503SB/SA)</v>
      </c>
      <c r="H545" s="373" t="s">
        <v>382</v>
      </c>
      <c r="I545" s="373" t="s">
        <v>380</v>
      </c>
      <c r="J545" s="316"/>
      <c r="K545" s="345" t="str">
        <f t="shared" si="329"/>
        <v>Unid.</v>
      </c>
      <c r="L545" s="218">
        <v>0</v>
      </c>
      <c r="M545" s="248">
        <f>IFERROR(VLOOKUP(G545,[1]MATERIALES!$D$5:$I$1368,2,FALSE),0)</f>
        <v>0</v>
      </c>
      <c r="N545" s="367">
        <f t="shared" si="318"/>
        <v>0</v>
      </c>
      <c r="O545" s="140">
        <f t="shared" si="323"/>
        <v>0</v>
      </c>
      <c r="P545" s="367">
        <f t="shared" si="324"/>
        <v>0</v>
      </c>
      <c r="Q545" s="140">
        <f t="shared" si="319"/>
        <v>0</v>
      </c>
      <c r="R545" s="368">
        <f t="shared" si="320"/>
        <v>0</v>
      </c>
      <c r="S545" s="140">
        <f t="shared" si="325"/>
        <v>0</v>
      </c>
      <c r="T545" s="139">
        <f t="shared" si="326"/>
        <v>0</v>
      </c>
      <c r="U545" s="357"/>
      <c r="V545" s="358"/>
      <c r="W545" s="144"/>
    </row>
    <row r="546" spans="1:23" ht="15" hidden="1" customHeight="1" outlineLevel="1" thickBot="1">
      <c r="A546" s="353"/>
      <c r="B546" s="359">
        <f t="shared" si="327"/>
        <v>26.160000000000025</v>
      </c>
      <c r="C546" s="360" t="s">
        <v>818</v>
      </c>
      <c r="D546" s="360" t="s">
        <v>782</v>
      </c>
      <c r="E546" s="360" t="s">
        <v>819</v>
      </c>
      <c r="F546" s="347" t="str">
        <f t="shared" si="321"/>
        <v>120V 1Ø</v>
      </c>
      <c r="G546" s="361" t="str" cm="1">
        <f t="array" ref="G546">IFERROR(VLOOKUP(H546&amp;"|"&amp;I546,CHOOSE({1,2},[1]MATERIALES!$B$176:$B$185&amp;"|"&amp;[1]MATERIALES!$C$176:$C$185,[1]MATERIALES!$D$176:$D$185),2,0),"-")</f>
        <v>Tapa para tomacorriente MATIX (AM503/3N)</v>
      </c>
      <c r="H546" s="366" t="str">
        <f>H545</f>
        <v>MATIX</v>
      </c>
      <c r="I546" s="373" t="s">
        <v>392</v>
      </c>
      <c r="J546" s="316"/>
      <c r="K546" s="345" t="str">
        <f t="shared" si="329"/>
        <v>Unid.</v>
      </c>
      <c r="L546" s="345">
        <f>L545</f>
        <v>0</v>
      </c>
      <c r="M546" s="248">
        <f>IFERROR(VLOOKUP(G546,[1]MATERIALES!$D$5:$I$1368,2,FALSE),0)</f>
        <v>0</v>
      </c>
      <c r="N546" s="367">
        <f t="shared" si="318"/>
        <v>0</v>
      </c>
      <c r="O546" s="140">
        <f t="shared" si="323"/>
        <v>0</v>
      </c>
      <c r="P546" s="367">
        <f t="shared" si="324"/>
        <v>0</v>
      </c>
      <c r="Q546" s="140">
        <f t="shared" si="319"/>
        <v>0</v>
      </c>
      <c r="R546" s="368">
        <f t="shared" si="320"/>
        <v>0</v>
      </c>
      <c r="S546" s="140">
        <f t="shared" si="325"/>
        <v>0</v>
      </c>
      <c r="T546" s="139">
        <f t="shared" si="326"/>
        <v>0</v>
      </c>
      <c r="U546" s="357"/>
      <c r="V546" s="358"/>
      <c r="W546" s="144"/>
    </row>
    <row r="547" spans="1:23" ht="15" hidden="1" customHeight="1" outlineLevel="1" thickBot="1">
      <c r="A547" s="353"/>
      <c r="B547" s="359">
        <f>B546+0.01</f>
        <v>26.170000000000027</v>
      </c>
      <c r="C547" s="360" t="s">
        <v>818</v>
      </c>
      <c r="D547" s="360" t="s">
        <v>782</v>
      </c>
      <c r="E547" s="360" t="s">
        <v>819</v>
      </c>
      <c r="F547" s="347" t="str">
        <f>F546</f>
        <v>120V 1Ø</v>
      </c>
      <c r="G547" s="371" t="s">
        <v>422</v>
      </c>
      <c r="H547" s="316"/>
      <c r="I547" s="316"/>
      <c r="J547" s="316"/>
      <c r="K547" s="345" t="str">
        <f t="shared" si="329"/>
        <v>Unid.</v>
      </c>
      <c r="L547" s="345">
        <f>3*(L536)</f>
        <v>3</v>
      </c>
      <c r="M547" s="248">
        <f>IFERROR(VLOOKUP(G547,[1]MATERIALES!$D$5:$I$1368,2,FALSE),0)</f>
        <v>0</v>
      </c>
      <c r="N547" s="367">
        <f t="shared" si="318"/>
        <v>0</v>
      </c>
      <c r="O547" s="140">
        <f t="shared" si="323"/>
        <v>0</v>
      </c>
      <c r="P547" s="367">
        <f t="shared" si="324"/>
        <v>0</v>
      </c>
      <c r="Q547" s="140">
        <f t="shared" si="319"/>
        <v>0</v>
      </c>
      <c r="R547" s="368">
        <f t="shared" si="320"/>
        <v>0</v>
      </c>
      <c r="S547" s="140">
        <f t="shared" si="325"/>
        <v>0</v>
      </c>
      <c r="T547" s="139">
        <f t="shared" si="326"/>
        <v>0</v>
      </c>
      <c r="U547" s="357" t="e">
        <f>SUM(R547:R549)</f>
        <v>#VALUE!</v>
      </c>
      <c r="V547" s="358" t="e">
        <f>'[1]1. OFERTA'!#REF!</f>
        <v>#REF!</v>
      </c>
      <c r="W547" s="144" t="e">
        <f>U547-V547</f>
        <v>#VALUE!</v>
      </c>
    </row>
    <row r="548" spans="1:23" ht="15" hidden="1" customHeight="1" outlineLevel="1" thickBot="1">
      <c r="A548" s="353"/>
      <c r="B548" s="359">
        <f t="shared" ref="B548:B549" si="330">B547+0.01</f>
        <v>26.180000000000028</v>
      </c>
      <c r="C548" s="360" t="s">
        <v>818</v>
      </c>
      <c r="D548" s="360" t="s">
        <v>782</v>
      </c>
      <c r="E548" s="360" t="s">
        <v>819</v>
      </c>
      <c r="F548" s="347" t="str">
        <f t="shared" ref="F548:F549" si="331">F547</f>
        <v>120V 1Ø</v>
      </c>
      <c r="G548" s="374" t="s">
        <v>424</v>
      </c>
      <c r="H548" s="316"/>
      <c r="I548" s="316"/>
      <c r="J548" s="316"/>
      <c r="K548" s="345" t="s">
        <v>784</v>
      </c>
      <c r="L548" s="28">
        <f>ROUNDUP(L535+L536+L538,0)</f>
        <v>28</v>
      </c>
      <c r="M548" s="248">
        <f>IFERROR(VLOOKUP(G548,[1]MATERIALES!$D$5:$I$1368,2,FALSE),0)</f>
        <v>0</v>
      </c>
      <c r="N548" s="367">
        <f t="shared" si="318"/>
        <v>0</v>
      </c>
      <c r="O548" s="140">
        <f t="shared" si="323"/>
        <v>0</v>
      </c>
      <c r="P548" s="367">
        <f t="shared" si="324"/>
        <v>0</v>
      </c>
      <c r="Q548" s="140">
        <f t="shared" si="319"/>
        <v>0</v>
      </c>
      <c r="R548" s="368">
        <f t="shared" si="320"/>
        <v>0</v>
      </c>
      <c r="S548" s="140">
        <f t="shared" si="325"/>
        <v>0</v>
      </c>
      <c r="T548" s="139">
        <f t="shared" si="326"/>
        <v>0</v>
      </c>
      <c r="U548" s="357"/>
      <c r="V548" s="358"/>
      <c r="W548" s="144"/>
    </row>
    <row r="549" spans="1:23" ht="15" hidden="1" customHeight="1" outlineLevel="1" thickBot="1">
      <c r="A549" s="353"/>
      <c r="B549" s="359">
        <f t="shared" si="330"/>
        <v>26.19000000000003</v>
      </c>
      <c r="C549" s="360" t="s">
        <v>818</v>
      </c>
      <c r="D549" s="360" t="s">
        <v>782</v>
      </c>
      <c r="E549" s="360" t="s">
        <v>819</v>
      </c>
      <c r="F549" s="347" t="str">
        <f t="shared" si="331"/>
        <v>120V 1Ø</v>
      </c>
      <c r="G549" s="374" t="s">
        <v>168</v>
      </c>
      <c r="H549" s="316"/>
      <c r="I549" s="316"/>
      <c r="J549" s="316"/>
      <c r="K549" s="345" t="s">
        <v>784</v>
      </c>
      <c r="L549" s="28">
        <f>L548</f>
        <v>28</v>
      </c>
      <c r="M549" s="248" t="str">
        <f>IFERROR(VLOOKUP(G549,[1]MATERIALES!$D$5:$I$1368,2,FALSE),0)</f>
        <v xml:space="preserve">Marba Dominicana </v>
      </c>
      <c r="N549" s="367" t="e">
        <f t="shared" si="318"/>
        <v>#VALUE!</v>
      </c>
      <c r="O549" s="140" t="e">
        <f t="shared" si="323"/>
        <v>#VALUE!</v>
      </c>
      <c r="P549" s="367" t="e">
        <f t="shared" si="324"/>
        <v>#VALUE!</v>
      </c>
      <c r="Q549" s="140" t="e">
        <f t="shared" si="319"/>
        <v>#VALUE!</v>
      </c>
      <c r="R549" s="368" t="e">
        <f t="shared" si="320"/>
        <v>#VALUE!</v>
      </c>
      <c r="S549" s="140">
        <f t="shared" si="325"/>
        <v>0</v>
      </c>
      <c r="T549" s="139">
        <f t="shared" si="326"/>
        <v>0</v>
      </c>
      <c r="U549" s="357"/>
      <c r="V549" s="358"/>
      <c r="W549" s="144"/>
    </row>
    <row r="550" spans="1:23" ht="15" customHeight="1" collapsed="1" thickBot="1">
      <c r="A550" s="353"/>
      <c r="B550" s="354">
        <v>27</v>
      </c>
      <c r="C550" s="355" t="s">
        <v>820</v>
      </c>
      <c r="D550" s="269" t="s">
        <v>782</v>
      </c>
      <c r="E550" s="269" t="s">
        <v>821</v>
      </c>
      <c r="F550" s="270" t="s">
        <v>809</v>
      </c>
      <c r="G550" s="271"/>
      <c r="H550" s="272"/>
      <c r="I550" s="272"/>
      <c r="J550" s="272"/>
      <c r="K550" s="268"/>
      <c r="L550" s="268"/>
      <c r="M550" s="273"/>
      <c r="N550" s="274"/>
      <c r="O550" s="273"/>
      <c r="P550" s="274"/>
      <c r="Q550" s="273"/>
      <c r="R550" s="275"/>
      <c r="S550" s="273"/>
      <c r="T550" s="276"/>
      <c r="U550" s="357" t="e">
        <f>SUM(R551:R569)</f>
        <v>#VALUE!</v>
      </c>
      <c r="V550" s="358" t="e">
        <f>'[1]1. OFERTA'!#REF!</f>
        <v>#REF!</v>
      </c>
      <c r="W550" s="144" t="e">
        <f>U550-V550</f>
        <v>#VALUE!</v>
      </c>
    </row>
    <row r="551" spans="1:23" ht="15" hidden="1" customHeight="1" outlineLevel="1" thickBot="1">
      <c r="A551" s="353"/>
      <c r="B551" s="359">
        <f t="shared" ref="B551:B589" si="332">B550+0.01</f>
        <v>27.01</v>
      </c>
      <c r="C551" s="360" t="s">
        <v>820</v>
      </c>
      <c r="D551" s="360" t="s">
        <v>782</v>
      </c>
      <c r="E551" s="360" t="s">
        <v>821</v>
      </c>
      <c r="F551" s="347" t="s">
        <v>809</v>
      </c>
      <c r="G551" s="361" t="str">
        <f>IF(H551="PVC",VLOOKUP(I551,[1]MATERIALES!$C$5:$D$11,2,FALSE),IF(H551="EMT",VLOOKUP(I551,[1]MATERIALES!$C$40:$D$46,2,FALSE),IF(H551="IMC",VLOOKUP(I551,[1]MATERIALES!$C$82:$D$88,2,FALSE),IF(H551="LFNC",VLOOKUP(I551,[1]MATERIALES!$C$110:$D$116,2,FALSE),0))))</f>
        <v>Tubería PVC SDR-26 3/4"</v>
      </c>
      <c r="H551" s="362" t="s">
        <v>184</v>
      </c>
      <c r="I551" s="362" t="s">
        <v>212</v>
      </c>
      <c r="J551" s="362">
        <v>15.42</v>
      </c>
      <c r="K551" s="134" t="str">
        <f>IF(OR(H551="Conductores Americanos",H551="Conductores Europeos"),"Pies","Unid.")</f>
        <v>Unid.</v>
      </c>
      <c r="L551" s="363">
        <f>IF(H551="PVC",ROUNDUP(J551/6,0),IF(H551="EMT",ROUNDUP(J551/3,0),IF(H551="IMC",ROUNDUP(J551/3,0),IF(H551="LFNC",ROUNDUP(3.28*J551,0),0))))</f>
        <v>3</v>
      </c>
      <c r="M551" s="248" t="str">
        <f>IFERROR(VLOOKUP(G551,[1]MATERIALES!$D$5:$I$1368,2,FALSE),0)</f>
        <v xml:space="preserve">Suplidores electricos </v>
      </c>
      <c r="N551" s="364" t="e">
        <f t="shared" ref="N551:N569" si="333">M551/$N$2</f>
        <v>#VALUE!</v>
      </c>
      <c r="O551" s="248" t="e">
        <f>+L551*M551</f>
        <v>#VALUE!</v>
      </c>
      <c r="P551" s="364" t="e">
        <f>L551*N551</f>
        <v>#VALUE!</v>
      </c>
      <c r="Q551" s="248" t="e">
        <f t="shared" ref="Q551:Q569" si="334">+$O551+($O551*$R$2)</f>
        <v>#VALUE!</v>
      </c>
      <c r="R551" s="365" t="e">
        <f t="shared" ref="R551:R569" si="335">+$P551+($P551*$R$2)</f>
        <v>#VALUE!</v>
      </c>
      <c r="S551" s="248">
        <f>+IFERROR(Q551/L551,0)</f>
        <v>0</v>
      </c>
      <c r="T551" s="146">
        <f>+IFERROR(R551/L551,0)</f>
        <v>0</v>
      </c>
      <c r="U551" s="357"/>
      <c r="V551" s="358"/>
      <c r="W551" s="144"/>
    </row>
    <row r="552" spans="1:23" ht="15" hidden="1" customHeight="1" outlineLevel="1" thickBot="1">
      <c r="A552" s="353"/>
      <c r="B552" s="359">
        <f t="shared" si="332"/>
        <v>27.020000000000003</v>
      </c>
      <c r="C552" s="360" t="s">
        <v>820</v>
      </c>
      <c r="D552" s="360" t="s">
        <v>782</v>
      </c>
      <c r="E552" s="360" t="s">
        <v>821</v>
      </c>
      <c r="F552" s="347" t="str">
        <f t="shared" ref="F552:F569" si="336">F551</f>
        <v>240V 1Ø</v>
      </c>
      <c r="G552" s="361" t="str">
        <f>IF(H552="PVC",VLOOKUP(I552,[1]MATERIALES!$C$12:$D$18,2,FALSE),IF(H552="EMT",VLOOKUP(I552,[1]MATERIALES!$C$47:$D$53,2,FALSE),IF(H552="IMC",VLOOKUP(I552,[1]MATERIALES!$C$89:$D$96,2,FALSE),"-")))</f>
        <v>Coupling PVC 3/4"</v>
      </c>
      <c r="H552" s="366" t="str">
        <f>H551</f>
        <v>PVC</v>
      </c>
      <c r="I552" s="366" t="str">
        <f>I551</f>
        <v>19mm</v>
      </c>
      <c r="J552" s="316"/>
      <c r="K552" s="345" t="str">
        <f t="shared" ref="K552:K559" si="337">IF(OR(H552="Conductores Americanos",H552="Conductores Europeos"),"Pies","Unid.")</f>
        <v>Unid.</v>
      </c>
      <c r="L552" s="28">
        <f>IF(H552="LFNC",0,L551)</f>
        <v>3</v>
      </c>
      <c r="M552" s="140" t="str">
        <f>IF(H552="LFNC",0,VLOOKUP(G552,[1]MATERIALES!$D$5:$I$1368,2,FALSE))</f>
        <v xml:space="preserve">Suplidores electricos </v>
      </c>
      <c r="N552" s="367" t="e">
        <f t="shared" si="333"/>
        <v>#VALUE!</v>
      </c>
      <c r="O552" s="140" t="e">
        <f t="shared" ref="O552:O569" si="338">+L552*M552</f>
        <v>#VALUE!</v>
      </c>
      <c r="P552" s="367" t="e">
        <f t="shared" ref="P552:P569" si="339">L552*N552</f>
        <v>#VALUE!</v>
      </c>
      <c r="Q552" s="140" t="e">
        <f t="shared" si="334"/>
        <v>#VALUE!</v>
      </c>
      <c r="R552" s="368" t="e">
        <f t="shared" si="335"/>
        <v>#VALUE!</v>
      </c>
      <c r="S552" s="140">
        <f t="shared" ref="S552:S569" si="340">+IFERROR(Q552/L552,0)</f>
        <v>0</v>
      </c>
      <c r="T552" s="139">
        <f t="shared" ref="T552:T569" si="341">+IFERROR(R552/L552,0)</f>
        <v>0</v>
      </c>
      <c r="U552" s="357"/>
      <c r="V552" s="358"/>
      <c r="W552" s="144"/>
    </row>
    <row r="553" spans="1:23" ht="15" hidden="1" customHeight="1" outlineLevel="1" thickBot="1">
      <c r="A553" s="353"/>
      <c r="B553" s="359">
        <f t="shared" si="332"/>
        <v>27.030000000000005</v>
      </c>
      <c r="C553" s="360" t="s">
        <v>820</v>
      </c>
      <c r="D553" s="360" t="s">
        <v>782</v>
      </c>
      <c r="E553" s="360" t="s">
        <v>821</v>
      </c>
      <c r="F553" s="347" t="str">
        <f t="shared" si="336"/>
        <v>240V 1Ø</v>
      </c>
      <c r="G553" s="361" t="str">
        <f>IF(H553="PVC",VLOOKUP(I553,[1]MATERIALES!$C$19:$D$25,2,FALSE),IF(H553="EMT",VLOOKUP(I553,[1]MATERIALES!$C$54:$D$60,2,FALSE),IF(H553="IMC",VLOOKUP(I553,[1]MATERIALES!$C$96:$D$102,2,FALSE),IF(H553="LFNC",VLOOKUP(I553,[1]MATERIALES!$C$117:$D$123,2,FALSE),0))))</f>
        <v>Adaptador Macho PVC 3/4"</v>
      </c>
      <c r="H553" s="366" t="str">
        <f>H551</f>
        <v>PVC</v>
      </c>
      <c r="I553" s="366" t="str">
        <f>I551</f>
        <v>19mm</v>
      </c>
      <c r="J553" s="316"/>
      <c r="K553" s="345" t="str">
        <f t="shared" si="337"/>
        <v>Unid.</v>
      </c>
      <c r="L553" s="28">
        <f>1+L556*2+L558</f>
        <v>3</v>
      </c>
      <c r="M553" s="248" t="str">
        <f>IFERROR(VLOOKUP(G553,[1]MATERIALES!$D$5:$I$1368,2,FALSE),0)</f>
        <v xml:space="preserve">Suplidores electricos </v>
      </c>
      <c r="N553" s="367" t="e">
        <f t="shared" si="333"/>
        <v>#VALUE!</v>
      </c>
      <c r="O553" s="140" t="e">
        <f t="shared" si="338"/>
        <v>#VALUE!</v>
      </c>
      <c r="P553" s="367" t="e">
        <f t="shared" si="339"/>
        <v>#VALUE!</v>
      </c>
      <c r="Q553" s="140" t="e">
        <f t="shared" si="334"/>
        <v>#VALUE!</v>
      </c>
      <c r="R553" s="368" t="e">
        <f t="shared" si="335"/>
        <v>#VALUE!</v>
      </c>
      <c r="S553" s="140">
        <f t="shared" si="340"/>
        <v>0</v>
      </c>
      <c r="T553" s="139">
        <f t="shared" si="341"/>
        <v>0</v>
      </c>
      <c r="U553" s="357"/>
      <c r="V553" s="358"/>
      <c r="W553" s="144"/>
    </row>
    <row r="554" spans="1:23" ht="15" hidden="1" customHeight="1" outlineLevel="1" thickBot="1">
      <c r="A554" s="353"/>
      <c r="B554" s="359">
        <f t="shared" si="332"/>
        <v>27.040000000000006</v>
      </c>
      <c r="C554" s="360" t="s">
        <v>820</v>
      </c>
      <c r="D554" s="360" t="s">
        <v>782</v>
      </c>
      <c r="E554" s="360" t="s">
        <v>821</v>
      </c>
      <c r="F554" s="347" t="str">
        <f t="shared" si="336"/>
        <v>240V 1Ø</v>
      </c>
      <c r="G554" s="361" t="str">
        <f>IF(H554="PVC",VLOOKUP(I554,[1]MATERIALES!$C$33:$D$39,2,FALSE),IF(H554="EMT",VLOOKUP(I554,[1]MATERIALES!$C$61:$D$67,2,FALSE),IF(H554="IMC",VLOOKUP(I554,[1]MATERIALES!$C$103:$D$109,2,FALSE),"-")))</f>
        <v>Curva 90 PVC SDR 3/4"</v>
      </c>
      <c r="H554" s="366" t="str">
        <f>H551</f>
        <v>PVC</v>
      </c>
      <c r="I554" s="366" t="str">
        <f>I551</f>
        <v>19mm</v>
      </c>
      <c r="J554" s="316"/>
      <c r="K554" s="345" t="str">
        <f t="shared" si="337"/>
        <v>Unid.</v>
      </c>
      <c r="L554" s="28">
        <f>IF(H554="LFNC",0,(1+L565))</f>
        <v>1</v>
      </c>
      <c r="M554" s="140" t="str">
        <f>IF(H554="LFNC",0,VLOOKUP(G554,[1]MATERIALES!$D$5:$I$1368,2,FALSE))</f>
        <v xml:space="preserve">Suplidores electricos </v>
      </c>
      <c r="N554" s="367" t="e">
        <f t="shared" si="333"/>
        <v>#VALUE!</v>
      </c>
      <c r="O554" s="140" t="e">
        <f t="shared" si="338"/>
        <v>#VALUE!</v>
      </c>
      <c r="P554" s="367" t="e">
        <f t="shared" si="339"/>
        <v>#VALUE!</v>
      </c>
      <c r="Q554" s="140" t="e">
        <f t="shared" si="334"/>
        <v>#VALUE!</v>
      </c>
      <c r="R554" s="368" t="e">
        <f t="shared" si="335"/>
        <v>#VALUE!</v>
      </c>
      <c r="S554" s="140">
        <f t="shared" si="340"/>
        <v>0</v>
      </c>
      <c r="T554" s="139">
        <f t="shared" si="341"/>
        <v>0</v>
      </c>
      <c r="U554" s="357"/>
      <c r="V554" s="358"/>
      <c r="W554" s="144"/>
    </row>
    <row r="555" spans="1:23" ht="15" hidden="1" customHeight="1" outlineLevel="1" thickBot="1">
      <c r="A555" s="353"/>
      <c r="B555" s="359">
        <f t="shared" si="332"/>
        <v>27.050000000000008</v>
      </c>
      <c r="C555" s="360" t="s">
        <v>820</v>
      </c>
      <c r="D555" s="360" t="s">
        <v>782</v>
      </c>
      <c r="E555" s="360" t="s">
        <v>821</v>
      </c>
      <c r="F555" s="347" t="str">
        <f t="shared" si="336"/>
        <v>240V 1Ø</v>
      </c>
      <c r="G555" s="361" t="str">
        <f>VLOOKUP(I555,[1]MATERIALES!$C$68:$D$74,2,FALSE)</f>
        <v>Abrazadera EMT 3/4'' </v>
      </c>
      <c r="H555" s="316"/>
      <c r="I555" s="366" t="str">
        <f>I551</f>
        <v>19mm</v>
      </c>
      <c r="J555" s="316"/>
      <c r="K555" s="345" t="str">
        <f t="shared" si="337"/>
        <v>Unid.</v>
      </c>
      <c r="L555" s="28">
        <f>ROUNDUP(J551,0)</f>
        <v>16</v>
      </c>
      <c r="M555" s="248" t="str">
        <f>IFERROR(VLOOKUP(G555,[1]MATERIALES!$D$5:$I$1368,2,FALSE),0)</f>
        <v xml:space="preserve">Suplidores electricos </v>
      </c>
      <c r="N555" s="367" t="e">
        <f t="shared" si="333"/>
        <v>#VALUE!</v>
      </c>
      <c r="O555" s="140" t="e">
        <f t="shared" si="338"/>
        <v>#VALUE!</v>
      </c>
      <c r="P555" s="367" t="e">
        <f t="shared" si="339"/>
        <v>#VALUE!</v>
      </c>
      <c r="Q555" s="140" t="e">
        <f t="shared" si="334"/>
        <v>#VALUE!</v>
      </c>
      <c r="R555" s="368" t="e">
        <f t="shared" si="335"/>
        <v>#VALUE!</v>
      </c>
      <c r="S555" s="140">
        <f t="shared" si="340"/>
        <v>0</v>
      </c>
      <c r="T555" s="139">
        <f t="shared" si="341"/>
        <v>0</v>
      </c>
      <c r="U555" s="357"/>
      <c r="V555" s="358"/>
      <c r="W555" s="144"/>
    </row>
    <row r="556" spans="1:23" ht="15" hidden="1" customHeight="1" outlineLevel="1" thickBot="1">
      <c r="A556" s="353"/>
      <c r="B556" s="359">
        <f t="shared" si="332"/>
        <v>27.060000000000009</v>
      </c>
      <c r="C556" s="360" t="s">
        <v>820</v>
      </c>
      <c r="D556" s="360" t="s">
        <v>782</v>
      </c>
      <c r="E556" s="360" t="s">
        <v>821</v>
      </c>
      <c r="F556" s="347" t="str">
        <f t="shared" si="336"/>
        <v>240V 1Ø</v>
      </c>
      <c r="G556" s="361" t="str" cm="1">
        <f t="array" ref="G556">_xlfn.SWITCH(I556,"13mm",(IF(H556="Rectangular",VLOOKUP(I556,[1]MATERIALES!$C$124:$D$125,2,FALSE),IF(H556="Octagonal",VLOOKUP(I556,[1]MATERIALES!$C$126:$D$127,2,FALSE),IF(H556="WP",VLOOKUP(I556,[1]MATERIALES!$C$128:$D$129,2,FALSE),IF(H556="5x5",VLOOKUP(I556,[1]MATERIALES!$C$130:$D$132,2,FALSE)))))),"19mm",(IF(H556="Rectangular",VLOOKUP(I556,[1]MATERIALES!$C$124:$D$125,2,FALSE),IF(H556="Octagonal",VLOOKUP(I556,[1]MATERIALES!$C$126:$D$127,2,FALSE),IF(H556="WP",VLOOKUP(I556,[1]MATERIALES!$C$128:$D$129,2,FALSE),IF(H556="5x5",VLOOKUP(I556,[1]MATERIALES!$C$130:$D$132,2,FALSE)))))),"25mm",IF(H556="Rectangular","-",IF(H556="Octagonal","--",IF(H556="WP","---",IF(H556="5x5",VLOOKUP(I556,[1]MATERIALES!$C$130:$D$132,2,FALSE),0)))),"38mm","-","50mm","-","75mm","-","100mm","-")</f>
        <v>Caja EMT 2x4 3/4" USA UL</v>
      </c>
      <c r="H556" s="369" t="s">
        <v>188</v>
      </c>
      <c r="I556" s="366" t="str">
        <f>I551</f>
        <v>19mm</v>
      </c>
      <c r="J556" s="316"/>
      <c r="K556" s="345" t="str">
        <f t="shared" si="337"/>
        <v>Unid.</v>
      </c>
      <c r="L556" s="28">
        <f>1+L565</f>
        <v>1</v>
      </c>
      <c r="M556" s="248" t="str">
        <f>IFERROR(VLOOKUP(G556,[1]MATERIALES!$D$5:$I$1368,2,FALSE),0)</f>
        <v xml:space="preserve">Suplidores electricos </v>
      </c>
      <c r="N556" s="367" t="e">
        <f t="shared" si="333"/>
        <v>#VALUE!</v>
      </c>
      <c r="O556" s="140" t="e">
        <f t="shared" si="338"/>
        <v>#VALUE!</v>
      </c>
      <c r="P556" s="367" t="e">
        <f t="shared" si="339"/>
        <v>#VALUE!</v>
      </c>
      <c r="Q556" s="140" t="e">
        <f t="shared" si="334"/>
        <v>#VALUE!</v>
      </c>
      <c r="R556" s="368" t="e">
        <f t="shared" si="335"/>
        <v>#VALUE!</v>
      </c>
      <c r="S556" s="140">
        <f t="shared" si="340"/>
        <v>0</v>
      </c>
      <c r="T556" s="139">
        <f t="shared" si="341"/>
        <v>0</v>
      </c>
      <c r="U556" s="357"/>
      <c r="V556" s="358"/>
      <c r="W556" s="144"/>
    </row>
    <row r="557" spans="1:23" ht="15" hidden="1" customHeight="1" outlineLevel="1" thickBot="1">
      <c r="A557" s="353"/>
      <c r="B557" s="359">
        <f t="shared" si="332"/>
        <v>27.070000000000011</v>
      </c>
      <c r="C557" s="360" t="s">
        <v>820</v>
      </c>
      <c r="D557" s="360" t="s">
        <v>782</v>
      </c>
      <c r="E557" s="360" t="s">
        <v>821</v>
      </c>
      <c r="F557" s="347" t="str">
        <f t="shared" si="336"/>
        <v>240V 1Ø</v>
      </c>
      <c r="G557" s="370" t="str">
        <f>IF(H557="Rectangular",[1]MATERIALES!$D$133,IF(H556="Octagonal",[1]MATERIALES!$D$134,IF(H556="WP",[1]MATERIALES!$D$135,IF(H556="5x5",[1]MATERIALES!$D$136,0))))</f>
        <v>CAJA REG. 12X12X4 N3R</v>
      </c>
      <c r="H557" s="369" t="str">
        <f>H556</f>
        <v>Rectangular</v>
      </c>
      <c r="I557" s="366" t="str">
        <f>I551</f>
        <v>19mm</v>
      </c>
      <c r="J557" s="316"/>
      <c r="K557" s="345" t="str">
        <f t="shared" si="337"/>
        <v>Unid.</v>
      </c>
      <c r="L557" s="28">
        <f>L556</f>
        <v>1</v>
      </c>
      <c r="M557" s="248" t="str">
        <f>IFERROR(VLOOKUP(G557,[1]MATERIALES!$D$5:$I$1368,2,FALSE),0)</f>
        <v xml:space="preserve">Suplidores electricos </v>
      </c>
      <c r="N557" s="367" t="e">
        <f t="shared" si="333"/>
        <v>#VALUE!</v>
      </c>
      <c r="O557" s="140" t="e">
        <f t="shared" si="338"/>
        <v>#VALUE!</v>
      </c>
      <c r="P557" s="367" t="e">
        <f t="shared" si="339"/>
        <v>#VALUE!</v>
      </c>
      <c r="Q557" s="140" t="e">
        <f t="shared" si="334"/>
        <v>#VALUE!</v>
      </c>
      <c r="R557" s="368" t="e">
        <f t="shared" si="335"/>
        <v>#VALUE!</v>
      </c>
      <c r="S557" s="140">
        <f t="shared" si="340"/>
        <v>0</v>
      </c>
      <c r="T557" s="139">
        <f t="shared" si="341"/>
        <v>0</v>
      </c>
      <c r="U557" s="357"/>
      <c r="V557" s="358"/>
      <c r="W557" s="144"/>
    </row>
    <row r="558" spans="1:23" ht="15" hidden="1" customHeight="1" outlineLevel="1" thickBot="1">
      <c r="A558" s="353"/>
      <c r="B558" s="359">
        <f t="shared" si="332"/>
        <v>27.080000000000013</v>
      </c>
      <c r="C558" s="360" t="s">
        <v>820</v>
      </c>
      <c r="D558" s="360" t="s">
        <v>782</v>
      </c>
      <c r="E558" s="360" t="s">
        <v>821</v>
      </c>
      <c r="F558" s="347" t="str">
        <f t="shared" si="336"/>
        <v>240V 1Ø</v>
      </c>
      <c r="G558" s="361" t="str" cm="1">
        <f t="array" ref="G558">_xlfn.SWITCH(I558,"13mm",(IF(H558="Rectangular",VLOOKUP(I558,[1]MATERIALES!$C$124:$D$125,2,FALSE),IF(H558="Octagonal",VLOOKUP(I558,[1]MATERIALES!$C$126:$D$127,2,FALSE),IF(H558="WP",VLOOKUP(I558,[1]MATERIALES!$C$128:$D$129,2,FALSE),IF(H558="5x5",VLOOKUP(I558,[1]MATERIALES!$C$130:$D$132,2,FALSE)))))),"19mm",(IF(H558="Rectangular",VLOOKUP(I558,[1]MATERIALES!$C$124:$D$125,2,FALSE),IF(H558="Octagonal",VLOOKUP(I558,[1]MATERIALES!$C$126:$D$127,2,FALSE),IF(H558="WP",VLOOKUP(I558,[1]MATERIALES!$C$128:$D$129,2,FALSE),IF(H558="5x5",VLOOKUP(I558,[1]MATERIALES!$C$130:$D$132,2,FALSE)))))),"25mm",IF(H558="Rectangular","-",IF(H558="Octagonal","--",IF(H558="WP","---",IF(H558="5x5",VLOOKUP(I558,[1]MATERIALES!$C$130:$D$132,2,FALSE),0)))),"38mm","-","50mm","-","75mm","-","100mm","-")</f>
        <v>Caja EMT 2x4 3/4" USA UL</v>
      </c>
      <c r="H558" s="369" t="s">
        <v>188</v>
      </c>
      <c r="I558" s="366" t="str">
        <f>I553</f>
        <v>19mm</v>
      </c>
      <c r="J558" s="316"/>
      <c r="K558" s="345" t="str">
        <f t="shared" si="337"/>
        <v>Unid.</v>
      </c>
      <c r="L558" s="28">
        <f>L565</f>
        <v>0</v>
      </c>
      <c r="M558" s="248" t="str">
        <f>IFERROR(VLOOKUP(G558,[1]MATERIALES!$D$5:$I$1368,2,FALSE),0)</f>
        <v xml:space="preserve">Suplidores electricos </v>
      </c>
      <c r="N558" s="367" t="e">
        <f t="shared" si="333"/>
        <v>#VALUE!</v>
      </c>
      <c r="O558" s="140" t="e">
        <f t="shared" si="338"/>
        <v>#VALUE!</v>
      </c>
      <c r="P558" s="367" t="e">
        <f t="shared" si="339"/>
        <v>#VALUE!</v>
      </c>
      <c r="Q558" s="140" t="e">
        <f t="shared" si="334"/>
        <v>#VALUE!</v>
      </c>
      <c r="R558" s="368" t="e">
        <f t="shared" si="335"/>
        <v>#VALUE!</v>
      </c>
      <c r="S558" s="140">
        <f t="shared" si="340"/>
        <v>0</v>
      </c>
      <c r="T558" s="139">
        <f t="shared" si="341"/>
        <v>0</v>
      </c>
      <c r="U558" s="357"/>
      <c r="V558" s="358"/>
      <c r="W558" s="144"/>
    </row>
    <row r="559" spans="1:23" ht="15" hidden="1" customHeight="1" outlineLevel="1" thickBot="1">
      <c r="A559" s="353"/>
      <c r="B559" s="359">
        <f t="shared" si="332"/>
        <v>27.090000000000014</v>
      </c>
      <c r="C559" s="360" t="s">
        <v>820</v>
      </c>
      <c r="D559" s="360" t="s">
        <v>782</v>
      </c>
      <c r="E559" s="360" t="s">
        <v>821</v>
      </c>
      <c r="F559" s="347" t="str">
        <f t="shared" si="336"/>
        <v>240V 1Ø</v>
      </c>
      <c r="G559" s="370" t="str">
        <f>IF(H559="Rectangular",[1]MATERIALES!$D$133,IF(H558="Octagonal",[1]MATERIALES!$D$134,IF(H558="WP",[1]MATERIALES!#REF!,IF(H558="5x5",[1]MATERIALES!$D$136,0))))</f>
        <v>CAJA REG. 12X12X4 N3R</v>
      </c>
      <c r="H559" s="369" t="str">
        <f>H558</f>
        <v>Rectangular</v>
      </c>
      <c r="I559" s="366" t="str">
        <f>I553</f>
        <v>19mm</v>
      </c>
      <c r="J559" s="316"/>
      <c r="K559" s="345" t="str">
        <f t="shared" si="337"/>
        <v>Unid.</v>
      </c>
      <c r="L559" s="28">
        <f>L558</f>
        <v>0</v>
      </c>
      <c r="M559" s="248" t="str">
        <f>IFERROR(VLOOKUP(G559,[1]MATERIALES!$D$5:$I$1368,2,FALSE),0)</f>
        <v xml:space="preserve">Suplidores electricos </v>
      </c>
      <c r="N559" s="367" t="e">
        <f t="shared" si="333"/>
        <v>#VALUE!</v>
      </c>
      <c r="O559" s="140" t="e">
        <f t="shared" si="338"/>
        <v>#VALUE!</v>
      </c>
      <c r="P559" s="367" t="e">
        <f t="shared" si="339"/>
        <v>#VALUE!</v>
      </c>
      <c r="Q559" s="140" t="e">
        <f t="shared" si="334"/>
        <v>#VALUE!</v>
      </c>
      <c r="R559" s="368" t="e">
        <f t="shared" si="335"/>
        <v>#VALUE!</v>
      </c>
      <c r="S559" s="140">
        <f t="shared" si="340"/>
        <v>0</v>
      </c>
      <c r="T559" s="139">
        <f t="shared" si="341"/>
        <v>0</v>
      </c>
      <c r="U559" s="357"/>
      <c r="V559" s="358"/>
      <c r="W559" s="144"/>
    </row>
    <row r="560" spans="1:23" ht="15" hidden="1" customHeight="1" outlineLevel="1" thickBot="1">
      <c r="A560" s="353"/>
      <c r="B560" s="359">
        <f t="shared" si="332"/>
        <v>27.100000000000016</v>
      </c>
      <c r="C560" s="360" t="s">
        <v>820</v>
      </c>
      <c r="D560" s="360" t="s">
        <v>782</v>
      </c>
      <c r="E560" s="360" t="s">
        <v>821</v>
      </c>
      <c r="F560" s="347" t="str">
        <f t="shared" si="336"/>
        <v>240V 1Ø</v>
      </c>
      <c r="G560" s="371" t="str">
        <f>"Fase A"&amp;": "&amp;I560</f>
        <v>Fase A: Conductor 10 AWG THHN</v>
      </c>
      <c r="H560" s="366" t="s">
        <v>181</v>
      </c>
      <c r="I560" s="366" t="s">
        <v>153</v>
      </c>
      <c r="J560" s="366">
        <f>J551</f>
        <v>15.42</v>
      </c>
      <c r="K560" s="345" t="str">
        <f>IF(OR(H560="Conductores Americanos",H560="Conductores Europeos"),"Pies","Unid.")</f>
        <v>Pies</v>
      </c>
      <c r="L560" s="28">
        <f>ROUNDUP(J560*3.28,0)</f>
        <v>51</v>
      </c>
      <c r="M560" s="140" t="str">
        <f>VLOOKUP(I560,[1]MATERIALES!$D$5:$I$1368,2,FALSE)</f>
        <v xml:space="preserve">Suplidores electricos </v>
      </c>
      <c r="N560" s="367" t="e">
        <f t="shared" si="333"/>
        <v>#VALUE!</v>
      </c>
      <c r="O560" s="140" t="e">
        <f t="shared" si="338"/>
        <v>#VALUE!</v>
      </c>
      <c r="P560" s="367" t="e">
        <f t="shared" si="339"/>
        <v>#VALUE!</v>
      </c>
      <c r="Q560" s="140" t="e">
        <f t="shared" si="334"/>
        <v>#VALUE!</v>
      </c>
      <c r="R560" s="368" t="e">
        <f t="shared" si="335"/>
        <v>#VALUE!</v>
      </c>
      <c r="S560" s="140">
        <f t="shared" si="340"/>
        <v>0</v>
      </c>
      <c r="T560" s="139">
        <f t="shared" si="341"/>
        <v>0</v>
      </c>
      <c r="U560" s="357"/>
      <c r="V560" s="358"/>
      <c r="W560" s="144"/>
    </row>
    <row r="561" spans="1:23" ht="15" hidden="1" customHeight="1" outlineLevel="1" thickBot="1">
      <c r="A561" s="353"/>
      <c r="B561" s="359">
        <f t="shared" si="332"/>
        <v>27.110000000000017</v>
      </c>
      <c r="C561" s="360" t="s">
        <v>820</v>
      </c>
      <c r="D561" s="360" t="s">
        <v>782</v>
      </c>
      <c r="E561" s="360" t="s">
        <v>821</v>
      </c>
      <c r="F561" s="347" t="str">
        <f t="shared" si="336"/>
        <v>240V 1Ø</v>
      </c>
      <c r="G561" s="371" t="str">
        <f>IF(F561="120V 1Ø","-",("Fase B"&amp;": "&amp;I561))</f>
        <v>Fase B: Conductor 10 AWG THHN</v>
      </c>
      <c r="H561" s="366" t="str">
        <f t="shared" ref="H561:I563" si="342">H560</f>
        <v>Conductores Americanos</v>
      </c>
      <c r="I561" s="366" t="str">
        <f t="shared" si="342"/>
        <v>Conductor 10 AWG THHN</v>
      </c>
      <c r="J561" s="366">
        <f>IF(G561="-",0,J551)</f>
        <v>15.42</v>
      </c>
      <c r="K561" s="345" t="str">
        <f t="shared" ref="K561:K567" si="343">IF(OR(H561="Conductores Americanos",H561="Conductores Europeos"),"Pies","Unid.")</f>
        <v>Pies</v>
      </c>
      <c r="L561" s="28">
        <f>ROUNDUP(J561*3.28,0)</f>
        <v>51</v>
      </c>
      <c r="M561" s="140" t="str">
        <f>VLOOKUP(I561,[1]MATERIALES!$D$5:$I$1368,2,FALSE)</f>
        <v xml:space="preserve">Suplidores electricos </v>
      </c>
      <c r="N561" s="367" t="e">
        <f t="shared" si="333"/>
        <v>#VALUE!</v>
      </c>
      <c r="O561" s="140" t="e">
        <f t="shared" si="338"/>
        <v>#VALUE!</v>
      </c>
      <c r="P561" s="367" t="e">
        <f t="shared" si="339"/>
        <v>#VALUE!</v>
      </c>
      <c r="Q561" s="140" t="e">
        <f t="shared" si="334"/>
        <v>#VALUE!</v>
      </c>
      <c r="R561" s="368" t="e">
        <f t="shared" si="335"/>
        <v>#VALUE!</v>
      </c>
      <c r="S561" s="140">
        <f t="shared" si="340"/>
        <v>0</v>
      </c>
      <c r="T561" s="139">
        <f t="shared" si="341"/>
        <v>0</v>
      </c>
      <c r="U561" s="357"/>
      <c r="V561" s="358"/>
      <c r="W561" s="144"/>
    </row>
    <row r="562" spans="1:23" ht="15" hidden="1" customHeight="1" outlineLevel="1" thickBot="1">
      <c r="A562" s="353"/>
      <c r="B562" s="359">
        <f t="shared" si="332"/>
        <v>27.120000000000019</v>
      </c>
      <c r="C562" s="360" t="s">
        <v>820</v>
      </c>
      <c r="D562" s="360" t="s">
        <v>782</v>
      </c>
      <c r="E562" s="360" t="s">
        <v>821</v>
      </c>
      <c r="F562" s="347" t="str">
        <f t="shared" si="336"/>
        <v>240V 1Ø</v>
      </c>
      <c r="G562" s="371" t="str">
        <f>IF(F562="120V 1Ø","-",IF(F562="240V 1Ø","-",("Fase C"&amp;": "&amp;I560)))</f>
        <v>-</v>
      </c>
      <c r="H562" s="366" t="str">
        <f t="shared" si="342"/>
        <v>Conductores Americanos</v>
      </c>
      <c r="I562" s="366" t="str">
        <f t="shared" si="342"/>
        <v>Conductor 10 AWG THHN</v>
      </c>
      <c r="J562" s="366">
        <f>IF(G562="-",0,J551)</f>
        <v>0</v>
      </c>
      <c r="K562" s="345" t="str">
        <f t="shared" si="343"/>
        <v>Pies</v>
      </c>
      <c r="L562" s="28">
        <f>ROUNDUP(J562*3.28,0)</f>
        <v>0</v>
      </c>
      <c r="M562" s="140" t="str">
        <f>VLOOKUP(I562,[1]MATERIALES!$D$5:$I$1368,2,FALSE)</f>
        <v xml:space="preserve">Suplidores electricos </v>
      </c>
      <c r="N562" s="367" t="e">
        <f t="shared" si="333"/>
        <v>#VALUE!</v>
      </c>
      <c r="O562" s="140" t="e">
        <f t="shared" si="338"/>
        <v>#VALUE!</v>
      </c>
      <c r="P562" s="367" t="e">
        <f t="shared" si="339"/>
        <v>#VALUE!</v>
      </c>
      <c r="Q562" s="140" t="e">
        <f t="shared" si="334"/>
        <v>#VALUE!</v>
      </c>
      <c r="R562" s="368" t="e">
        <f t="shared" si="335"/>
        <v>#VALUE!</v>
      </c>
      <c r="S562" s="140">
        <f t="shared" si="340"/>
        <v>0</v>
      </c>
      <c r="T562" s="139">
        <f t="shared" si="341"/>
        <v>0</v>
      </c>
      <c r="U562" s="357"/>
      <c r="V562" s="358"/>
      <c r="W562" s="144"/>
    </row>
    <row r="563" spans="1:23" ht="15" hidden="1" customHeight="1" outlineLevel="1" thickBot="1">
      <c r="A563" s="353"/>
      <c r="B563" s="359">
        <f t="shared" si="332"/>
        <v>27.13000000000002</v>
      </c>
      <c r="C563" s="360" t="s">
        <v>820</v>
      </c>
      <c r="D563" s="360" t="s">
        <v>782</v>
      </c>
      <c r="E563" s="360" t="s">
        <v>821</v>
      </c>
      <c r="F563" s="347" t="str">
        <f t="shared" si="336"/>
        <v>240V 1Ø</v>
      </c>
      <c r="G563" s="372" t="str">
        <f>IF(F563="240V 1Ø","-",IF(F563="480V 3Ø","-",("Neutro"&amp;": "&amp;I560)))</f>
        <v>-</v>
      </c>
      <c r="H563" s="366" t="str">
        <f t="shared" si="342"/>
        <v>Conductores Americanos</v>
      </c>
      <c r="I563" s="366" t="str">
        <f t="shared" si="342"/>
        <v>Conductor 10 AWG THHN</v>
      </c>
      <c r="J563" s="366">
        <f>IF(G563="-",0,J551)</f>
        <v>0</v>
      </c>
      <c r="K563" s="345" t="str">
        <f t="shared" si="343"/>
        <v>Pies</v>
      </c>
      <c r="L563" s="28">
        <f>ROUNDUP(J563*3.28,0)</f>
        <v>0</v>
      </c>
      <c r="M563" s="140" t="str">
        <f>VLOOKUP(I563,[1]MATERIALES!$D$5:$I$1368,2,FALSE)</f>
        <v xml:space="preserve">Suplidores electricos </v>
      </c>
      <c r="N563" s="367" t="e">
        <f t="shared" si="333"/>
        <v>#VALUE!</v>
      </c>
      <c r="O563" s="140" t="e">
        <f t="shared" si="338"/>
        <v>#VALUE!</v>
      </c>
      <c r="P563" s="367" t="e">
        <f t="shared" si="339"/>
        <v>#VALUE!</v>
      </c>
      <c r="Q563" s="140" t="e">
        <f t="shared" si="334"/>
        <v>#VALUE!</v>
      </c>
      <c r="R563" s="368" t="e">
        <f t="shared" si="335"/>
        <v>#VALUE!</v>
      </c>
      <c r="S563" s="140">
        <f t="shared" si="340"/>
        <v>0</v>
      </c>
      <c r="T563" s="139">
        <f t="shared" si="341"/>
        <v>0</v>
      </c>
      <c r="U563" s="357"/>
      <c r="V563" s="358"/>
      <c r="W563" s="144"/>
    </row>
    <row r="564" spans="1:23" ht="15" hidden="1" customHeight="1" outlineLevel="1" thickBot="1">
      <c r="A564" s="353"/>
      <c r="B564" s="359">
        <f t="shared" si="332"/>
        <v>27.140000000000022</v>
      </c>
      <c r="C564" s="360" t="s">
        <v>820</v>
      </c>
      <c r="D564" s="360" t="s">
        <v>782</v>
      </c>
      <c r="E564" s="360" t="s">
        <v>821</v>
      </c>
      <c r="F564" s="347" t="str">
        <f t="shared" si="336"/>
        <v>240V 1Ø</v>
      </c>
      <c r="G564" s="372" t="str">
        <f>"Tierra"&amp;": "&amp;I564</f>
        <v>Tierra: Conductor 10 AWG THHN</v>
      </c>
      <c r="H564" s="366" t="str">
        <f>H563</f>
        <v>Conductores Americanos</v>
      </c>
      <c r="I564" s="366" t="str">
        <f>I563</f>
        <v>Conductor 10 AWG THHN</v>
      </c>
      <c r="J564" s="366">
        <f>J551</f>
        <v>15.42</v>
      </c>
      <c r="K564" s="345" t="str">
        <f t="shared" si="343"/>
        <v>Pies</v>
      </c>
      <c r="L564" s="28">
        <f>ROUNDUP(J564*3.28,0)</f>
        <v>51</v>
      </c>
      <c r="M564" s="140" t="str">
        <f>VLOOKUP(I564,[1]MATERIALES!$D$5:$I$1368,2,FALSE)</f>
        <v xml:space="preserve">Suplidores electricos </v>
      </c>
      <c r="N564" s="367" t="e">
        <f t="shared" si="333"/>
        <v>#VALUE!</v>
      </c>
      <c r="O564" s="140" t="e">
        <f t="shared" si="338"/>
        <v>#VALUE!</v>
      </c>
      <c r="P564" s="367" t="e">
        <f t="shared" si="339"/>
        <v>#VALUE!</v>
      </c>
      <c r="Q564" s="140" t="e">
        <f t="shared" si="334"/>
        <v>#VALUE!</v>
      </c>
      <c r="R564" s="368" t="e">
        <f t="shared" si="335"/>
        <v>#VALUE!</v>
      </c>
      <c r="S564" s="140">
        <f t="shared" si="340"/>
        <v>0</v>
      </c>
      <c r="T564" s="139">
        <f t="shared" si="341"/>
        <v>0</v>
      </c>
      <c r="U564" s="357"/>
      <c r="V564" s="358"/>
      <c r="W564" s="144"/>
    </row>
    <row r="565" spans="1:23" ht="15" hidden="1" customHeight="1" outlineLevel="1" thickBot="1">
      <c r="A565" s="353"/>
      <c r="B565" s="359">
        <f t="shared" si="332"/>
        <v>27.150000000000023</v>
      </c>
      <c r="C565" s="360" t="s">
        <v>820</v>
      </c>
      <c r="D565" s="360" t="s">
        <v>782</v>
      </c>
      <c r="E565" s="360" t="s">
        <v>821</v>
      </c>
      <c r="F565" s="347" t="str">
        <f t="shared" si="336"/>
        <v>240V 1Ø</v>
      </c>
      <c r="G565" s="361" t="str" cm="1">
        <f t="array" ref="G565">IFERROR(VLOOKUP(H565&amp;"|"&amp;I565,CHOOSE({1,2},[1]MATERIALES!$B$168:$B$175&amp;"|"&amp;[1]MATERIALES!$C$168:$C$175,[1]MATERIALES!$D$168:$D$175),2,0),"-")</f>
        <v>Tomacorriente 15A Matix (AM5115D + 503SB/SA)</v>
      </c>
      <c r="H565" s="373" t="s">
        <v>382</v>
      </c>
      <c r="I565" s="373" t="s">
        <v>380</v>
      </c>
      <c r="J565" s="316"/>
      <c r="K565" s="345" t="str">
        <f t="shared" si="343"/>
        <v>Unid.</v>
      </c>
      <c r="L565" s="218">
        <v>0</v>
      </c>
      <c r="M565" s="248">
        <f>IFERROR(VLOOKUP(G565,[1]MATERIALES!$D$5:$I$1368,2,FALSE),0)</f>
        <v>0</v>
      </c>
      <c r="N565" s="367">
        <f t="shared" si="333"/>
        <v>0</v>
      </c>
      <c r="O565" s="140">
        <f t="shared" si="338"/>
        <v>0</v>
      </c>
      <c r="P565" s="367">
        <f t="shared" si="339"/>
        <v>0</v>
      </c>
      <c r="Q565" s="140">
        <f t="shared" si="334"/>
        <v>0</v>
      </c>
      <c r="R565" s="368">
        <f t="shared" si="335"/>
        <v>0</v>
      </c>
      <c r="S565" s="140">
        <f t="shared" si="340"/>
        <v>0</v>
      </c>
      <c r="T565" s="139">
        <f t="shared" si="341"/>
        <v>0</v>
      </c>
      <c r="U565" s="357"/>
      <c r="V565" s="358"/>
      <c r="W565" s="144"/>
    </row>
    <row r="566" spans="1:23" ht="15" hidden="1" customHeight="1" outlineLevel="1" thickBot="1">
      <c r="A566" s="353"/>
      <c r="B566" s="359">
        <f t="shared" si="332"/>
        <v>27.160000000000025</v>
      </c>
      <c r="C566" s="360" t="s">
        <v>820</v>
      </c>
      <c r="D566" s="360" t="s">
        <v>782</v>
      </c>
      <c r="E566" s="360" t="s">
        <v>821</v>
      </c>
      <c r="F566" s="347" t="str">
        <f t="shared" si="336"/>
        <v>240V 1Ø</v>
      </c>
      <c r="G566" s="361" t="str" cm="1">
        <f t="array" ref="G566">IFERROR(VLOOKUP(H566&amp;"|"&amp;I566,CHOOSE({1,2},[1]MATERIALES!$B$176:$B$185&amp;"|"&amp;[1]MATERIALES!$C$176:$C$185,[1]MATERIALES!$D$176:$D$185),2,0),"-")</f>
        <v>Tapa para tomacorriente MATIX (AM503/3N)</v>
      </c>
      <c r="H566" s="366" t="str">
        <f>H565</f>
        <v>MATIX</v>
      </c>
      <c r="I566" s="373" t="s">
        <v>392</v>
      </c>
      <c r="J566" s="316"/>
      <c r="K566" s="345" t="str">
        <f t="shared" si="343"/>
        <v>Unid.</v>
      </c>
      <c r="L566" s="345">
        <f>L565</f>
        <v>0</v>
      </c>
      <c r="M566" s="248">
        <f>IFERROR(VLOOKUP(G566,[1]MATERIALES!$D$5:$I$1368,2,FALSE),0)</f>
        <v>0</v>
      </c>
      <c r="N566" s="367">
        <f t="shared" si="333"/>
        <v>0</v>
      </c>
      <c r="O566" s="140">
        <f t="shared" si="338"/>
        <v>0</v>
      </c>
      <c r="P566" s="367">
        <f t="shared" si="339"/>
        <v>0</v>
      </c>
      <c r="Q566" s="140">
        <f t="shared" si="334"/>
        <v>0</v>
      </c>
      <c r="R566" s="368">
        <f t="shared" si="335"/>
        <v>0</v>
      </c>
      <c r="S566" s="140">
        <f t="shared" si="340"/>
        <v>0</v>
      </c>
      <c r="T566" s="139">
        <f t="shared" si="341"/>
        <v>0</v>
      </c>
      <c r="U566" s="357"/>
      <c r="V566" s="358"/>
      <c r="W566" s="144"/>
    </row>
    <row r="567" spans="1:23" ht="15" hidden="1" customHeight="1" outlineLevel="1" thickBot="1">
      <c r="A567" s="353"/>
      <c r="B567" s="359">
        <f t="shared" si="332"/>
        <v>27.170000000000027</v>
      </c>
      <c r="C567" s="360" t="s">
        <v>820</v>
      </c>
      <c r="D567" s="360" t="s">
        <v>782</v>
      </c>
      <c r="E567" s="360" t="s">
        <v>821</v>
      </c>
      <c r="F567" s="347" t="str">
        <f t="shared" si="336"/>
        <v>240V 1Ø</v>
      </c>
      <c r="G567" s="371" t="s">
        <v>422</v>
      </c>
      <c r="H567" s="316"/>
      <c r="I567" s="316"/>
      <c r="J567" s="316"/>
      <c r="K567" s="345" t="str">
        <f t="shared" si="343"/>
        <v>Unid.</v>
      </c>
      <c r="L567" s="345">
        <f>3*(L556)</f>
        <v>3</v>
      </c>
      <c r="M567" s="248">
        <f>IFERROR(VLOOKUP(G567,[1]MATERIALES!$D$5:$I$1368,2,FALSE),0)</f>
        <v>0</v>
      </c>
      <c r="N567" s="367">
        <f t="shared" si="333"/>
        <v>0</v>
      </c>
      <c r="O567" s="140">
        <f t="shared" si="338"/>
        <v>0</v>
      </c>
      <c r="P567" s="367">
        <f t="shared" si="339"/>
        <v>0</v>
      </c>
      <c r="Q567" s="140">
        <f t="shared" si="334"/>
        <v>0</v>
      </c>
      <c r="R567" s="368">
        <f t="shared" si="335"/>
        <v>0</v>
      </c>
      <c r="S567" s="140">
        <f t="shared" si="340"/>
        <v>0</v>
      </c>
      <c r="T567" s="139">
        <f t="shared" si="341"/>
        <v>0</v>
      </c>
      <c r="U567" s="357" t="e">
        <f>SUM(R567:R569)</f>
        <v>#VALUE!</v>
      </c>
      <c r="V567" s="358" t="e">
        <f>'[1]1. OFERTA'!#REF!</f>
        <v>#REF!</v>
      </c>
      <c r="W567" s="144" t="e">
        <f>U567-V567</f>
        <v>#VALUE!</v>
      </c>
    </row>
    <row r="568" spans="1:23" ht="15" hidden="1" customHeight="1" outlineLevel="1" thickBot="1">
      <c r="A568" s="353"/>
      <c r="B568" s="359">
        <f t="shared" si="332"/>
        <v>27.180000000000028</v>
      </c>
      <c r="C568" s="360" t="s">
        <v>820</v>
      </c>
      <c r="D568" s="360" t="s">
        <v>782</v>
      </c>
      <c r="E568" s="360" t="s">
        <v>821</v>
      </c>
      <c r="F568" s="347" t="str">
        <f t="shared" si="336"/>
        <v>240V 1Ø</v>
      </c>
      <c r="G568" s="374" t="s">
        <v>424</v>
      </c>
      <c r="H568" s="316"/>
      <c r="I568" s="316"/>
      <c r="J568" s="316"/>
      <c r="K568" s="345" t="s">
        <v>784</v>
      </c>
      <c r="L568" s="28">
        <f>ROUNDUP(L555+L556+L558,0)</f>
        <v>17</v>
      </c>
      <c r="M568" s="248">
        <f>IFERROR(VLOOKUP(G568,[1]MATERIALES!$D$5:$I$1368,2,FALSE),0)</f>
        <v>0</v>
      </c>
      <c r="N568" s="367">
        <f t="shared" si="333"/>
        <v>0</v>
      </c>
      <c r="O568" s="140">
        <f t="shared" si="338"/>
        <v>0</v>
      </c>
      <c r="P568" s="367">
        <f t="shared" si="339"/>
        <v>0</v>
      </c>
      <c r="Q568" s="140">
        <f t="shared" si="334"/>
        <v>0</v>
      </c>
      <c r="R568" s="368">
        <f t="shared" si="335"/>
        <v>0</v>
      </c>
      <c r="S568" s="140">
        <f t="shared" si="340"/>
        <v>0</v>
      </c>
      <c r="T568" s="139">
        <f t="shared" si="341"/>
        <v>0</v>
      </c>
      <c r="U568" s="357"/>
      <c r="V568" s="358"/>
      <c r="W568" s="144"/>
    </row>
    <row r="569" spans="1:23" ht="15" hidden="1" customHeight="1" outlineLevel="1" thickBot="1">
      <c r="A569" s="353"/>
      <c r="B569" s="359">
        <f t="shared" si="332"/>
        <v>27.19000000000003</v>
      </c>
      <c r="C569" s="360" t="s">
        <v>820</v>
      </c>
      <c r="D569" s="360" t="s">
        <v>782</v>
      </c>
      <c r="E569" s="360" t="s">
        <v>821</v>
      </c>
      <c r="F569" s="347" t="str">
        <f t="shared" si="336"/>
        <v>240V 1Ø</v>
      </c>
      <c r="G569" s="374" t="s">
        <v>168</v>
      </c>
      <c r="H569" s="316"/>
      <c r="I569" s="316"/>
      <c r="J569" s="316"/>
      <c r="K569" s="345" t="s">
        <v>784</v>
      </c>
      <c r="L569" s="28">
        <f>L568</f>
        <v>17</v>
      </c>
      <c r="M569" s="248" t="str">
        <f>IFERROR(VLOOKUP(G569,[1]MATERIALES!$D$5:$I$1368,2,FALSE),0)</f>
        <v xml:space="preserve">Marba Dominicana </v>
      </c>
      <c r="N569" s="367" t="e">
        <f t="shared" si="333"/>
        <v>#VALUE!</v>
      </c>
      <c r="O569" s="140" t="e">
        <f t="shared" si="338"/>
        <v>#VALUE!</v>
      </c>
      <c r="P569" s="367" t="e">
        <f t="shared" si="339"/>
        <v>#VALUE!</v>
      </c>
      <c r="Q569" s="140" t="e">
        <f t="shared" si="334"/>
        <v>#VALUE!</v>
      </c>
      <c r="R569" s="368" t="e">
        <f t="shared" si="335"/>
        <v>#VALUE!</v>
      </c>
      <c r="S569" s="140">
        <f t="shared" si="340"/>
        <v>0</v>
      </c>
      <c r="T569" s="139">
        <f t="shared" si="341"/>
        <v>0</v>
      </c>
      <c r="U569" s="357"/>
      <c r="V569" s="358"/>
      <c r="W569" s="144"/>
    </row>
    <row r="570" spans="1:23" ht="15" customHeight="1" collapsed="1" thickBot="1">
      <c r="A570" s="353"/>
      <c r="B570" s="354">
        <v>28</v>
      </c>
      <c r="C570" s="355" t="s">
        <v>822</v>
      </c>
      <c r="D570" s="269" t="s">
        <v>782</v>
      </c>
      <c r="E570" s="269" t="s">
        <v>823</v>
      </c>
      <c r="F570" s="270" t="s">
        <v>809</v>
      </c>
      <c r="G570" s="271"/>
      <c r="H570" s="272"/>
      <c r="I570" s="272"/>
      <c r="J570" s="272"/>
      <c r="K570" s="268"/>
      <c r="L570" s="268"/>
      <c r="M570" s="273"/>
      <c r="N570" s="274"/>
      <c r="O570" s="273"/>
      <c r="P570" s="274"/>
      <c r="Q570" s="273"/>
      <c r="R570" s="275"/>
      <c r="S570" s="273"/>
      <c r="T570" s="276"/>
      <c r="U570" s="357" t="e">
        <f>SUM(R571:R589)</f>
        <v>#VALUE!</v>
      </c>
      <c r="V570" s="358" t="e">
        <f>'[1]1. OFERTA'!#REF!</f>
        <v>#REF!</v>
      </c>
      <c r="W570" s="144" t="e">
        <f>U570-V570</f>
        <v>#VALUE!</v>
      </c>
    </row>
    <row r="571" spans="1:23" ht="15" hidden="1" customHeight="1" outlineLevel="1" thickBot="1">
      <c r="A571" s="353"/>
      <c r="B571" s="359">
        <f t="shared" si="332"/>
        <v>28.01</v>
      </c>
      <c r="C571" s="360" t="s">
        <v>822</v>
      </c>
      <c r="D571" s="360" t="s">
        <v>782</v>
      </c>
      <c r="E571" s="360" t="s">
        <v>823</v>
      </c>
      <c r="F571" s="347" t="s">
        <v>809</v>
      </c>
      <c r="G571" s="361" t="str">
        <f>IF(H571="PVC",VLOOKUP(I571,[1]MATERIALES!$C$5:$D$11,2,FALSE),IF(H571="EMT",VLOOKUP(I571,[1]MATERIALES!$C$40:$D$46,2,FALSE),IF(H571="IMC",VLOOKUP(I571,[1]MATERIALES!$C$82:$D$88,2,FALSE),IF(H571="LFNC",VLOOKUP(I571,[1]MATERIALES!$C$110:$D$116,2,FALSE),0))))</f>
        <v>Tubería PVC SDR-26 3/4"</v>
      </c>
      <c r="H571" s="362" t="s">
        <v>184</v>
      </c>
      <c r="I571" s="362" t="s">
        <v>212</v>
      </c>
      <c r="J571" s="362">
        <v>17.16</v>
      </c>
      <c r="K571" s="134" t="str">
        <f>IF(OR(H571="Conductores Americanos",H571="Conductores Europeos"),"Pies","Unid.")</f>
        <v>Unid.</v>
      </c>
      <c r="L571" s="363">
        <f>IF(H571="PVC",ROUNDUP(J571/6,0),IF(H571="EMT",ROUNDUP(J571/3,0),IF(H571="IMC",ROUNDUP(J571/3,0),IF(H571="LFNC",ROUNDUP(3.28*J571,0),0))))</f>
        <v>3</v>
      </c>
      <c r="M571" s="248" t="str">
        <f>IFERROR(VLOOKUP(G571,[1]MATERIALES!$D$5:$I$1368,2,FALSE),0)</f>
        <v xml:space="preserve">Suplidores electricos </v>
      </c>
      <c r="N571" s="364" t="e">
        <f t="shared" ref="N571:N589" si="344">M571/$N$2</f>
        <v>#VALUE!</v>
      </c>
      <c r="O571" s="248" t="e">
        <f>+L571*M571</f>
        <v>#VALUE!</v>
      </c>
      <c r="P571" s="364" t="e">
        <f>L571*N571</f>
        <v>#VALUE!</v>
      </c>
      <c r="Q571" s="248" t="e">
        <f t="shared" ref="Q571:Q589" si="345">+$O571+($O571*$R$2)</f>
        <v>#VALUE!</v>
      </c>
      <c r="R571" s="365" t="e">
        <f t="shared" ref="R571:R589" si="346">+$P571+($P571*$R$2)</f>
        <v>#VALUE!</v>
      </c>
      <c r="S571" s="248">
        <f>+IFERROR(Q571/L571,0)</f>
        <v>0</v>
      </c>
      <c r="T571" s="146">
        <f>+IFERROR(R571/L571,0)</f>
        <v>0</v>
      </c>
      <c r="U571" s="357"/>
      <c r="V571" s="358"/>
      <c r="W571" s="144"/>
    </row>
    <row r="572" spans="1:23" ht="15" hidden="1" customHeight="1" outlineLevel="1" thickBot="1">
      <c r="A572" s="353"/>
      <c r="B572" s="359">
        <f t="shared" si="332"/>
        <v>28.020000000000003</v>
      </c>
      <c r="C572" s="360" t="s">
        <v>822</v>
      </c>
      <c r="D572" s="360" t="s">
        <v>782</v>
      </c>
      <c r="E572" s="360" t="s">
        <v>823</v>
      </c>
      <c r="F572" s="347" t="str">
        <f t="shared" ref="F572:F589" si="347">F571</f>
        <v>240V 1Ø</v>
      </c>
      <c r="G572" s="361" t="str">
        <f>IF(H572="PVC",VLOOKUP(I572,[1]MATERIALES!$C$12:$D$18,2,FALSE),IF(H572="EMT",VLOOKUP(I572,[1]MATERIALES!$C$47:$D$53,2,FALSE),IF(H572="IMC",VLOOKUP(I572,[1]MATERIALES!$C$89:$D$96,2,FALSE),"-")))</f>
        <v>Coupling PVC 3/4"</v>
      </c>
      <c r="H572" s="366" t="str">
        <f>H571</f>
        <v>PVC</v>
      </c>
      <c r="I572" s="366" t="str">
        <f>I571</f>
        <v>19mm</v>
      </c>
      <c r="J572" s="316"/>
      <c r="K572" s="345" t="str">
        <f t="shared" ref="K572:K579" si="348">IF(OR(H572="Conductores Americanos",H572="Conductores Europeos"),"Pies","Unid.")</f>
        <v>Unid.</v>
      </c>
      <c r="L572" s="28">
        <f>IF(H572="LFNC",0,L571)</f>
        <v>3</v>
      </c>
      <c r="M572" s="140" t="str">
        <f>IF(H572="LFNC",0,VLOOKUP(G572,[1]MATERIALES!$D$5:$I$1368,2,FALSE))</f>
        <v xml:space="preserve">Suplidores electricos </v>
      </c>
      <c r="N572" s="367" t="e">
        <f t="shared" si="344"/>
        <v>#VALUE!</v>
      </c>
      <c r="O572" s="140" t="e">
        <f t="shared" ref="O572:O589" si="349">+L572*M572</f>
        <v>#VALUE!</v>
      </c>
      <c r="P572" s="367" t="e">
        <f t="shared" ref="P572:P589" si="350">L572*N572</f>
        <v>#VALUE!</v>
      </c>
      <c r="Q572" s="140" t="e">
        <f t="shared" si="345"/>
        <v>#VALUE!</v>
      </c>
      <c r="R572" s="368" t="e">
        <f t="shared" si="346"/>
        <v>#VALUE!</v>
      </c>
      <c r="S572" s="140">
        <f t="shared" ref="S572:S589" si="351">+IFERROR(Q572/L572,0)</f>
        <v>0</v>
      </c>
      <c r="T572" s="139">
        <f t="shared" ref="T572:T589" si="352">+IFERROR(R572/L572,0)</f>
        <v>0</v>
      </c>
      <c r="U572" s="357"/>
      <c r="V572" s="358"/>
      <c r="W572" s="144"/>
    </row>
    <row r="573" spans="1:23" ht="15" hidden="1" customHeight="1" outlineLevel="1" thickBot="1">
      <c r="A573" s="353"/>
      <c r="B573" s="359">
        <f t="shared" si="332"/>
        <v>28.030000000000005</v>
      </c>
      <c r="C573" s="360" t="s">
        <v>822</v>
      </c>
      <c r="D573" s="360" t="s">
        <v>782</v>
      </c>
      <c r="E573" s="360" t="s">
        <v>823</v>
      </c>
      <c r="F573" s="347" t="str">
        <f t="shared" si="347"/>
        <v>240V 1Ø</v>
      </c>
      <c r="G573" s="361" t="str">
        <f>IF(H573="PVC",VLOOKUP(I573,[1]MATERIALES!$C$19:$D$25,2,FALSE),IF(H573="EMT",VLOOKUP(I573,[1]MATERIALES!$C$54:$D$60,2,FALSE),IF(H573="IMC",VLOOKUP(I573,[1]MATERIALES!$C$96:$D$102,2,FALSE),IF(H573="LFNC",VLOOKUP(I573,[1]MATERIALES!$C$117:$D$123,2,FALSE),0))))</f>
        <v>Adaptador Macho PVC 3/4"</v>
      </c>
      <c r="H573" s="366" t="str">
        <f>H571</f>
        <v>PVC</v>
      </c>
      <c r="I573" s="366" t="str">
        <f>I571</f>
        <v>19mm</v>
      </c>
      <c r="J573" s="316"/>
      <c r="K573" s="345" t="str">
        <f t="shared" si="348"/>
        <v>Unid.</v>
      </c>
      <c r="L573" s="28">
        <f>1+L576*2+L578</f>
        <v>3</v>
      </c>
      <c r="M573" s="248" t="str">
        <f>IFERROR(VLOOKUP(G573,[1]MATERIALES!$D$5:$I$1368,2,FALSE),0)</f>
        <v xml:space="preserve">Suplidores electricos </v>
      </c>
      <c r="N573" s="367" t="e">
        <f t="shared" si="344"/>
        <v>#VALUE!</v>
      </c>
      <c r="O573" s="140" t="e">
        <f t="shared" si="349"/>
        <v>#VALUE!</v>
      </c>
      <c r="P573" s="367" t="e">
        <f t="shared" si="350"/>
        <v>#VALUE!</v>
      </c>
      <c r="Q573" s="140" t="e">
        <f t="shared" si="345"/>
        <v>#VALUE!</v>
      </c>
      <c r="R573" s="368" t="e">
        <f t="shared" si="346"/>
        <v>#VALUE!</v>
      </c>
      <c r="S573" s="140">
        <f t="shared" si="351"/>
        <v>0</v>
      </c>
      <c r="T573" s="139">
        <f t="shared" si="352"/>
        <v>0</v>
      </c>
      <c r="U573" s="357"/>
      <c r="V573" s="358"/>
      <c r="W573" s="144"/>
    </row>
    <row r="574" spans="1:23" ht="15" hidden="1" customHeight="1" outlineLevel="1" thickBot="1">
      <c r="A574" s="353"/>
      <c r="B574" s="359">
        <f t="shared" si="332"/>
        <v>28.040000000000006</v>
      </c>
      <c r="C574" s="360" t="s">
        <v>822</v>
      </c>
      <c r="D574" s="360" t="s">
        <v>782</v>
      </c>
      <c r="E574" s="360" t="s">
        <v>823</v>
      </c>
      <c r="F574" s="347" t="str">
        <f t="shared" si="347"/>
        <v>240V 1Ø</v>
      </c>
      <c r="G574" s="361" t="str">
        <f>IF(H574="PVC",VLOOKUP(I574,[1]MATERIALES!$C$33:$D$39,2,FALSE),IF(H574="EMT",VLOOKUP(I574,[1]MATERIALES!$C$61:$D$67,2,FALSE),IF(H574="IMC",VLOOKUP(I574,[1]MATERIALES!$C$103:$D$109,2,FALSE),"-")))</f>
        <v>Curva 90 PVC SDR 3/4"</v>
      </c>
      <c r="H574" s="366" t="str">
        <f>H571</f>
        <v>PVC</v>
      </c>
      <c r="I574" s="366" t="str">
        <f>I571</f>
        <v>19mm</v>
      </c>
      <c r="J574" s="316"/>
      <c r="K574" s="345" t="str">
        <f t="shared" si="348"/>
        <v>Unid.</v>
      </c>
      <c r="L574" s="28">
        <f>IF(H574="LFNC",0,(1+L585))</f>
        <v>1</v>
      </c>
      <c r="M574" s="140" t="str">
        <f>IF(H574="LFNC",0,VLOOKUP(G574,[1]MATERIALES!$D$5:$I$1368,2,FALSE))</f>
        <v xml:space="preserve">Suplidores electricos </v>
      </c>
      <c r="N574" s="367" t="e">
        <f t="shared" si="344"/>
        <v>#VALUE!</v>
      </c>
      <c r="O574" s="140" t="e">
        <f t="shared" si="349"/>
        <v>#VALUE!</v>
      </c>
      <c r="P574" s="367" t="e">
        <f t="shared" si="350"/>
        <v>#VALUE!</v>
      </c>
      <c r="Q574" s="140" t="e">
        <f t="shared" si="345"/>
        <v>#VALUE!</v>
      </c>
      <c r="R574" s="368" t="e">
        <f t="shared" si="346"/>
        <v>#VALUE!</v>
      </c>
      <c r="S574" s="140">
        <f t="shared" si="351"/>
        <v>0</v>
      </c>
      <c r="T574" s="139">
        <f t="shared" si="352"/>
        <v>0</v>
      </c>
      <c r="U574" s="357"/>
      <c r="V574" s="358"/>
      <c r="W574" s="144"/>
    </row>
    <row r="575" spans="1:23" ht="15" hidden="1" customHeight="1" outlineLevel="1" thickBot="1">
      <c r="A575" s="353"/>
      <c r="B575" s="359">
        <f t="shared" si="332"/>
        <v>28.050000000000008</v>
      </c>
      <c r="C575" s="360" t="s">
        <v>822</v>
      </c>
      <c r="D575" s="360" t="s">
        <v>782</v>
      </c>
      <c r="E575" s="360" t="s">
        <v>823</v>
      </c>
      <c r="F575" s="347" t="str">
        <f t="shared" si="347"/>
        <v>240V 1Ø</v>
      </c>
      <c r="G575" s="361" t="str">
        <f>VLOOKUP(I575,[1]MATERIALES!$C$68:$D$74,2,FALSE)</f>
        <v>Abrazadera EMT 3/4'' </v>
      </c>
      <c r="H575" s="316"/>
      <c r="I575" s="366" t="str">
        <f>I571</f>
        <v>19mm</v>
      </c>
      <c r="J575" s="316"/>
      <c r="K575" s="345" t="str">
        <f t="shared" si="348"/>
        <v>Unid.</v>
      </c>
      <c r="L575" s="28">
        <f>ROUNDUP(J571,0)</f>
        <v>18</v>
      </c>
      <c r="M575" s="248" t="str">
        <f>IFERROR(VLOOKUP(G575,[1]MATERIALES!$D$5:$I$1368,2,FALSE),0)</f>
        <v xml:space="preserve">Suplidores electricos </v>
      </c>
      <c r="N575" s="367" t="e">
        <f t="shared" si="344"/>
        <v>#VALUE!</v>
      </c>
      <c r="O575" s="140" t="e">
        <f t="shared" si="349"/>
        <v>#VALUE!</v>
      </c>
      <c r="P575" s="367" t="e">
        <f t="shared" si="350"/>
        <v>#VALUE!</v>
      </c>
      <c r="Q575" s="140" t="e">
        <f t="shared" si="345"/>
        <v>#VALUE!</v>
      </c>
      <c r="R575" s="368" t="e">
        <f t="shared" si="346"/>
        <v>#VALUE!</v>
      </c>
      <c r="S575" s="140">
        <f t="shared" si="351"/>
        <v>0</v>
      </c>
      <c r="T575" s="139">
        <f t="shared" si="352"/>
        <v>0</v>
      </c>
      <c r="U575" s="357"/>
      <c r="V575" s="358"/>
      <c r="W575" s="144"/>
    </row>
    <row r="576" spans="1:23" ht="15" hidden="1" customHeight="1" outlineLevel="1" thickBot="1">
      <c r="A576" s="353"/>
      <c r="B576" s="359">
        <f t="shared" si="332"/>
        <v>28.060000000000009</v>
      </c>
      <c r="C576" s="360" t="s">
        <v>822</v>
      </c>
      <c r="D576" s="360" t="s">
        <v>782</v>
      </c>
      <c r="E576" s="360" t="s">
        <v>823</v>
      </c>
      <c r="F576" s="347" t="str">
        <f t="shared" si="347"/>
        <v>240V 1Ø</v>
      </c>
      <c r="G576" s="361" t="str" cm="1">
        <f t="array" ref="G576">_xlfn.SWITCH(I576,"13mm",(IF(H576="Rectangular",VLOOKUP(I576,[1]MATERIALES!$C$124:$D$125,2,FALSE),IF(H576="Octagonal",VLOOKUP(I576,[1]MATERIALES!$C$126:$D$127,2,FALSE),IF(H576="WP",VLOOKUP(I576,[1]MATERIALES!$C$128:$D$129,2,FALSE),IF(H576="5x5",VLOOKUP(I576,[1]MATERIALES!$C$130:$D$132,2,FALSE)))))),"19mm",(IF(H576="Rectangular",VLOOKUP(I576,[1]MATERIALES!$C$124:$D$125,2,FALSE),IF(H576="Octagonal",VLOOKUP(I576,[1]MATERIALES!$C$126:$D$127,2,FALSE),IF(H576="WP",VLOOKUP(I576,[1]MATERIALES!$C$128:$D$129,2,FALSE),IF(H576="5x5",VLOOKUP(I576,[1]MATERIALES!$C$130:$D$132,2,FALSE)))))),"25mm",IF(H576="Rectangular","-",IF(H576="Octagonal","--",IF(H576="WP","---",IF(H576="5x5",VLOOKUP(I576,[1]MATERIALES!$C$130:$D$132,2,FALSE),0)))),"38mm","-","50mm","-","75mm","-","100mm","-")</f>
        <v>Caja EMT 2x4 3/4" USA UL</v>
      </c>
      <c r="H576" s="369" t="s">
        <v>188</v>
      </c>
      <c r="I576" s="366" t="str">
        <f>I571</f>
        <v>19mm</v>
      </c>
      <c r="J576" s="316"/>
      <c r="K576" s="345" t="str">
        <f t="shared" si="348"/>
        <v>Unid.</v>
      </c>
      <c r="L576" s="28">
        <f>1+L585</f>
        <v>1</v>
      </c>
      <c r="M576" s="248" t="str">
        <f>IFERROR(VLOOKUP(G576,[1]MATERIALES!$D$5:$I$1368,2,FALSE),0)</f>
        <v xml:space="preserve">Suplidores electricos </v>
      </c>
      <c r="N576" s="367" t="e">
        <f t="shared" si="344"/>
        <v>#VALUE!</v>
      </c>
      <c r="O576" s="140" t="e">
        <f t="shared" si="349"/>
        <v>#VALUE!</v>
      </c>
      <c r="P576" s="367" t="e">
        <f t="shared" si="350"/>
        <v>#VALUE!</v>
      </c>
      <c r="Q576" s="140" t="e">
        <f t="shared" si="345"/>
        <v>#VALUE!</v>
      </c>
      <c r="R576" s="368" t="e">
        <f t="shared" si="346"/>
        <v>#VALUE!</v>
      </c>
      <c r="S576" s="140">
        <f t="shared" si="351"/>
        <v>0</v>
      </c>
      <c r="T576" s="139">
        <f t="shared" si="352"/>
        <v>0</v>
      </c>
      <c r="U576" s="357"/>
      <c r="V576" s="358"/>
      <c r="W576" s="144"/>
    </row>
    <row r="577" spans="1:23" ht="15" hidden="1" customHeight="1" outlineLevel="1" thickBot="1">
      <c r="A577" s="353"/>
      <c r="B577" s="359">
        <f t="shared" si="332"/>
        <v>28.070000000000011</v>
      </c>
      <c r="C577" s="360" t="s">
        <v>822</v>
      </c>
      <c r="D577" s="360" t="s">
        <v>782</v>
      </c>
      <c r="E577" s="360" t="s">
        <v>823</v>
      </c>
      <c r="F577" s="347" t="str">
        <f t="shared" si="347"/>
        <v>240V 1Ø</v>
      </c>
      <c r="G577" s="370" t="str">
        <f>IF(H577="Rectangular",[1]MATERIALES!$D$133,IF(H576="Octagonal",[1]MATERIALES!$D$134,IF(H576="WP",[1]MATERIALES!$D$135,IF(H576="5x5",[1]MATERIALES!$D$136,0))))</f>
        <v>CAJA REG. 12X12X4 N3R</v>
      </c>
      <c r="H577" s="369" t="str">
        <f>H576</f>
        <v>Rectangular</v>
      </c>
      <c r="I577" s="366" t="str">
        <f>I571</f>
        <v>19mm</v>
      </c>
      <c r="J577" s="316"/>
      <c r="K577" s="345" t="str">
        <f t="shared" si="348"/>
        <v>Unid.</v>
      </c>
      <c r="L577" s="28">
        <f>L576</f>
        <v>1</v>
      </c>
      <c r="M577" s="248" t="str">
        <f>IFERROR(VLOOKUP(G577,[1]MATERIALES!$D$5:$I$1368,2,FALSE),0)</f>
        <v xml:space="preserve">Suplidores electricos </v>
      </c>
      <c r="N577" s="367" t="e">
        <f t="shared" si="344"/>
        <v>#VALUE!</v>
      </c>
      <c r="O577" s="140" t="e">
        <f t="shared" si="349"/>
        <v>#VALUE!</v>
      </c>
      <c r="P577" s="367" t="e">
        <f t="shared" si="350"/>
        <v>#VALUE!</v>
      </c>
      <c r="Q577" s="140" t="e">
        <f t="shared" si="345"/>
        <v>#VALUE!</v>
      </c>
      <c r="R577" s="368" t="e">
        <f t="shared" si="346"/>
        <v>#VALUE!</v>
      </c>
      <c r="S577" s="140">
        <f t="shared" si="351"/>
        <v>0</v>
      </c>
      <c r="T577" s="139">
        <f t="shared" si="352"/>
        <v>0</v>
      </c>
      <c r="U577" s="357"/>
      <c r="V577" s="358"/>
      <c r="W577" s="144"/>
    </row>
    <row r="578" spans="1:23" ht="15" hidden="1" customHeight="1" outlineLevel="1" thickBot="1">
      <c r="A578" s="353"/>
      <c r="B578" s="359">
        <f t="shared" si="332"/>
        <v>28.080000000000013</v>
      </c>
      <c r="C578" s="360" t="s">
        <v>822</v>
      </c>
      <c r="D578" s="360" t="s">
        <v>782</v>
      </c>
      <c r="E578" s="360" t="s">
        <v>823</v>
      </c>
      <c r="F578" s="347" t="str">
        <f t="shared" si="347"/>
        <v>240V 1Ø</v>
      </c>
      <c r="G578" s="361" t="str" cm="1">
        <f t="array" ref="G578">_xlfn.SWITCH(I578,"13mm",(IF(H578="Rectangular",VLOOKUP(I578,[1]MATERIALES!$C$124:$D$125,2,FALSE),IF(H578="Octagonal",VLOOKUP(I578,[1]MATERIALES!$C$126:$D$127,2,FALSE),IF(H578="WP",VLOOKUP(I578,[1]MATERIALES!$C$128:$D$129,2,FALSE),IF(H578="5x5",VLOOKUP(I578,[1]MATERIALES!$C$130:$D$132,2,FALSE)))))),"19mm",(IF(H578="Rectangular",VLOOKUP(I578,[1]MATERIALES!$C$124:$D$125,2,FALSE),IF(H578="Octagonal",VLOOKUP(I578,[1]MATERIALES!$C$126:$D$127,2,FALSE),IF(H578="WP",VLOOKUP(I578,[1]MATERIALES!$C$128:$D$129,2,FALSE),IF(H578="5x5",VLOOKUP(I578,[1]MATERIALES!$C$130:$D$132,2,FALSE)))))),"25mm",IF(H578="Rectangular","-",IF(H578="Octagonal","--",IF(H578="WP","---",IF(H578="5x5",VLOOKUP(I578,[1]MATERIALES!$C$130:$D$132,2,FALSE),0)))),"38mm","-","50mm","-","75mm","-","100mm","-")</f>
        <v>Caja EMT 2x4 3/4" USA UL</v>
      </c>
      <c r="H578" s="369" t="s">
        <v>188</v>
      </c>
      <c r="I578" s="366" t="str">
        <f>I573</f>
        <v>19mm</v>
      </c>
      <c r="J578" s="316"/>
      <c r="K578" s="345" t="str">
        <f t="shared" si="348"/>
        <v>Unid.</v>
      </c>
      <c r="L578" s="28">
        <f>L585</f>
        <v>0</v>
      </c>
      <c r="M578" s="248" t="str">
        <f>IFERROR(VLOOKUP(G578,[1]MATERIALES!$D$5:$I$1368,2,FALSE),0)</f>
        <v xml:space="preserve">Suplidores electricos </v>
      </c>
      <c r="N578" s="367" t="e">
        <f t="shared" si="344"/>
        <v>#VALUE!</v>
      </c>
      <c r="O578" s="140" t="e">
        <f t="shared" si="349"/>
        <v>#VALUE!</v>
      </c>
      <c r="P578" s="367" t="e">
        <f t="shared" si="350"/>
        <v>#VALUE!</v>
      </c>
      <c r="Q578" s="140" t="e">
        <f t="shared" si="345"/>
        <v>#VALUE!</v>
      </c>
      <c r="R578" s="368" t="e">
        <f t="shared" si="346"/>
        <v>#VALUE!</v>
      </c>
      <c r="S578" s="140">
        <f t="shared" si="351"/>
        <v>0</v>
      </c>
      <c r="T578" s="139">
        <f t="shared" si="352"/>
        <v>0</v>
      </c>
      <c r="U578" s="357"/>
      <c r="V578" s="358"/>
      <c r="W578" s="144"/>
    </row>
    <row r="579" spans="1:23" ht="15" hidden="1" customHeight="1" outlineLevel="1" thickBot="1">
      <c r="A579" s="353"/>
      <c r="B579" s="359">
        <f t="shared" si="332"/>
        <v>28.090000000000014</v>
      </c>
      <c r="C579" s="360" t="s">
        <v>822</v>
      </c>
      <c r="D579" s="360" t="s">
        <v>782</v>
      </c>
      <c r="E579" s="360" t="s">
        <v>823</v>
      </c>
      <c r="F579" s="347" t="str">
        <f t="shared" si="347"/>
        <v>240V 1Ø</v>
      </c>
      <c r="G579" s="370" t="str">
        <f>IF(H579="Rectangular",[1]MATERIALES!$D$133,IF(H578="Octagonal",[1]MATERIALES!$D$134,IF(H578="WP",[1]MATERIALES!#REF!,IF(H578="5x5",[1]MATERIALES!$D$136,0))))</f>
        <v>CAJA REG. 12X12X4 N3R</v>
      </c>
      <c r="H579" s="369" t="str">
        <f>H578</f>
        <v>Rectangular</v>
      </c>
      <c r="I579" s="366" t="str">
        <f>I573</f>
        <v>19mm</v>
      </c>
      <c r="J579" s="316"/>
      <c r="K579" s="345" t="str">
        <f t="shared" si="348"/>
        <v>Unid.</v>
      </c>
      <c r="L579" s="28">
        <f>L578</f>
        <v>0</v>
      </c>
      <c r="M579" s="248" t="str">
        <f>IFERROR(VLOOKUP(G579,[1]MATERIALES!$D$5:$I$1368,2,FALSE),0)</f>
        <v xml:space="preserve">Suplidores electricos </v>
      </c>
      <c r="N579" s="367" t="e">
        <f t="shared" si="344"/>
        <v>#VALUE!</v>
      </c>
      <c r="O579" s="140" t="e">
        <f t="shared" si="349"/>
        <v>#VALUE!</v>
      </c>
      <c r="P579" s="367" t="e">
        <f t="shared" si="350"/>
        <v>#VALUE!</v>
      </c>
      <c r="Q579" s="140" t="e">
        <f t="shared" si="345"/>
        <v>#VALUE!</v>
      </c>
      <c r="R579" s="368" t="e">
        <f t="shared" si="346"/>
        <v>#VALUE!</v>
      </c>
      <c r="S579" s="140">
        <f t="shared" si="351"/>
        <v>0</v>
      </c>
      <c r="T579" s="139">
        <f t="shared" si="352"/>
        <v>0</v>
      </c>
      <c r="U579" s="357"/>
      <c r="V579" s="358"/>
      <c r="W579" s="144"/>
    </row>
    <row r="580" spans="1:23" ht="15" hidden="1" customHeight="1" outlineLevel="1" thickBot="1">
      <c r="A580" s="353"/>
      <c r="B580" s="359">
        <f t="shared" si="332"/>
        <v>28.100000000000016</v>
      </c>
      <c r="C580" s="360" t="s">
        <v>822</v>
      </c>
      <c r="D580" s="360" t="s">
        <v>782</v>
      </c>
      <c r="E580" s="360" t="s">
        <v>823</v>
      </c>
      <c r="F580" s="347" t="str">
        <f t="shared" si="347"/>
        <v>240V 1Ø</v>
      </c>
      <c r="G580" s="371" t="str">
        <f>"Fase A"&amp;": "&amp;I580</f>
        <v>Fase A: Conductor 10 AWG THHN</v>
      </c>
      <c r="H580" s="366" t="s">
        <v>181</v>
      </c>
      <c r="I580" s="366" t="s">
        <v>153</v>
      </c>
      <c r="J580" s="366">
        <f>J571</f>
        <v>17.16</v>
      </c>
      <c r="K580" s="345" t="str">
        <f>IF(OR(H580="Conductores Americanos",H580="Conductores Europeos"),"Pies","Unid.")</f>
        <v>Pies</v>
      </c>
      <c r="L580" s="28">
        <f>ROUNDUP(J580*3.28,0)</f>
        <v>57</v>
      </c>
      <c r="M580" s="140" t="str">
        <f>VLOOKUP(I580,[1]MATERIALES!$D$5:$I$1368,2,FALSE)</f>
        <v xml:space="preserve">Suplidores electricos </v>
      </c>
      <c r="N580" s="367" t="e">
        <f t="shared" si="344"/>
        <v>#VALUE!</v>
      </c>
      <c r="O580" s="140" t="e">
        <f t="shared" si="349"/>
        <v>#VALUE!</v>
      </c>
      <c r="P580" s="367" t="e">
        <f t="shared" si="350"/>
        <v>#VALUE!</v>
      </c>
      <c r="Q580" s="140" t="e">
        <f t="shared" si="345"/>
        <v>#VALUE!</v>
      </c>
      <c r="R580" s="368" t="e">
        <f t="shared" si="346"/>
        <v>#VALUE!</v>
      </c>
      <c r="S580" s="140">
        <f t="shared" si="351"/>
        <v>0</v>
      </c>
      <c r="T580" s="139">
        <f t="shared" si="352"/>
        <v>0</v>
      </c>
      <c r="U580" s="357"/>
      <c r="V580" s="358"/>
      <c r="W580" s="144"/>
    </row>
    <row r="581" spans="1:23" ht="15" hidden="1" customHeight="1" outlineLevel="1" thickBot="1">
      <c r="A581" s="353"/>
      <c r="B581" s="359">
        <f t="shared" si="332"/>
        <v>28.110000000000017</v>
      </c>
      <c r="C581" s="360" t="s">
        <v>822</v>
      </c>
      <c r="D581" s="360" t="s">
        <v>782</v>
      </c>
      <c r="E581" s="360" t="s">
        <v>823</v>
      </c>
      <c r="F581" s="347" t="str">
        <f t="shared" si="347"/>
        <v>240V 1Ø</v>
      </c>
      <c r="G581" s="371" t="str">
        <f>IF(F581="120V 1Ø","-",("Fase B"&amp;": "&amp;I581))</f>
        <v>Fase B: Conductor 10 AWG THHN</v>
      </c>
      <c r="H581" s="366" t="str">
        <f t="shared" ref="H581:I583" si="353">H580</f>
        <v>Conductores Americanos</v>
      </c>
      <c r="I581" s="366" t="str">
        <f t="shared" si="353"/>
        <v>Conductor 10 AWG THHN</v>
      </c>
      <c r="J581" s="366">
        <f>IF(G581="-",0,J571)</f>
        <v>17.16</v>
      </c>
      <c r="K581" s="345" t="str">
        <f t="shared" ref="K581:K587" si="354">IF(OR(H581="Conductores Americanos",H581="Conductores Europeos"),"Pies","Unid.")</f>
        <v>Pies</v>
      </c>
      <c r="L581" s="28">
        <f>ROUNDUP(J581*3.28,0)</f>
        <v>57</v>
      </c>
      <c r="M581" s="140" t="str">
        <f>VLOOKUP(I581,[1]MATERIALES!$D$5:$I$1368,2,FALSE)</f>
        <v xml:space="preserve">Suplidores electricos </v>
      </c>
      <c r="N581" s="367" t="e">
        <f t="shared" si="344"/>
        <v>#VALUE!</v>
      </c>
      <c r="O581" s="140" t="e">
        <f t="shared" si="349"/>
        <v>#VALUE!</v>
      </c>
      <c r="P581" s="367" t="e">
        <f t="shared" si="350"/>
        <v>#VALUE!</v>
      </c>
      <c r="Q581" s="140" t="e">
        <f t="shared" si="345"/>
        <v>#VALUE!</v>
      </c>
      <c r="R581" s="368" t="e">
        <f t="shared" si="346"/>
        <v>#VALUE!</v>
      </c>
      <c r="S581" s="140">
        <f t="shared" si="351"/>
        <v>0</v>
      </c>
      <c r="T581" s="139">
        <f t="shared" si="352"/>
        <v>0</v>
      </c>
      <c r="U581" s="357"/>
      <c r="V581" s="358"/>
      <c r="W581" s="144"/>
    </row>
    <row r="582" spans="1:23" ht="15" hidden="1" customHeight="1" outlineLevel="1" thickBot="1">
      <c r="A582" s="353"/>
      <c r="B582" s="359">
        <f t="shared" si="332"/>
        <v>28.120000000000019</v>
      </c>
      <c r="C582" s="360" t="s">
        <v>822</v>
      </c>
      <c r="D582" s="360" t="s">
        <v>782</v>
      </c>
      <c r="E582" s="360" t="s">
        <v>823</v>
      </c>
      <c r="F582" s="347" t="str">
        <f t="shared" si="347"/>
        <v>240V 1Ø</v>
      </c>
      <c r="G582" s="371" t="str">
        <f>IF(F582="120V 1Ø","-",IF(F582="240V 1Ø","-",("Fase C"&amp;": "&amp;I580)))</f>
        <v>-</v>
      </c>
      <c r="H582" s="366" t="str">
        <f t="shared" si="353"/>
        <v>Conductores Americanos</v>
      </c>
      <c r="I582" s="366" t="str">
        <f t="shared" si="353"/>
        <v>Conductor 10 AWG THHN</v>
      </c>
      <c r="J582" s="366">
        <f>IF(G582="-",0,J571)</f>
        <v>0</v>
      </c>
      <c r="K582" s="345" t="str">
        <f t="shared" si="354"/>
        <v>Pies</v>
      </c>
      <c r="L582" s="28">
        <f>ROUNDUP(J582*3.28,0)</f>
        <v>0</v>
      </c>
      <c r="M582" s="140" t="str">
        <f>VLOOKUP(I582,[1]MATERIALES!$D$5:$I$1368,2,FALSE)</f>
        <v xml:space="preserve">Suplidores electricos </v>
      </c>
      <c r="N582" s="367" t="e">
        <f t="shared" si="344"/>
        <v>#VALUE!</v>
      </c>
      <c r="O582" s="140" t="e">
        <f t="shared" si="349"/>
        <v>#VALUE!</v>
      </c>
      <c r="P582" s="367" t="e">
        <f t="shared" si="350"/>
        <v>#VALUE!</v>
      </c>
      <c r="Q582" s="140" t="e">
        <f t="shared" si="345"/>
        <v>#VALUE!</v>
      </c>
      <c r="R582" s="368" t="e">
        <f t="shared" si="346"/>
        <v>#VALUE!</v>
      </c>
      <c r="S582" s="140">
        <f t="shared" si="351"/>
        <v>0</v>
      </c>
      <c r="T582" s="139">
        <f t="shared" si="352"/>
        <v>0</v>
      </c>
      <c r="U582" s="357"/>
      <c r="V582" s="358"/>
      <c r="W582" s="144"/>
    </row>
    <row r="583" spans="1:23" ht="15" hidden="1" customHeight="1" outlineLevel="1" thickBot="1">
      <c r="A583" s="353"/>
      <c r="B583" s="359">
        <f t="shared" si="332"/>
        <v>28.13000000000002</v>
      </c>
      <c r="C583" s="360" t="s">
        <v>822</v>
      </c>
      <c r="D583" s="360" t="s">
        <v>782</v>
      </c>
      <c r="E583" s="360" t="s">
        <v>823</v>
      </c>
      <c r="F583" s="347" t="str">
        <f t="shared" si="347"/>
        <v>240V 1Ø</v>
      </c>
      <c r="G583" s="372" t="str">
        <f>IF(F583="240V 1Ø","-",IF(F583="480V 3Ø","-",("Neutro"&amp;": "&amp;I580)))</f>
        <v>-</v>
      </c>
      <c r="H583" s="366" t="str">
        <f t="shared" si="353"/>
        <v>Conductores Americanos</v>
      </c>
      <c r="I583" s="366" t="str">
        <f t="shared" si="353"/>
        <v>Conductor 10 AWG THHN</v>
      </c>
      <c r="J583" s="366">
        <f>IF(G583="-",0,J571)</f>
        <v>0</v>
      </c>
      <c r="K583" s="345" t="str">
        <f t="shared" si="354"/>
        <v>Pies</v>
      </c>
      <c r="L583" s="28">
        <f>ROUNDUP(J583*3.28,0)</f>
        <v>0</v>
      </c>
      <c r="M583" s="140" t="str">
        <f>VLOOKUP(I583,[1]MATERIALES!$D$5:$I$1368,2,FALSE)</f>
        <v xml:space="preserve">Suplidores electricos </v>
      </c>
      <c r="N583" s="367" t="e">
        <f t="shared" si="344"/>
        <v>#VALUE!</v>
      </c>
      <c r="O583" s="140" t="e">
        <f t="shared" si="349"/>
        <v>#VALUE!</v>
      </c>
      <c r="P583" s="367" t="e">
        <f t="shared" si="350"/>
        <v>#VALUE!</v>
      </c>
      <c r="Q583" s="140" t="e">
        <f t="shared" si="345"/>
        <v>#VALUE!</v>
      </c>
      <c r="R583" s="368" t="e">
        <f t="shared" si="346"/>
        <v>#VALUE!</v>
      </c>
      <c r="S583" s="140">
        <f t="shared" si="351"/>
        <v>0</v>
      </c>
      <c r="T583" s="139">
        <f t="shared" si="352"/>
        <v>0</v>
      </c>
      <c r="U583" s="357"/>
      <c r="V583" s="358"/>
      <c r="W583" s="144"/>
    </row>
    <row r="584" spans="1:23" ht="15" hidden="1" customHeight="1" outlineLevel="1" thickBot="1">
      <c r="A584" s="353"/>
      <c r="B584" s="359">
        <f t="shared" si="332"/>
        <v>28.140000000000022</v>
      </c>
      <c r="C584" s="360" t="s">
        <v>822</v>
      </c>
      <c r="D584" s="360" t="s">
        <v>782</v>
      </c>
      <c r="E584" s="360" t="s">
        <v>823</v>
      </c>
      <c r="F584" s="347" t="str">
        <f t="shared" si="347"/>
        <v>240V 1Ø</v>
      </c>
      <c r="G584" s="372" t="str">
        <f>"Tierra"&amp;": "&amp;I584</f>
        <v>Tierra: Conductor 10 AWG THHN</v>
      </c>
      <c r="H584" s="366" t="str">
        <f>H583</f>
        <v>Conductores Americanos</v>
      </c>
      <c r="I584" s="366" t="str">
        <f>I583</f>
        <v>Conductor 10 AWG THHN</v>
      </c>
      <c r="J584" s="366">
        <f>J571</f>
        <v>17.16</v>
      </c>
      <c r="K584" s="345" t="str">
        <f t="shared" si="354"/>
        <v>Pies</v>
      </c>
      <c r="L584" s="28">
        <f>ROUNDUP(J584*3.28,0)</f>
        <v>57</v>
      </c>
      <c r="M584" s="140" t="str">
        <f>VLOOKUP(I584,[1]MATERIALES!$D$5:$I$1368,2,FALSE)</f>
        <v xml:space="preserve">Suplidores electricos </v>
      </c>
      <c r="N584" s="367" t="e">
        <f t="shared" si="344"/>
        <v>#VALUE!</v>
      </c>
      <c r="O584" s="140" t="e">
        <f t="shared" si="349"/>
        <v>#VALUE!</v>
      </c>
      <c r="P584" s="367" t="e">
        <f t="shared" si="350"/>
        <v>#VALUE!</v>
      </c>
      <c r="Q584" s="140" t="e">
        <f t="shared" si="345"/>
        <v>#VALUE!</v>
      </c>
      <c r="R584" s="368" t="e">
        <f t="shared" si="346"/>
        <v>#VALUE!</v>
      </c>
      <c r="S584" s="140">
        <f t="shared" si="351"/>
        <v>0</v>
      </c>
      <c r="T584" s="139">
        <f t="shared" si="352"/>
        <v>0</v>
      </c>
      <c r="U584" s="357"/>
      <c r="V584" s="358"/>
      <c r="W584" s="144"/>
    </row>
    <row r="585" spans="1:23" ht="15" hidden="1" customHeight="1" outlineLevel="1" thickBot="1">
      <c r="A585" s="353"/>
      <c r="B585" s="359">
        <f t="shared" si="332"/>
        <v>28.150000000000023</v>
      </c>
      <c r="C585" s="360" t="s">
        <v>822</v>
      </c>
      <c r="D585" s="360" t="s">
        <v>782</v>
      </c>
      <c r="E585" s="360" t="s">
        <v>823</v>
      </c>
      <c r="F585" s="347" t="str">
        <f t="shared" si="347"/>
        <v>240V 1Ø</v>
      </c>
      <c r="G585" s="361" t="str" cm="1">
        <f t="array" ref="G585">IFERROR(VLOOKUP(H585&amp;"|"&amp;I585,CHOOSE({1,2},[1]MATERIALES!$B$168:$B$175&amp;"|"&amp;[1]MATERIALES!$C$168:$C$175,[1]MATERIALES!$D$168:$D$175),2,0),"-")</f>
        <v>Tomacorriente 15A Matix (AM5115D + 503SB/SA)</v>
      </c>
      <c r="H585" s="373" t="s">
        <v>382</v>
      </c>
      <c r="I585" s="373" t="s">
        <v>380</v>
      </c>
      <c r="J585" s="316"/>
      <c r="K585" s="345" t="str">
        <f t="shared" si="354"/>
        <v>Unid.</v>
      </c>
      <c r="L585" s="218">
        <v>0</v>
      </c>
      <c r="M585" s="248">
        <f>IFERROR(VLOOKUP(G585,[1]MATERIALES!$D$5:$I$1368,2,FALSE),0)</f>
        <v>0</v>
      </c>
      <c r="N585" s="367">
        <f t="shared" si="344"/>
        <v>0</v>
      </c>
      <c r="O585" s="140">
        <f t="shared" si="349"/>
        <v>0</v>
      </c>
      <c r="P585" s="367">
        <f t="shared" si="350"/>
        <v>0</v>
      </c>
      <c r="Q585" s="140">
        <f t="shared" si="345"/>
        <v>0</v>
      </c>
      <c r="R585" s="368">
        <f t="shared" si="346"/>
        <v>0</v>
      </c>
      <c r="S585" s="140">
        <f t="shared" si="351"/>
        <v>0</v>
      </c>
      <c r="T585" s="139">
        <f t="shared" si="352"/>
        <v>0</v>
      </c>
      <c r="U585" s="357"/>
      <c r="V585" s="358"/>
      <c r="W585" s="144"/>
    </row>
    <row r="586" spans="1:23" ht="15" hidden="1" customHeight="1" outlineLevel="1" thickBot="1">
      <c r="A586" s="353"/>
      <c r="B586" s="359">
        <f t="shared" si="332"/>
        <v>28.160000000000025</v>
      </c>
      <c r="C586" s="360" t="s">
        <v>822</v>
      </c>
      <c r="D586" s="360" t="s">
        <v>782</v>
      </c>
      <c r="E586" s="360" t="s">
        <v>823</v>
      </c>
      <c r="F586" s="347" t="str">
        <f t="shared" si="347"/>
        <v>240V 1Ø</v>
      </c>
      <c r="G586" s="361" t="str" cm="1">
        <f t="array" ref="G586">IFERROR(VLOOKUP(H586&amp;"|"&amp;I586,CHOOSE({1,2},[1]MATERIALES!$B$176:$B$185&amp;"|"&amp;[1]MATERIALES!$C$176:$C$185,[1]MATERIALES!$D$176:$D$185),2,0),"-")</f>
        <v>Tapa para tomacorriente MATIX (AM503/3N)</v>
      </c>
      <c r="H586" s="366" t="str">
        <f>H585</f>
        <v>MATIX</v>
      </c>
      <c r="I586" s="373" t="s">
        <v>392</v>
      </c>
      <c r="J586" s="316"/>
      <c r="K586" s="345" t="str">
        <f t="shared" si="354"/>
        <v>Unid.</v>
      </c>
      <c r="L586" s="345">
        <f>L585</f>
        <v>0</v>
      </c>
      <c r="M586" s="248">
        <f>IFERROR(VLOOKUP(G586,[1]MATERIALES!$D$5:$I$1368,2,FALSE),0)</f>
        <v>0</v>
      </c>
      <c r="N586" s="367">
        <f t="shared" si="344"/>
        <v>0</v>
      </c>
      <c r="O586" s="140">
        <f t="shared" si="349"/>
        <v>0</v>
      </c>
      <c r="P586" s="367">
        <f t="shared" si="350"/>
        <v>0</v>
      </c>
      <c r="Q586" s="140">
        <f t="shared" si="345"/>
        <v>0</v>
      </c>
      <c r="R586" s="368">
        <f t="shared" si="346"/>
        <v>0</v>
      </c>
      <c r="S586" s="140">
        <f t="shared" si="351"/>
        <v>0</v>
      </c>
      <c r="T586" s="139">
        <f t="shared" si="352"/>
        <v>0</v>
      </c>
      <c r="U586" s="357"/>
      <c r="V586" s="358"/>
      <c r="W586" s="144"/>
    </row>
    <row r="587" spans="1:23" ht="15" hidden="1" customHeight="1" outlineLevel="1" thickBot="1">
      <c r="A587" s="353"/>
      <c r="B587" s="359">
        <f t="shared" si="332"/>
        <v>28.170000000000027</v>
      </c>
      <c r="C587" s="360" t="s">
        <v>822</v>
      </c>
      <c r="D587" s="360" t="s">
        <v>782</v>
      </c>
      <c r="E587" s="360" t="s">
        <v>823</v>
      </c>
      <c r="F587" s="347" t="str">
        <f t="shared" si="347"/>
        <v>240V 1Ø</v>
      </c>
      <c r="G587" s="371" t="s">
        <v>422</v>
      </c>
      <c r="H587" s="316"/>
      <c r="I587" s="316"/>
      <c r="J587" s="316"/>
      <c r="K587" s="345" t="str">
        <f t="shared" si="354"/>
        <v>Unid.</v>
      </c>
      <c r="L587" s="345">
        <f>3*(L576)</f>
        <v>3</v>
      </c>
      <c r="M587" s="248">
        <f>IFERROR(VLOOKUP(G587,[1]MATERIALES!$D$5:$I$1368,2,FALSE),0)</f>
        <v>0</v>
      </c>
      <c r="N587" s="367">
        <f t="shared" si="344"/>
        <v>0</v>
      </c>
      <c r="O587" s="140">
        <f t="shared" si="349"/>
        <v>0</v>
      </c>
      <c r="P587" s="367">
        <f t="shared" si="350"/>
        <v>0</v>
      </c>
      <c r="Q587" s="140">
        <f t="shared" si="345"/>
        <v>0</v>
      </c>
      <c r="R587" s="368">
        <f t="shared" si="346"/>
        <v>0</v>
      </c>
      <c r="S587" s="140">
        <f t="shared" si="351"/>
        <v>0</v>
      </c>
      <c r="T587" s="139">
        <f t="shared" si="352"/>
        <v>0</v>
      </c>
      <c r="U587" s="357" t="e">
        <f>SUM(R587:R589)</f>
        <v>#VALUE!</v>
      </c>
      <c r="V587" s="358" t="e">
        <f>'[1]1. OFERTA'!#REF!</f>
        <v>#REF!</v>
      </c>
      <c r="W587" s="144" t="e">
        <f>U587-V587</f>
        <v>#VALUE!</v>
      </c>
    </row>
    <row r="588" spans="1:23" ht="15" hidden="1" customHeight="1" outlineLevel="1" thickBot="1">
      <c r="A588" s="353"/>
      <c r="B588" s="359">
        <f t="shared" si="332"/>
        <v>28.180000000000028</v>
      </c>
      <c r="C588" s="360" t="s">
        <v>822</v>
      </c>
      <c r="D588" s="360" t="s">
        <v>782</v>
      </c>
      <c r="E588" s="360" t="s">
        <v>823</v>
      </c>
      <c r="F588" s="347" t="str">
        <f t="shared" si="347"/>
        <v>240V 1Ø</v>
      </c>
      <c r="G588" s="374" t="s">
        <v>424</v>
      </c>
      <c r="H588" s="316"/>
      <c r="I588" s="316"/>
      <c r="J588" s="316"/>
      <c r="K588" s="345" t="s">
        <v>784</v>
      </c>
      <c r="L588" s="28">
        <f>ROUNDUP(L575+L576+L578,0)</f>
        <v>19</v>
      </c>
      <c r="M588" s="248">
        <f>IFERROR(VLOOKUP(G588,[1]MATERIALES!$D$5:$I$1368,2,FALSE),0)</f>
        <v>0</v>
      </c>
      <c r="N588" s="367">
        <f t="shared" si="344"/>
        <v>0</v>
      </c>
      <c r="O588" s="140">
        <f t="shared" si="349"/>
        <v>0</v>
      </c>
      <c r="P588" s="367">
        <f t="shared" si="350"/>
        <v>0</v>
      </c>
      <c r="Q588" s="140">
        <f t="shared" si="345"/>
        <v>0</v>
      </c>
      <c r="R588" s="368">
        <f t="shared" si="346"/>
        <v>0</v>
      </c>
      <c r="S588" s="140">
        <f t="shared" si="351"/>
        <v>0</v>
      </c>
      <c r="T588" s="139">
        <f t="shared" si="352"/>
        <v>0</v>
      </c>
      <c r="U588" s="357"/>
      <c r="V588" s="358"/>
      <c r="W588" s="144"/>
    </row>
    <row r="589" spans="1:23" ht="15" hidden="1" customHeight="1" outlineLevel="1" thickBot="1">
      <c r="A589" s="353"/>
      <c r="B589" s="359">
        <f t="shared" si="332"/>
        <v>28.19000000000003</v>
      </c>
      <c r="C589" s="360" t="s">
        <v>822</v>
      </c>
      <c r="D589" s="360" t="s">
        <v>782</v>
      </c>
      <c r="E589" s="360" t="s">
        <v>823</v>
      </c>
      <c r="F589" s="347" t="str">
        <f t="shared" si="347"/>
        <v>240V 1Ø</v>
      </c>
      <c r="G589" s="374" t="s">
        <v>168</v>
      </c>
      <c r="H589" s="316"/>
      <c r="I589" s="316"/>
      <c r="J589" s="316"/>
      <c r="K589" s="345" t="s">
        <v>784</v>
      </c>
      <c r="L589" s="28">
        <f>L588</f>
        <v>19</v>
      </c>
      <c r="M589" s="248" t="str">
        <f>IFERROR(VLOOKUP(G589,[1]MATERIALES!$D$5:$I$1368,2,FALSE),0)</f>
        <v xml:space="preserve">Marba Dominicana </v>
      </c>
      <c r="N589" s="367" t="e">
        <f t="shared" si="344"/>
        <v>#VALUE!</v>
      </c>
      <c r="O589" s="140" t="e">
        <f t="shared" si="349"/>
        <v>#VALUE!</v>
      </c>
      <c r="P589" s="367" t="e">
        <f t="shared" si="350"/>
        <v>#VALUE!</v>
      </c>
      <c r="Q589" s="140" t="e">
        <f t="shared" si="345"/>
        <v>#VALUE!</v>
      </c>
      <c r="R589" s="368" t="e">
        <f t="shared" si="346"/>
        <v>#VALUE!</v>
      </c>
      <c r="S589" s="140">
        <f t="shared" si="351"/>
        <v>0</v>
      </c>
      <c r="T589" s="139">
        <f t="shared" si="352"/>
        <v>0</v>
      </c>
      <c r="U589" s="357"/>
      <c r="V589" s="358"/>
      <c r="W589" s="144"/>
    </row>
    <row r="590" spans="1:23" ht="15" customHeight="1" collapsed="1" thickBot="1">
      <c r="A590" s="353"/>
      <c r="B590" s="380">
        <v>29</v>
      </c>
      <c r="C590" s="381" t="s">
        <v>824</v>
      </c>
      <c r="D590" s="381" t="s">
        <v>1</v>
      </c>
      <c r="E590" s="381" t="s">
        <v>1</v>
      </c>
      <c r="F590" s="382" t="s">
        <v>783</v>
      </c>
      <c r="G590" s="383"/>
      <c r="H590" s="384"/>
      <c r="I590" s="384"/>
      <c r="J590" s="384"/>
      <c r="K590" s="385"/>
      <c r="L590" s="385"/>
      <c r="M590" s="386"/>
      <c r="N590" s="387"/>
      <c r="O590" s="386"/>
      <c r="P590" s="387"/>
      <c r="Q590" s="386"/>
      <c r="R590" s="388"/>
      <c r="S590" s="386"/>
      <c r="T590" s="389"/>
      <c r="U590" s="357" t="e">
        <f>SUM(R591:R607)</f>
        <v>#VALUE!</v>
      </c>
      <c r="V590" s="358" t="e">
        <f>'[1]1. OFERTA'!#REF!</f>
        <v>#REF!</v>
      </c>
      <c r="W590" s="144" t="e">
        <f>U590-V590</f>
        <v>#VALUE!</v>
      </c>
    </row>
    <row r="591" spans="1:23" ht="15" hidden="1" customHeight="1" outlineLevel="1">
      <c r="A591" s="353"/>
      <c r="B591" s="359">
        <f t="shared" ref="B591:B607" si="355">B590+0.01</f>
        <v>29.01</v>
      </c>
      <c r="C591" s="360" t="str">
        <f>$C$590</f>
        <v>TELECOM (Intercomunicadores, Teléfono y TV)</v>
      </c>
      <c r="D591" s="360" t="str">
        <f>$D$590</f>
        <v>-</v>
      </c>
      <c r="E591" s="360" t="str">
        <f>$E$590</f>
        <v>-</v>
      </c>
      <c r="F591" s="347" t="s">
        <v>783</v>
      </c>
      <c r="G591" s="361" t="str">
        <f>IF(H591="PVC",VLOOKUP(I591,[5]MATERIALES!$C$5:$D$11,2,FALSE),IF(H591="EMT",VLOOKUP(I591,[5]MATERIALES!$C$40:$D$46,2,FALSE),IF(H591="IMC",VLOOKUP(I591,[5]MATERIALES!$C$82:$D$88,2,FALSE),IF(H591="LFNC",VLOOKUP(I591,[5]MATERIALES!$C$110:$D$116,2,FALSE),0))))</f>
        <v>Tubería PVC SDR-26 3/4"</v>
      </c>
      <c r="H591" s="362" t="s">
        <v>184</v>
      </c>
      <c r="I591" s="362" t="s">
        <v>212</v>
      </c>
      <c r="J591" s="362">
        <f>J600+J601+J602</f>
        <v>205</v>
      </c>
      <c r="K591" s="134" t="str">
        <f>IF(OR(H591="Conductores Americanos",H591="Conductores Europeos"),"Pies","Unid.")</f>
        <v>Unid.</v>
      </c>
      <c r="L591" s="363">
        <f>IF(H591="PVC",ROUNDUP(J591/6,0),IF(H591="EMT",ROUNDUP(J591/3,0),IF(H591="IMC",ROUNDUP(J591/3,0),IF(H591="LFNC",ROUNDUP(3.28*J591,0),0))))</f>
        <v>35</v>
      </c>
      <c r="M591" s="248" t="str">
        <f>IFERROR(VLOOKUP(G591,[1]MATERIALES!$D$5:$I$1368,2,FALSE),0)</f>
        <v xml:space="preserve">Suplidores electricos </v>
      </c>
      <c r="N591" s="364" t="e">
        <f t="shared" ref="N591:N607" si="356">M591/$N$2</f>
        <v>#VALUE!</v>
      </c>
      <c r="O591" s="248" t="e">
        <f>+L591*M591</f>
        <v>#VALUE!</v>
      </c>
      <c r="P591" s="364" t="e">
        <f>L591*N591</f>
        <v>#VALUE!</v>
      </c>
      <c r="Q591" s="248" t="e">
        <f t="shared" ref="Q591:Q607" si="357">+$O591+($O591*$R$2)</f>
        <v>#VALUE!</v>
      </c>
      <c r="R591" s="365" t="e">
        <f t="shared" ref="R591:R607" si="358">+$P591+($P591*$R$2)</f>
        <v>#VALUE!</v>
      </c>
      <c r="S591" s="248">
        <f>+IFERROR(Q591/L591,0)</f>
        <v>0</v>
      </c>
      <c r="T591" s="146">
        <f>+IFERROR(R591/L591,0)</f>
        <v>0</v>
      </c>
      <c r="W591" s="141"/>
    </row>
    <row r="592" spans="1:23" ht="15" hidden="1" customHeight="1" outlineLevel="1">
      <c r="A592" s="353"/>
      <c r="B592" s="359">
        <f t="shared" si="355"/>
        <v>29.020000000000003</v>
      </c>
      <c r="C592" s="360" t="str">
        <f t="shared" ref="C592:C607" si="359">$C$590</f>
        <v>TELECOM (Intercomunicadores, Teléfono y TV)</v>
      </c>
      <c r="D592" s="360" t="str">
        <f t="shared" ref="D592:D607" si="360">$D$590</f>
        <v>-</v>
      </c>
      <c r="E592" s="360" t="str">
        <f t="shared" ref="E592:E607" si="361">$E$590</f>
        <v>-</v>
      </c>
      <c r="F592" s="347" t="str">
        <f t="shared" ref="F592:F607" si="362">F591</f>
        <v>120V 1Ø</v>
      </c>
      <c r="G592" s="361" t="str">
        <f>IF(H592="PVC",VLOOKUP(I592,[5]MATERIALES!$C$12:$D$18,2,FALSE),IF(H592="EMT",VLOOKUP(I592,[5]MATERIALES!$C$47:$D$53,2,FALSE),IF(H592="IMC",VLOOKUP(I592,[5]MATERIALES!$C$89:$D$96,2,FALSE),"-")))</f>
        <v>Coupling PVC 3/4"</v>
      </c>
      <c r="H592" s="366" t="str">
        <f>H591</f>
        <v>PVC</v>
      </c>
      <c r="I592" s="366" t="str">
        <f>I591</f>
        <v>19mm</v>
      </c>
      <c r="J592" s="316"/>
      <c r="K592" s="345" t="str">
        <f t="shared" ref="K592:K599" si="363">IF(OR(H592="Conductores Americanos",H592="Conductores Europeos"),"Pies","Unid.")</f>
        <v>Unid.</v>
      </c>
      <c r="L592" s="28">
        <f>IF(H592="LFNC",0,L591)</f>
        <v>35</v>
      </c>
      <c r="M592" s="248" t="str">
        <f>IFERROR(VLOOKUP(G592,[1]MATERIALES!$D$5:$I$1368,2,FALSE),0)</f>
        <v xml:space="preserve">Suplidores electricos </v>
      </c>
      <c r="N592" s="367" t="e">
        <f t="shared" si="356"/>
        <v>#VALUE!</v>
      </c>
      <c r="O592" s="140" t="e">
        <f t="shared" ref="O592:O607" si="364">+L592*M592</f>
        <v>#VALUE!</v>
      </c>
      <c r="P592" s="367" t="e">
        <f t="shared" ref="P592:P607" si="365">L592*N592</f>
        <v>#VALUE!</v>
      </c>
      <c r="Q592" s="140" t="e">
        <f t="shared" si="357"/>
        <v>#VALUE!</v>
      </c>
      <c r="R592" s="368" t="e">
        <f t="shared" si="358"/>
        <v>#VALUE!</v>
      </c>
      <c r="S592" s="140">
        <f t="shared" ref="S592:S607" si="366">+IFERROR(Q592/L592,0)</f>
        <v>0</v>
      </c>
      <c r="T592" s="139">
        <f t="shared" ref="T592:T607" si="367">+IFERROR(R592/L592,0)</f>
        <v>0</v>
      </c>
      <c r="U592" s="145"/>
      <c r="V592" s="145"/>
      <c r="W592" s="141"/>
    </row>
    <row r="593" spans="1:23" ht="15" hidden="1" customHeight="1" outlineLevel="1">
      <c r="A593" s="353"/>
      <c r="B593" s="359">
        <f t="shared" si="355"/>
        <v>29.030000000000005</v>
      </c>
      <c r="C593" s="360" t="str">
        <f t="shared" si="359"/>
        <v>TELECOM (Intercomunicadores, Teléfono y TV)</v>
      </c>
      <c r="D593" s="360" t="str">
        <f t="shared" si="360"/>
        <v>-</v>
      </c>
      <c r="E593" s="360" t="str">
        <f t="shared" si="361"/>
        <v>-</v>
      </c>
      <c r="F593" s="347" t="str">
        <f t="shared" si="362"/>
        <v>120V 1Ø</v>
      </c>
      <c r="G593" s="361" t="str">
        <f>IF(H593="PVC",VLOOKUP(I593,[5]MATERIALES!$C$19:$D$25,2,FALSE),IF(H593="EMT",VLOOKUP(I593,[5]MATERIALES!$C$54:$D$60,2,FALSE),IF(H593="IMC",VLOOKUP(I593,[5]MATERIALES!$C$96:$D$102,2,FALSE),IF(H593="LFNC",VLOOKUP(I593,[5]MATERIALES!$C$117:$D$123,2,FALSE),0))))</f>
        <v>Adaptador Macho PVC 3/4"</v>
      </c>
      <c r="H593" s="366" t="str">
        <f>H591</f>
        <v>PVC</v>
      </c>
      <c r="I593" s="366" t="str">
        <f>I591</f>
        <v>19mm</v>
      </c>
      <c r="J593" s="316"/>
      <c r="K593" s="345" t="str">
        <f t="shared" si="363"/>
        <v>Unid.</v>
      </c>
      <c r="L593" s="28">
        <f>1+L596*2+L598</f>
        <v>66</v>
      </c>
      <c r="M593" s="248" t="str">
        <f>IFERROR(VLOOKUP(G593,[1]MATERIALES!$D$5:$I$1368,2,FALSE),0)</f>
        <v xml:space="preserve">Suplidores electricos </v>
      </c>
      <c r="N593" s="367" t="e">
        <f t="shared" si="356"/>
        <v>#VALUE!</v>
      </c>
      <c r="O593" s="140" t="e">
        <f t="shared" si="364"/>
        <v>#VALUE!</v>
      </c>
      <c r="P593" s="367" t="e">
        <f t="shared" si="365"/>
        <v>#VALUE!</v>
      </c>
      <c r="Q593" s="140" t="e">
        <f t="shared" si="357"/>
        <v>#VALUE!</v>
      </c>
      <c r="R593" s="368" t="e">
        <f t="shared" si="358"/>
        <v>#VALUE!</v>
      </c>
      <c r="S593" s="140">
        <f t="shared" si="366"/>
        <v>0</v>
      </c>
      <c r="T593" s="139">
        <f t="shared" si="367"/>
        <v>0</v>
      </c>
      <c r="U593" s="145"/>
      <c r="V593" s="145"/>
      <c r="W593" s="141"/>
    </row>
    <row r="594" spans="1:23" ht="15" hidden="1" customHeight="1" outlineLevel="1">
      <c r="A594" s="353"/>
      <c r="B594" s="359">
        <f t="shared" si="355"/>
        <v>29.040000000000006</v>
      </c>
      <c r="C594" s="360" t="str">
        <f t="shared" si="359"/>
        <v>TELECOM (Intercomunicadores, Teléfono y TV)</v>
      </c>
      <c r="D594" s="360" t="str">
        <f t="shared" si="360"/>
        <v>-</v>
      </c>
      <c r="E594" s="360" t="str">
        <f t="shared" si="361"/>
        <v>-</v>
      </c>
      <c r="F594" s="347" t="str">
        <f t="shared" si="362"/>
        <v>120V 1Ø</v>
      </c>
      <c r="G594" s="361" t="str">
        <f>IF(H594="PVC",VLOOKUP(I594,[5]MATERIALES!$C$33:$D$39,2,FALSE),IF(H594="EMT",VLOOKUP(I594,[5]MATERIALES!$C$61:$D$67,2,FALSE),IF(H594="IMC",VLOOKUP(I594,[5]MATERIALES!$C$103:$D$109,2,FALSE),"-")))</f>
        <v>Curva 90 PVC SDR 3/4"</v>
      </c>
      <c r="H594" s="366" t="str">
        <f>H591</f>
        <v>PVC</v>
      </c>
      <c r="I594" s="366" t="str">
        <f>I591</f>
        <v>19mm</v>
      </c>
      <c r="J594" s="316"/>
      <c r="K594" s="345" t="str">
        <f t="shared" si="363"/>
        <v>Unid.</v>
      </c>
      <c r="L594" s="28">
        <f>IF(H594="LFNC",0,(1+L603))</f>
        <v>13</v>
      </c>
      <c r="M594" s="248" t="str">
        <f>IFERROR(VLOOKUP(G594,[1]MATERIALES!$D$5:$I$1368,2,FALSE),0)</f>
        <v xml:space="preserve">Suplidores electricos </v>
      </c>
      <c r="N594" s="367" t="e">
        <f t="shared" si="356"/>
        <v>#VALUE!</v>
      </c>
      <c r="O594" s="140" t="e">
        <f t="shared" si="364"/>
        <v>#VALUE!</v>
      </c>
      <c r="P594" s="367" t="e">
        <f t="shared" si="365"/>
        <v>#VALUE!</v>
      </c>
      <c r="Q594" s="140" t="e">
        <f t="shared" si="357"/>
        <v>#VALUE!</v>
      </c>
      <c r="R594" s="368" t="e">
        <f t="shared" si="358"/>
        <v>#VALUE!</v>
      </c>
      <c r="S594" s="140">
        <f t="shared" si="366"/>
        <v>0</v>
      </c>
      <c r="T594" s="139">
        <f t="shared" si="367"/>
        <v>0</v>
      </c>
      <c r="U594" s="145"/>
      <c r="V594" s="145"/>
      <c r="W594" s="141"/>
    </row>
    <row r="595" spans="1:23" ht="15" hidden="1" customHeight="1" outlineLevel="1">
      <c r="A595" s="353"/>
      <c r="B595" s="359">
        <f t="shared" si="355"/>
        <v>29.050000000000008</v>
      </c>
      <c r="C595" s="360" t="str">
        <f t="shared" si="359"/>
        <v>TELECOM (Intercomunicadores, Teléfono y TV)</v>
      </c>
      <c r="D595" s="360" t="str">
        <f t="shared" si="360"/>
        <v>-</v>
      </c>
      <c r="E595" s="360" t="str">
        <f t="shared" si="361"/>
        <v>-</v>
      </c>
      <c r="F595" s="347" t="str">
        <f t="shared" si="362"/>
        <v>120V 1Ø</v>
      </c>
      <c r="G595" s="361" t="str">
        <f>VLOOKUP(I595,[5]MATERIALES!$C$68:$D$74,2,FALSE)</f>
        <v>Abrazadera EMT 3/4'' </v>
      </c>
      <c r="H595" s="316"/>
      <c r="I595" s="366" t="str">
        <f>I591</f>
        <v>19mm</v>
      </c>
      <c r="J595" s="316"/>
      <c r="K595" s="345" t="str">
        <f t="shared" si="363"/>
        <v>Unid.</v>
      </c>
      <c r="L595" s="28">
        <f>ROUNDUP(J591,0)</f>
        <v>205</v>
      </c>
      <c r="M595" s="248" t="str">
        <f>IFERROR(VLOOKUP(G595,[1]MATERIALES!$D$5:$I$1368,2,FALSE),0)</f>
        <v xml:space="preserve">Suplidores electricos </v>
      </c>
      <c r="N595" s="367" t="e">
        <f t="shared" si="356"/>
        <v>#VALUE!</v>
      </c>
      <c r="O595" s="140" t="e">
        <f t="shared" si="364"/>
        <v>#VALUE!</v>
      </c>
      <c r="P595" s="367" t="e">
        <f t="shared" si="365"/>
        <v>#VALUE!</v>
      </c>
      <c r="Q595" s="140" t="e">
        <f t="shared" si="357"/>
        <v>#VALUE!</v>
      </c>
      <c r="R595" s="368" t="e">
        <f t="shared" si="358"/>
        <v>#VALUE!</v>
      </c>
      <c r="S595" s="140">
        <f t="shared" si="366"/>
        <v>0</v>
      </c>
      <c r="T595" s="139">
        <f t="shared" si="367"/>
        <v>0</v>
      </c>
      <c r="U595" s="145"/>
      <c r="V595" s="145"/>
      <c r="W595" s="141"/>
    </row>
    <row r="596" spans="1:23" ht="15" hidden="1" customHeight="1" outlineLevel="1">
      <c r="A596" s="353"/>
      <c r="B596" s="359">
        <f t="shared" si="355"/>
        <v>29.060000000000009</v>
      </c>
      <c r="C596" s="360" t="str">
        <f t="shared" si="359"/>
        <v>TELECOM (Intercomunicadores, Teléfono y TV)</v>
      </c>
      <c r="D596" s="360" t="str">
        <f t="shared" si="360"/>
        <v>-</v>
      </c>
      <c r="E596" s="360" t="str">
        <f t="shared" si="361"/>
        <v>-</v>
      </c>
      <c r="F596" s="347" t="str">
        <f t="shared" si="362"/>
        <v>120V 1Ø</v>
      </c>
      <c r="G596" s="361" t="str" cm="1">
        <f t="array" ref="G596">_xlfn.SWITCH(I596,"13mm",(IF(H596="Rectangular",VLOOKUP(I596,[5]MATERIALES!$C$124:$D$125,2,FALSE),IF(H596="Octagonal",VLOOKUP(I596,[5]MATERIALES!$C$126:$D$127,2,FALSE),IF(H596="WP",VLOOKUP(I596,[5]MATERIALES!$C$128:$D$129,2,FALSE),IF(H596="5x5",VLOOKUP(I596,[5]MATERIALES!$C$130:$D$132,2,FALSE)))))),"19mm",(IF(H596="Rectangular",VLOOKUP(I596,[5]MATERIALES!$C$124:$D$125,2,FALSE),IF(H596="Octagonal",VLOOKUP(I596,[5]MATERIALES!$C$126:$D$127,2,FALSE),IF(H596="WP",VLOOKUP(I596,[5]MATERIALES!$C$128:$D$129,2,FALSE),IF(H596="5x5",VLOOKUP(I596,[5]MATERIALES!$C$130:$D$132,2,FALSE)))))),"25mm",IF(H596="Rectangular","-",IF(H596="Octagonal","--",IF(H596="WP","---",IF(H596="5x5",VLOOKUP(I596,[5]MATERIALES!$C$130:$D$132,2,FALSE),0)))),"38mm","-","50mm","-","75mm","-","100mm","-")</f>
        <v>Caja EMT 2x4 3/4" USA UL</v>
      </c>
      <c r="H596" s="369" t="s">
        <v>188</v>
      </c>
      <c r="I596" s="366" t="str">
        <f>I591</f>
        <v>19mm</v>
      </c>
      <c r="J596" s="316"/>
      <c r="K596" s="345" t="str">
        <f t="shared" si="363"/>
        <v>Unid.</v>
      </c>
      <c r="L596" s="28">
        <f>1+L603+L604+L605</f>
        <v>22</v>
      </c>
      <c r="M596" s="248" t="str">
        <f>IFERROR(VLOOKUP(G596,[1]MATERIALES!$D$5:$I$1368,2,FALSE),0)</f>
        <v xml:space="preserve">Suplidores electricos </v>
      </c>
      <c r="N596" s="367" t="e">
        <f t="shared" si="356"/>
        <v>#VALUE!</v>
      </c>
      <c r="O596" s="140" t="e">
        <f t="shared" si="364"/>
        <v>#VALUE!</v>
      </c>
      <c r="P596" s="367" t="e">
        <f t="shared" si="365"/>
        <v>#VALUE!</v>
      </c>
      <c r="Q596" s="140" t="e">
        <f t="shared" si="357"/>
        <v>#VALUE!</v>
      </c>
      <c r="R596" s="368" t="e">
        <f t="shared" si="358"/>
        <v>#VALUE!</v>
      </c>
      <c r="S596" s="140">
        <f t="shared" si="366"/>
        <v>0</v>
      </c>
      <c r="T596" s="139">
        <f t="shared" si="367"/>
        <v>0</v>
      </c>
      <c r="U596" s="145"/>
      <c r="V596" s="145"/>
      <c r="W596" s="141"/>
    </row>
    <row r="597" spans="1:23" ht="15" hidden="1" customHeight="1" outlineLevel="1">
      <c r="A597" s="353"/>
      <c r="B597" s="359">
        <f t="shared" si="355"/>
        <v>29.070000000000011</v>
      </c>
      <c r="C597" s="360" t="str">
        <f t="shared" si="359"/>
        <v>TELECOM (Intercomunicadores, Teléfono y TV)</v>
      </c>
      <c r="D597" s="360" t="str">
        <f t="shared" si="360"/>
        <v>-</v>
      </c>
      <c r="E597" s="360" t="str">
        <f t="shared" si="361"/>
        <v>-</v>
      </c>
      <c r="F597" s="347" t="str">
        <f t="shared" si="362"/>
        <v>120V 1Ø</v>
      </c>
      <c r="G597" s="370" t="str">
        <f>IF(H597="Rectangular",[5]MATERIALES!$D$133,IF(H596="Octagonal",[5]MATERIALES!$D$134,IF(H596="WP",[5]MATERIALES!$D$135,IF(H596="5x5",[5]MATERIALES!$D$136,0))))</f>
        <v>Tapa caja EMT 2x4 Inoxidable.</v>
      </c>
      <c r="H597" s="369" t="str">
        <f>H596</f>
        <v>Rectangular</v>
      </c>
      <c r="I597" s="366" t="str">
        <f>I591</f>
        <v>19mm</v>
      </c>
      <c r="J597" s="316"/>
      <c r="K597" s="345" t="str">
        <f t="shared" si="363"/>
        <v>Unid.</v>
      </c>
      <c r="L597" s="28">
        <f>L596</f>
        <v>22</v>
      </c>
      <c r="M597" s="248" t="str">
        <f>IFERROR(VLOOKUP(G597,[1]MATERIALES!$D$5:$I$1368,2,FALSE),0)</f>
        <v xml:space="preserve">Suplidores electricos </v>
      </c>
      <c r="N597" s="367" t="e">
        <f t="shared" si="356"/>
        <v>#VALUE!</v>
      </c>
      <c r="O597" s="140" t="e">
        <f t="shared" si="364"/>
        <v>#VALUE!</v>
      </c>
      <c r="P597" s="367" t="e">
        <f t="shared" si="365"/>
        <v>#VALUE!</v>
      </c>
      <c r="Q597" s="140" t="e">
        <f t="shared" si="357"/>
        <v>#VALUE!</v>
      </c>
      <c r="R597" s="368" t="e">
        <f t="shared" si="358"/>
        <v>#VALUE!</v>
      </c>
      <c r="S597" s="140">
        <f t="shared" si="366"/>
        <v>0</v>
      </c>
      <c r="T597" s="139">
        <f t="shared" si="367"/>
        <v>0</v>
      </c>
      <c r="U597" s="145"/>
      <c r="V597" s="145"/>
      <c r="W597" s="141"/>
    </row>
    <row r="598" spans="1:23" ht="15" hidden="1" customHeight="1" outlineLevel="1">
      <c r="A598" s="353"/>
      <c r="B598" s="359">
        <f t="shared" si="355"/>
        <v>29.080000000000013</v>
      </c>
      <c r="C598" s="360" t="str">
        <f t="shared" si="359"/>
        <v>TELECOM (Intercomunicadores, Teléfono y TV)</v>
      </c>
      <c r="D598" s="360" t="str">
        <f t="shared" si="360"/>
        <v>-</v>
      </c>
      <c r="E598" s="360" t="str">
        <f t="shared" si="361"/>
        <v>-</v>
      </c>
      <c r="F598" s="347" t="str">
        <f t="shared" si="362"/>
        <v>120V 1Ø</v>
      </c>
      <c r="G598" s="361" t="str" cm="1">
        <f t="array" ref="G598">_xlfn.SWITCH(I598,"13mm",(IF(H598="Rectangular",VLOOKUP(I598,[5]MATERIALES!$C$124:$D$125,2,FALSE),IF(H598="Octagonal",VLOOKUP(I598,[5]MATERIALES!$C$126:$D$127,2,FALSE),IF(H598="WP",VLOOKUP(I598,[5]MATERIALES!$C$128:$D$129,2,FALSE),IF(H598="5x5",VLOOKUP(I598,[5]MATERIALES!$C$130:$D$132,2,FALSE)))))),"19mm",(IF(H598="Rectangular",VLOOKUP(I598,[5]MATERIALES!$C$124:$D$125,2,FALSE),IF(H598="Octagonal",VLOOKUP(I598,[5]MATERIALES!$C$126:$D$127,2,FALSE),IF(H598="WP",VLOOKUP(I598,[5]MATERIALES!$C$128:$D$129,2,FALSE),IF(H598="5x5",VLOOKUP(I598,[5]MATERIALES!$C$130:$D$132,2,FALSE)))))),"25mm",IF(H598="Rectangular","-",IF(H598="Octagonal","--",IF(H598="WP","---",IF(H598="5x5",VLOOKUP(I598,[5]MATERIALES!$C$130:$D$132,2,FALSE),0)))),"38mm","-","50mm","-","75mm","-","100mm","-")</f>
        <v>Caja EMT 2x4 3/4" USA UL</v>
      </c>
      <c r="H598" s="369" t="s">
        <v>188</v>
      </c>
      <c r="I598" s="366" t="str">
        <f>I593</f>
        <v>19mm</v>
      </c>
      <c r="J598" s="316"/>
      <c r="K598" s="345" t="str">
        <f t="shared" si="363"/>
        <v>Unid.</v>
      </c>
      <c r="L598" s="28">
        <f>L603+L604+L605</f>
        <v>21</v>
      </c>
      <c r="M598" s="248" t="str">
        <f>IFERROR(VLOOKUP(G598,[1]MATERIALES!$D$5:$I$1368,2,FALSE),0)</f>
        <v xml:space="preserve">Suplidores electricos </v>
      </c>
      <c r="N598" s="367" t="e">
        <f t="shared" si="356"/>
        <v>#VALUE!</v>
      </c>
      <c r="O598" s="140" t="e">
        <f t="shared" si="364"/>
        <v>#VALUE!</v>
      </c>
      <c r="P598" s="367" t="e">
        <f t="shared" si="365"/>
        <v>#VALUE!</v>
      </c>
      <c r="Q598" s="140" t="e">
        <f t="shared" si="357"/>
        <v>#VALUE!</v>
      </c>
      <c r="R598" s="368" t="e">
        <f t="shared" si="358"/>
        <v>#VALUE!</v>
      </c>
      <c r="S598" s="140">
        <f t="shared" si="366"/>
        <v>0</v>
      </c>
      <c r="T598" s="139">
        <f t="shared" si="367"/>
        <v>0</v>
      </c>
      <c r="U598" s="145"/>
      <c r="V598" s="145"/>
      <c r="W598" s="141"/>
    </row>
    <row r="599" spans="1:23" ht="15" hidden="1" customHeight="1" outlineLevel="1">
      <c r="A599" s="353"/>
      <c r="B599" s="359">
        <f t="shared" si="355"/>
        <v>29.090000000000014</v>
      </c>
      <c r="C599" s="360" t="str">
        <f t="shared" si="359"/>
        <v>TELECOM (Intercomunicadores, Teléfono y TV)</v>
      </c>
      <c r="D599" s="360" t="str">
        <f t="shared" si="360"/>
        <v>-</v>
      </c>
      <c r="E599" s="360" t="str">
        <f t="shared" si="361"/>
        <v>-</v>
      </c>
      <c r="F599" s="347" t="str">
        <f t="shared" si="362"/>
        <v>120V 1Ø</v>
      </c>
      <c r="G599" s="370" t="str">
        <f>IF(H599="Rectangular",[5]MATERIALES!$D$133,IF(H598="Octagonal",[5]MATERIALES!$D$134,IF(H598="WP",[5]MATERIALES!#REF!,IF(H598="5x5",[5]MATERIALES!$D$136,0))))</f>
        <v>Tapa caja EMT 2x4 Inoxidable.</v>
      </c>
      <c r="H599" s="369" t="str">
        <f>H598</f>
        <v>Rectangular</v>
      </c>
      <c r="I599" s="366" t="str">
        <f>I593</f>
        <v>19mm</v>
      </c>
      <c r="J599" s="316"/>
      <c r="K599" s="345" t="str">
        <f t="shared" si="363"/>
        <v>Unid.</v>
      </c>
      <c r="L599" s="28">
        <f>L598</f>
        <v>21</v>
      </c>
      <c r="M599" s="248" t="str">
        <f>IFERROR(VLOOKUP(G599,[1]MATERIALES!$D$5:$I$1368,2,FALSE),0)</f>
        <v xml:space="preserve">Suplidores electricos </v>
      </c>
      <c r="N599" s="367" t="e">
        <f t="shared" si="356"/>
        <v>#VALUE!</v>
      </c>
      <c r="O599" s="140" t="e">
        <f t="shared" si="364"/>
        <v>#VALUE!</v>
      </c>
      <c r="P599" s="367" t="e">
        <f t="shared" si="365"/>
        <v>#VALUE!</v>
      </c>
      <c r="Q599" s="140" t="e">
        <f t="shared" si="357"/>
        <v>#VALUE!</v>
      </c>
      <c r="R599" s="368" t="e">
        <f t="shared" si="358"/>
        <v>#VALUE!</v>
      </c>
      <c r="S599" s="140">
        <f t="shared" si="366"/>
        <v>0</v>
      </c>
      <c r="T599" s="139">
        <f t="shared" si="367"/>
        <v>0</v>
      </c>
      <c r="U599" s="145"/>
      <c r="V599" s="145"/>
      <c r="W599" s="141"/>
    </row>
    <row r="600" spans="1:23" ht="15" hidden="1" customHeight="1" outlineLevel="1">
      <c r="A600" s="353"/>
      <c r="B600" s="359">
        <f t="shared" si="355"/>
        <v>29.100000000000016</v>
      </c>
      <c r="C600" s="360" t="str">
        <f t="shared" si="359"/>
        <v>TELECOM (Intercomunicadores, Teléfono y TV)</v>
      </c>
      <c r="D600" s="360" t="str">
        <f t="shared" si="360"/>
        <v>-</v>
      </c>
      <c r="E600" s="360" t="str">
        <f t="shared" si="361"/>
        <v>-</v>
      </c>
      <c r="F600" s="347" t="str">
        <f t="shared" si="362"/>
        <v>120V 1Ø</v>
      </c>
      <c r="G600" s="371" t="e">
        <f>VLOOKUP(I600,[1]MATERIALES!$C$236:$D$249,2,FALSE)</f>
        <v>#N/A</v>
      </c>
      <c r="H600" s="316" t="s">
        <v>181</v>
      </c>
      <c r="I600" s="366" t="s">
        <v>825</v>
      </c>
      <c r="J600" s="362">
        <v>60</v>
      </c>
      <c r="K600" s="345" t="str">
        <f>IF(OR(H600="Conductores Americanos",H600="Conductores Europeos"),"Pies","Unid.")</f>
        <v>Pies</v>
      </c>
      <c r="L600" s="28">
        <f>ROUNDUP(J600*3.28,0)</f>
        <v>197</v>
      </c>
      <c r="M600" s="248">
        <f>IFERROR(VLOOKUP(G600,[1]MATERIALES!$D$5:$I$1368,2,FALSE),0)</f>
        <v>0</v>
      </c>
      <c r="N600" s="367">
        <f t="shared" si="356"/>
        <v>0</v>
      </c>
      <c r="O600" s="140">
        <f t="shared" si="364"/>
        <v>0</v>
      </c>
      <c r="P600" s="367">
        <f t="shared" si="365"/>
        <v>0</v>
      </c>
      <c r="Q600" s="140">
        <f t="shared" si="357"/>
        <v>0</v>
      </c>
      <c r="R600" s="368">
        <f t="shared" si="358"/>
        <v>0</v>
      </c>
      <c r="S600" s="140">
        <f t="shared" si="366"/>
        <v>0</v>
      </c>
      <c r="T600" s="139">
        <f t="shared" si="367"/>
        <v>0</v>
      </c>
      <c r="U600" s="145"/>
      <c r="V600" s="145"/>
      <c r="W600" s="141"/>
    </row>
    <row r="601" spans="1:23" ht="15" hidden="1" customHeight="1" outlineLevel="1">
      <c r="A601" s="353"/>
      <c r="B601" s="359">
        <f t="shared" si="355"/>
        <v>29.110000000000017</v>
      </c>
      <c r="C601" s="360" t="str">
        <f t="shared" si="359"/>
        <v>TELECOM (Intercomunicadores, Teléfono y TV)</v>
      </c>
      <c r="D601" s="360" t="str">
        <f t="shared" si="360"/>
        <v>-</v>
      </c>
      <c r="E601" s="360" t="str">
        <f t="shared" si="361"/>
        <v>-</v>
      </c>
      <c r="F601" s="347" t="str">
        <f t="shared" si="362"/>
        <v>120V 1Ø</v>
      </c>
      <c r="G601" s="371" t="e">
        <f>VLOOKUP(I601,[1]MATERIALES!$C$236:$D$249,2,FALSE)</f>
        <v>#N/A</v>
      </c>
      <c r="H601" s="316" t="str">
        <f t="shared" ref="H601:H602" si="368">H600</f>
        <v>Conductores Americanos</v>
      </c>
      <c r="I601" s="366" t="s">
        <v>826</v>
      </c>
      <c r="J601" s="362">
        <v>28</v>
      </c>
      <c r="K601" s="345" t="str">
        <f t="shared" ref="K601:K605" si="369">IF(OR(H601="Conductores Americanos",H601="Conductores Europeos"),"Pies","Unid.")</f>
        <v>Pies</v>
      </c>
      <c r="L601" s="28">
        <f>ROUNDUP(J601*3.28,0)</f>
        <v>92</v>
      </c>
      <c r="M601" s="248">
        <f>IFERROR(VLOOKUP(G601,[1]MATERIALES!$D$5:$I$1368,2,FALSE),0)</f>
        <v>0</v>
      </c>
      <c r="N601" s="367">
        <f t="shared" si="356"/>
        <v>0</v>
      </c>
      <c r="O601" s="140">
        <f t="shared" si="364"/>
        <v>0</v>
      </c>
      <c r="P601" s="367">
        <f t="shared" si="365"/>
        <v>0</v>
      </c>
      <c r="Q601" s="140">
        <f t="shared" si="357"/>
        <v>0</v>
      </c>
      <c r="R601" s="368">
        <f t="shared" si="358"/>
        <v>0</v>
      </c>
      <c r="S601" s="140">
        <f t="shared" si="366"/>
        <v>0</v>
      </c>
      <c r="T601" s="139">
        <f t="shared" si="367"/>
        <v>0</v>
      </c>
      <c r="U601" s="145"/>
      <c r="V601" s="145"/>
      <c r="W601" s="141"/>
    </row>
    <row r="602" spans="1:23" ht="15" hidden="1" customHeight="1" outlineLevel="1">
      <c r="A602" s="353"/>
      <c r="B602" s="359">
        <f t="shared" si="355"/>
        <v>29.120000000000019</v>
      </c>
      <c r="C602" s="360" t="str">
        <f t="shared" si="359"/>
        <v>TELECOM (Intercomunicadores, Teléfono y TV)</v>
      </c>
      <c r="D602" s="360" t="str">
        <f t="shared" si="360"/>
        <v>-</v>
      </c>
      <c r="E602" s="360" t="str">
        <f t="shared" si="361"/>
        <v>-</v>
      </c>
      <c r="F602" s="347" t="str">
        <f t="shared" si="362"/>
        <v>120V 1Ø</v>
      </c>
      <c r="G602" s="371" t="e">
        <f>VLOOKUP(I602,[1]MATERIALES!$C$236:$D$249,2,FALSE)</f>
        <v>#N/A</v>
      </c>
      <c r="H602" s="316" t="str">
        <f t="shared" si="368"/>
        <v>Conductores Americanos</v>
      </c>
      <c r="I602" s="366" t="s">
        <v>827</v>
      </c>
      <c r="J602" s="362">
        <v>117</v>
      </c>
      <c r="K602" s="345" t="str">
        <f t="shared" si="369"/>
        <v>Pies</v>
      </c>
      <c r="L602" s="28">
        <f>ROUNDUP(J602*3.28,0)</f>
        <v>384</v>
      </c>
      <c r="M602" s="248">
        <f>IFERROR(VLOOKUP(G602,[1]MATERIALES!$D$5:$I$1368,2,FALSE),0)</f>
        <v>0</v>
      </c>
      <c r="N602" s="367">
        <f t="shared" si="356"/>
        <v>0</v>
      </c>
      <c r="O602" s="140">
        <f t="shared" si="364"/>
        <v>0</v>
      </c>
      <c r="P602" s="367">
        <f t="shared" si="365"/>
        <v>0</v>
      </c>
      <c r="Q602" s="140">
        <f t="shared" si="357"/>
        <v>0</v>
      </c>
      <c r="R602" s="368">
        <f t="shared" si="358"/>
        <v>0</v>
      </c>
      <c r="S602" s="140">
        <f t="shared" si="366"/>
        <v>0</v>
      </c>
      <c r="T602" s="139">
        <f t="shared" si="367"/>
        <v>0</v>
      </c>
      <c r="U602" s="145"/>
      <c r="V602" s="145"/>
      <c r="W602" s="141"/>
    </row>
    <row r="603" spans="1:23" ht="15" hidden="1" customHeight="1" outlineLevel="1">
      <c r="A603" s="353"/>
      <c r="B603" s="359">
        <f t="shared" si="355"/>
        <v>29.13000000000002</v>
      </c>
      <c r="C603" s="360" t="str">
        <f t="shared" si="359"/>
        <v>TELECOM (Intercomunicadores, Teléfono y TV)</v>
      </c>
      <c r="D603" s="360" t="str">
        <f t="shared" si="360"/>
        <v>-</v>
      </c>
      <c r="E603" s="360" t="str">
        <f t="shared" si="361"/>
        <v>-</v>
      </c>
      <c r="F603" s="347" t="str">
        <f t="shared" si="362"/>
        <v>120V 1Ø</v>
      </c>
      <c r="G603" s="361" t="str" cm="1">
        <f t="array" ref="G603">IFERROR(VLOOKUP(H603&amp;"|"&amp;I603,CHOOSE({1,2},[1]MATERIALES!$B$250:$B$263&amp;"|"&amp;[1]MATERIALES!$C$250:$C$263,[1]MATERIALES!$D$250:$D$2663),2,0),"-")</f>
        <v>-</v>
      </c>
      <c r="H603" s="373" t="s">
        <v>382</v>
      </c>
      <c r="I603" s="366" t="s">
        <v>827</v>
      </c>
      <c r="J603" s="316"/>
      <c r="K603" s="345" t="str">
        <f t="shared" si="369"/>
        <v>Unid.</v>
      </c>
      <c r="L603" s="218">
        <v>12</v>
      </c>
      <c r="M603" s="248">
        <f>IFERROR(VLOOKUP(G603,[1]MATERIALES!$D$5:$I$1368,2,FALSE),0)</f>
        <v>0</v>
      </c>
      <c r="N603" s="367">
        <f t="shared" si="356"/>
        <v>0</v>
      </c>
      <c r="O603" s="140">
        <f t="shared" si="364"/>
        <v>0</v>
      </c>
      <c r="P603" s="367">
        <f t="shared" si="365"/>
        <v>0</v>
      </c>
      <c r="Q603" s="140">
        <f t="shared" si="357"/>
        <v>0</v>
      </c>
      <c r="R603" s="368">
        <f t="shared" si="358"/>
        <v>0</v>
      </c>
      <c r="S603" s="140">
        <f t="shared" si="366"/>
        <v>0</v>
      </c>
      <c r="T603" s="139">
        <f t="shared" si="367"/>
        <v>0</v>
      </c>
      <c r="U603" s="145"/>
      <c r="V603" s="145"/>
      <c r="W603" s="141"/>
    </row>
    <row r="604" spans="1:23" ht="15" hidden="1" customHeight="1" outlineLevel="1">
      <c r="A604" s="353"/>
      <c r="B604" s="359">
        <f t="shared" si="355"/>
        <v>29.140000000000022</v>
      </c>
      <c r="C604" s="360" t="str">
        <f t="shared" si="359"/>
        <v>TELECOM (Intercomunicadores, Teléfono y TV)</v>
      </c>
      <c r="D604" s="360" t="str">
        <f t="shared" si="360"/>
        <v>-</v>
      </c>
      <c r="E604" s="360" t="str">
        <f t="shared" si="361"/>
        <v>-</v>
      </c>
      <c r="F604" s="347" t="str">
        <f t="shared" si="362"/>
        <v>120V 1Ø</v>
      </c>
      <c r="G604" s="361" t="str" cm="1">
        <f t="array" ref="G604">IFERROR(VLOOKUP(H604&amp;"|"&amp;I604,CHOOSE({1,2},[1]MATERIALES!$B$250:$B$263&amp;"|"&amp;[1]MATERIALES!$C$250:$C$263,[1]MATERIALES!$D$250:$D$2663),2,0),"-")</f>
        <v>-</v>
      </c>
      <c r="H604" s="373" t="s">
        <v>382</v>
      </c>
      <c r="I604" s="366" t="s">
        <v>825</v>
      </c>
      <c r="J604" s="316"/>
      <c r="K604" s="345" t="str">
        <f t="shared" si="369"/>
        <v>Unid.</v>
      </c>
      <c r="L604" s="218">
        <v>6</v>
      </c>
      <c r="M604" s="248">
        <f>IFERROR(VLOOKUP(G604,[1]MATERIALES!$D$5:$I$1368,2,FALSE),0)</f>
        <v>0</v>
      </c>
      <c r="N604" s="367">
        <f t="shared" si="356"/>
        <v>0</v>
      </c>
      <c r="O604" s="140">
        <f t="shared" si="364"/>
        <v>0</v>
      </c>
      <c r="P604" s="367">
        <f t="shared" si="365"/>
        <v>0</v>
      </c>
      <c r="Q604" s="140">
        <f t="shared" si="357"/>
        <v>0</v>
      </c>
      <c r="R604" s="368">
        <f t="shared" si="358"/>
        <v>0</v>
      </c>
      <c r="S604" s="140">
        <f t="shared" si="366"/>
        <v>0</v>
      </c>
      <c r="T604" s="139">
        <f t="shared" si="367"/>
        <v>0</v>
      </c>
      <c r="U604" s="145"/>
      <c r="V604" s="145"/>
      <c r="W604" s="141"/>
    </row>
    <row r="605" spans="1:23" ht="15" hidden="1" customHeight="1" outlineLevel="1">
      <c r="A605" s="353"/>
      <c r="B605" s="359">
        <f t="shared" si="355"/>
        <v>29.150000000000023</v>
      </c>
      <c r="C605" s="360" t="str">
        <f t="shared" si="359"/>
        <v>TELECOM (Intercomunicadores, Teléfono y TV)</v>
      </c>
      <c r="D605" s="360" t="str">
        <f t="shared" si="360"/>
        <v>-</v>
      </c>
      <c r="E605" s="360" t="str">
        <f t="shared" si="361"/>
        <v>-</v>
      </c>
      <c r="F605" s="347" t="str">
        <f t="shared" si="362"/>
        <v>120V 1Ø</v>
      </c>
      <c r="G605" s="361" cm="1">
        <f t="array" ref="G605">IFERROR(VLOOKUP(H605&amp;"|"&amp;I605,CHOOSE({1,2},[1]MATERIALES!$B$250:$B$263&amp;"|"&amp;[1]MATERIALES!$C$250:$C$263,[1]MATERIALES!$D$250:$D$2663),2,0),"-")</f>
        <v>0</v>
      </c>
      <c r="H605" s="373"/>
      <c r="I605" s="366"/>
      <c r="J605" s="316"/>
      <c r="K605" s="345" t="str">
        <f t="shared" si="369"/>
        <v>Unid.</v>
      </c>
      <c r="L605" s="218">
        <v>3</v>
      </c>
      <c r="M605" s="248">
        <f>IFERROR(VLOOKUP(G605,[1]MATERIALES!$D$5:$I$1368,2,FALSE),0)</f>
        <v>0</v>
      </c>
      <c r="N605" s="367">
        <f t="shared" si="356"/>
        <v>0</v>
      </c>
      <c r="O605" s="140">
        <f t="shared" si="364"/>
        <v>0</v>
      </c>
      <c r="P605" s="367">
        <f t="shared" si="365"/>
        <v>0</v>
      </c>
      <c r="Q605" s="140">
        <f t="shared" si="357"/>
        <v>0</v>
      </c>
      <c r="R605" s="368">
        <f t="shared" si="358"/>
        <v>0</v>
      </c>
      <c r="S605" s="140">
        <f t="shared" si="366"/>
        <v>0</v>
      </c>
      <c r="T605" s="139">
        <f t="shared" si="367"/>
        <v>0</v>
      </c>
      <c r="U605" s="145"/>
      <c r="V605" s="145"/>
      <c r="W605" s="141"/>
    </row>
    <row r="606" spans="1:23" ht="15" hidden="1" customHeight="1" outlineLevel="1">
      <c r="A606" s="353"/>
      <c r="B606" s="359">
        <f t="shared" si="355"/>
        <v>29.160000000000025</v>
      </c>
      <c r="C606" s="360" t="str">
        <f t="shared" si="359"/>
        <v>TELECOM (Intercomunicadores, Teléfono y TV)</v>
      </c>
      <c r="D606" s="360" t="str">
        <f t="shared" si="360"/>
        <v>-</v>
      </c>
      <c r="E606" s="360" t="str">
        <f t="shared" si="361"/>
        <v>-</v>
      </c>
      <c r="F606" s="347" t="str">
        <f t="shared" si="362"/>
        <v>120V 1Ø</v>
      </c>
      <c r="G606" s="374" t="s">
        <v>424</v>
      </c>
      <c r="H606" s="316"/>
      <c r="I606" s="316"/>
      <c r="J606" s="316"/>
      <c r="K606" s="345" t="s">
        <v>784</v>
      </c>
      <c r="L606" s="28">
        <f>ROUNDUP(L595+L596+L598,0)</f>
        <v>248</v>
      </c>
      <c r="M606" s="248">
        <f>IFERROR(VLOOKUP(G606,[1]MATERIALES!$D$5:$I$1368,2,FALSE),0)</f>
        <v>0</v>
      </c>
      <c r="N606" s="367">
        <f t="shared" si="356"/>
        <v>0</v>
      </c>
      <c r="O606" s="140">
        <f t="shared" si="364"/>
        <v>0</v>
      </c>
      <c r="P606" s="367">
        <f t="shared" si="365"/>
        <v>0</v>
      </c>
      <c r="Q606" s="140">
        <f t="shared" si="357"/>
        <v>0</v>
      </c>
      <c r="R606" s="368">
        <f t="shared" si="358"/>
        <v>0</v>
      </c>
      <c r="S606" s="140">
        <f t="shared" si="366"/>
        <v>0</v>
      </c>
      <c r="T606" s="139">
        <f t="shared" si="367"/>
        <v>0</v>
      </c>
      <c r="U606" s="145" t="e">
        <f>SUM(R606:R607)</f>
        <v>#VALUE!</v>
      </c>
      <c r="V606" s="145" t="e">
        <f>'[1]1. OFERTA'!#REF!</f>
        <v>#REF!</v>
      </c>
      <c r="W606" s="141" t="e">
        <f>U606-V606</f>
        <v>#VALUE!</v>
      </c>
    </row>
    <row r="607" spans="1:23" ht="15" hidden="1" customHeight="1" outlineLevel="1">
      <c r="A607" s="353"/>
      <c r="B607" s="359">
        <f t="shared" si="355"/>
        <v>29.170000000000027</v>
      </c>
      <c r="C607" s="360" t="str">
        <f t="shared" si="359"/>
        <v>TELECOM (Intercomunicadores, Teléfono y TV)</v>
      </c>
      <c r="D607" s="360" t="str">
        <f t="shared" si="360"/>
        <v>-</v>
      </c>
      <c r="E607" s="360" t="str">
        <f t="shared" si="361"/>
        <v>-</v>
      </c>
      <c r="F607" s="347" t="str">
        <f t="shared" si="362"/>
        <v>120V 1Ø</v>
      </c>
      <c r="G607" s="374" t="s">
        <v>168</v>
      </c>
      <c r="H607" s="316"/>
      <c r="I607" s="316"/>
      <c r="J607" s="316"/>
      <c r="K607" s="345" t="s">
        <v>784</v>
      </c>
      <c r="L607" s="28">
        <f>L606</f>
        <v>248</v>
      </c>
      <c r="M607" s="248" t="str">
        <f>IFERROR(VLOOKUP(G607,[1]MATERIALES!$D$5:$I$1368,2,FALSE),0)</f>
        <v xml:space="preserve">Marba Dominicana </v>
      </c>
      <c r="N607" s="367" t="e">
        <f t="shared" si="356"/>
        <v>#VALUE!</v>
      </c>
      <c r="O607" s="140" t="e">
        <f t="shared" si="364"/>
        <v>#VALUE!</v>
      </c>
      <c r="P607" s="367" t="e">
        <f t="shared" si="365"/>
        <v>#VALUE!</v>
      </c>
      <c r="Q607" s="140" t="e">
        <f t="shared" si="357"/>
        <v>#VALUE!</v>
      </c>
      <c r="R607" s="368" t="e">
        <f t="shared" si="358"/>
        <v>#VALUE!</v>
      </c>
      <c r="S607" s="140">
        <f t="shared" si="366"/>
        <v>0</v>
      </c>
      <c r="T607" s="139">
        <f t="shared" si="367"/>
        <v>0</v>
      </c>
      <c r="U607" s="145"/>
      <c r="V607" s="145"/>
      <c r="W607" s="141"/>
    </row>
    <row r="608" spans="1:23" ht="15" customHeight="1" collapsed="1" thickBot="1">
      <c r="A608" s="353"/>
      <c r="B608" s="354">
        <v>30</v>
      </c>
      <c r="C608" s="355" t="s">
        <v>828</v>
      </c>
      <c r="D608" s="269" t="s">
        <v>782</v>
      </c>
      <c r="E608" s="269" t="s">
        <v>829</v>
      </c>
      <c r="F608" s="270" t="s">
        <v>830</v>
      </c>
      <c r="G608" s="271"/>
      <c r="H608" s="272"/>
      <c r="I608" s="272"/>
      <c r="J608" s="272"/>
      <c r="K608" s="268"/>
      <c r="L608" s="268"/>
      <c r="M608" s="273"/>
      <c r="N608" s="274"/>
      <c r="O608" s="273"/>
      <c r="P608" s="274"/>
      <c r="Q608" s="273"/>
      <c r="R608" s="275"/>
      <c r="S608" s="273"/>
      <c r="T608" s="276"/>
      <c r="U608" s="357" t="e">
        <f>SUM(R609:R625)</f>
        <v>#VALUE!</v>
      </c>
      <c r="V608" s="358" t="e">
        <f>'[1]1. OFERTA'!#REF!</f>
        <v>#REF!</v>
      </c>
      <c r="W608" s="144" t="e">
        <f>U608-V608</f>
        <v>#VALUE!</v>
      </c>
    </row>
    <row r="609" spans="1:23" ht="15" hidden="1" customHeight="1" outlineLevel="1">
      <c r="A609" s="353"/>
      <c r="B609" s="359">
        <f t="shared" ref="B609:B643" si="370">B608+0.01</f>
        <v>30.01</v>
      </c>
      <c r="C609" s="360" t="s">
        <v>828</v>
      </c>
      <c r="D609" s="360" t="s">
        <v>782</v>
      </c>
      <c r="E609" s="360" t="s">
        <v>829</v>
      </c>
      <c r="F609" s="347" t="s">
        <v>830</v>
      </c>
      <c r="G609" s="361" t="str">
        <f>IF(H609="PVC",VLOOKUP(I609,[1]MATERIALES!$C$5:$D$11,2,FALSE),IF(H609="EMT",VLOOKUP(I609,[1]MATERIALES!$C$40:$D$46,2,FALSE),IF(H609="IMC",VLOOKUP(I609,[1]MATERIALES!$C$82:$D$88,2,FALSE),IF(H609="LFNC",VLOOKUP(I609,[1]MATERIALES!$C$110:$D$116,2,FALSE),0))))</f>
        <v>Tubería Eléctrica EMT 1"</v>
      </c>
      <c r="H609" s="362" t="s">
        <v>193</v>
      </c>
      <c r="I609" s="362" t="s">
        <v>208</v>
      </c>
      <c r="J609" s="362">
        <v>3.83</v>
      </c>
      <c r="K609" s="134" t="str">
        <f>IF(OR(H609="Conductores Americanos",H609="Conductores Europeos"),"Pies","Unid.")</f>
        <v>Unid.</v>
      </c>
      <c r="L609" s="363">
        <f>IF(H609="PVC",ROUNDUP(J609/6,0),IF(H609="EMT",ROUNDUP(J609/3,0),IF(H609="IMC",ROUNDUP(J609/3,0),IF(H609="LFNC",ROUNDUP(3.28*J609,0),0))))</f>
        <v>2</v>
      </c>
      <c r="M609" s="248" t="str">
        <f>IFERROR(VLOOKUP(G609,[1]MATERIALES!$D$5:$I$1368,2,FALSE),0)</f>
        <v xml:space="preserve">Suplidores electricos </v>
      </c>
      <c r="N609" s="364" t="e">
        <f t="shared" ref="N609:N623" si="371">M609/$N$2</f>
        <v>#VALUE!</v>
      </c>
      <c r="O609" s="248" t="e">
        <f t="shared" ref="O609:O625" si="372">+L609*M609</f>
        <v>#VALUE!</v>
      </c>
      <c r="P609" s="364" t="e">
        <f t="shared" ref="P609:P625" si="373">L609*N609</f>
        <v>#VALUE!</v>
      </c>
      <c r="Q609" s="248" t="e">
        <f t="shared" ref="Q609:Q623" si="374">+$O609+($O609*$R$2)</f>
        <v>#VALUE!</v>
      </c>
      <c r="R609" s="365" t="e">
        <f t="shared" ref="R609:R623" si="375">+$P609+($P609*$R$2)</f>
        <v>#VALUE!</v>
      </c>
      <c r="S609" s="248">
        <f t="shared" ref="S609:S625" si="376">+IFERROR(Q609/L609,0)</f>
        <v>0</v>
      </c>
      <c r="T609" s="146">
        <f t="shared" ref="T609:T625" si="377">+IFERROR(R609/L609,0)</f>
        <v>0</v>
      </c>
      <c r="U609" s="357"/>
      <c r="V609" s="358"/>
      <c r="W609" s="144"/>
    </row>
    <row r="610" spans="1:23" ht="15" hidden="1" customHeight="1" outlineLevel="1">
      <c r="A610" s="353"/>
      <c r="B610" s="359">
        <f t="shared" si="370"/>
        <v>30.020000000000003</v>
      </c>
      <c r="C610" s="360" t="s">
        <v>828</v>
      </c>
      <c r="D610" s="360" t="s">
        <v>782</v>
      </c>
      <c r="E610" s="360" t="s">
        <v>829</v>
      </c>
      <c r="F610" s="347" t="str">
        <f t="shared" ref="F610:F625" si="378">F609</f>
        <v>240V 1Ø Acom.</v>
      </c>
      <c r="G610" s="361" t="str">
        <f>IF(H610="PVC",VLOOKUP(I610,[1]MATERIALES!$C$12:$D$18,2,FALSE),IF(H610="EMT",VLOOKUP(I610,[1]MATERIALES!$C$47:$D$53,2,FALSE),IF(H610="IMC",VLOOKUP(I610,[1]MATERIALES!$C$89:$D$96,2,FALSE),"-")))</f>
        <v>Coupling EMT 1"</v>
      </c>
      <c r="H610" s="366" t="str">
        <f>H609</f>
        <v>EMT</v>
      </c>
      <c r="I610" s="366" t="str">
        <f>I609</f>
        <v>25mm</v>
      </c>
      <c r="J610" s="316"/>
      <c r="K610" s="345" t="str">
        <f t="shared" ref="K610:K623" si="379">IF(OR(H610="Conductores Americanos",H610="Conductores Europeos"),"Pies","Unid.")</f>
        <v>Unid.</v>
      </c>
      <c r="L610" s="28">
        <f>IF(H610="LFNC",0,L609)</f>
        <v>2</v>
      </c>
      <c r="M610" s="140" t="str">
        <f>IF(H610="LFNC",0,VLOOKUP(G610,[1]MATERIALES!$D$5:$I$1368,2,FALSE))</f>
        <v xml:space="preserve">Suplidores electricos </v>
      </c>
      <c r="N610" s="367" t="e">
        <f t="shared" si="371"/>
        <v>#VALUE!</v>
      </c>
      <c r="O610" s="140" t="e">
        <f t="shared" si="372"/>
        <v>#VALUE!</v>
      </c>
      <c r="P610" s="367" t="e">
        <f t="shared" si="373"/>
        <v>#VALUE!</v>
      </c>
      <c r="Q610" s="140" t="e">
        <f t="shared" si="374"/>
        <v>#VALUE!</v>
      </c>
      <c r="R610" s="368" t="e">
        <f t="shared" si="375"/>
        <v>#VALUE!</v>
      </c>
      <c r="S610" s="140">
        <f t="shared" si="376"/>
        <v>0</v>
      </c>
      <c r="T610" s="139">
        <f t="shared" si="377"/>
        <v>0</v>
      </c>
      <c r="U610" s="357"/>
      <c r="V610" s="358"/>
      <c r="W610" s="144"/>
    </row>
    <row r="611" spans="1:23" ht="15" hidden="1" customHeight="1" outlineLevel="1">
      <c r="A611" s="353"/>
      <c r="B611" s="359">
        <f t="shared" si="370"/>
        <v>30.030000000000005</v>
      </c>
      <c r="C611" s="360" t="s">
        <v>828</v>
      </c>
      <c r="D611" s="360" t="s">
        <v>782</v>
      </c>
      <c r="E611" s="360" t="s">
        <v>829</v>
      </c>
      <c r="F611" s="347" t="str">
        <f t="shared" si="378"/>
        <v>240V 1Ø Acom.</v>
      </c>
      <c r="G611" s="361" t="str">
        <f>IF(H611="PVC",VLOOKUP(I611,[1]MATERIALES!$C$19:$D$25,2,FALSE),IF(H611="EMT",VLOOKUP(I611,[1]MATERIALES!$C$54:$D$60,2,FALSE),IF(H611="IMC",VLOOKUP(I611,[1]MATERIALES!$C$96:$D$102,2,FALSE),IF(H611="LFNC",VLOOKUP(I611,[1]MATERIALES!$C$117:$D$123,2,FALSE),0))))</f>
        <v>Conector EMT 1"</v>
      </c>
      <c r="H611" s="366" t="str">
        <f>H609</f>
        <v>EMT</v>
      </c>
      <c r="I611" s="366" t="str">
        <f>I609</f>
        <v>25mm</v>
      </c>
      <c r="J611" s="316"/>
      <c r="K611" s="345" t="str">
        <f t="shared" si="379"/>
        <v>Unid.</v>
      </c>
      <c r="L611" s="28">
        <f>1+L614*2+L616</f>
        <v>1</v>
      </c>
      <c r="M611" s="248" t="str">
        <f>IFERROR(VLOOKUP(G611,[1]MATERIALES!$D$5:$I$1368,2,FALSE),0)</f>
        <v xml:space="preserve">Suplidores electricos </v>
      </c>
      <c r="N611" s="367" t="e">
        <f t="shared" si="371"/>
        <v>#VALUE!</v>
      </c>
      <c r="O611" s="140" t="e">
        <f t="shared" si="372"/>
        <v>#VALUE!</v>
      </c>
      <c r="P611" s="367" t="e">
        <f t="shared" si="373"/>
        <v>#VALUE!</v>
      </c>
      <c r="Q611" s="140" t="e">
        <f t="shared" si="374"/>
        <v>#VALUE!</v>
      </c>
      <c r="R611" s="368" t="e">
        <f t="shared" si="375"/>
        <v>#VALUE!</v>
      </c>
      <c r="S611" s="140">
        <f t="shared" si="376"/>
        <v>0</v>
      </c>
      <c r="T611" s="139">
        <f t="shared" si="377"/>
        <v>0</v>
      </c>
      <c r="U611" s="357"/>
      <c r="V611" s="358"/>
      <c r="W611" s="144"/>
    </row>
    <row r="612" spans="1:23" ht="15" hidden="1" customHeight="1" outlineLevel="1">
      <c r="A612" s="353"/>
      <c r="B612" s="359">
        <f t="shared" si="370"/>
        <v>30.040000000000006</v>
      </c>
      <c r="C612" s="360" t="s">
        <v>828</v>
      </c>
      <c r="D612" s="360" t="s">
        <v>782</v>
      </c>
      <c r="E612" s="360" t="s">
        <v>829</v>
      </c>
      <c r="F612" s="347" t="str">
        <f t="shared" si="378"/>
        <v>240V 1Ø Acom.</v>
      </c>
      <c r="G612" s="361" t="str">
        <f>IF(H612="PVC",VLOOKUP(I612,[1]MATERIALES!$C$33:$D$39,2,FALSE),IF(H612="EMT",VLOOKUP(I612,[1]MATERIALES!$C$61:$D$67,2,FALSE),IF(H612="IMC",VLOOKUP(I612,[1]MATERIALES!$C$103:$D$109,2,FALSE),"-")))</f>
        <v>Curva EMT 1"</v>
      </c>
      <c r="H612" s="366" t="str">
        <f>H609</f>
        <v>EMT</v>
      </c>
      <c r="I612" s="366" t="str">
        <f>I609</f>
        <v>25mm</v>
      </c>
      <c r="J612" s="316"/>
      <c r="K612" s="345" t="str">
        <f t="shared" si="379"/>
        <v>Unid.</v>
      </c>
      <c r="L612" s="28">
        <f>IF(H612="LFNC",0,(1))</f>
        <v>1</v>
      </c>
      <c r="M612" s="140" t="str">
        <f>IF(H612="LFNC",0,VLOOKUP(G612,[1]MATERIALES!$D$5:$I$1368,2,FALSE))</f>
        <v xml:space="preserve">Suplidores electricos </v>
      </c>
      <c r="N612" s="367" t="e">
        <f t="shared" si="371"/>
        <v>#VALUE!</v>
      </c>
      <c r="O612" s="140" t="e">
        <f t="shared" si="372"/>
        <v>#VALUE!</v>
      </c>
      <c r="P612" s="367" t="e">
        <f t="shared" si="373"/>
        <v>#VALUE!</v>
      </c>
      <c r="Q612" s="140" t="e">
        <f t="shared" si="374"/>
        <v>#VALUE!</v>
      </c>
      <c r="R612" s="368" t="e">
        <f t="shared" si="375"/>
        <v>#VALUE!</v>
      </c>
      <c r="S612" s="140">
        <f t="shared" si="376"/>
        <v>0</v>
      </c>
      <c r="T612" s="139">
        <f t="shared" si="377"/>
        <v>0</v>
      </c>
      <c r="U612" s="357"/>
      <c r="V612" s="358"/>
      <c r="W612" s="144"/>
    </row>
    <row r="613" spans="1:23" ht="15" hidden="1" customHeight="1" outlineLevel="1">
      <c r="A613" s="353"/>
      <c r="B613" s="359">
        <f t="shared" si="370"/>
        <v>30.050000000000008</v>
      </c>
      <c r="C613" s="360" t="s">
        <v>828</v>
      </c>
      <c r="D613" s="360" t="s">
        <v>782</v>
      </c>
      <c r="E613" s="360" t="s">
        <v>829</v>
      </c>
      <c r="F613" s="347" t="str">
        <f t="shared" si="378"/>
        <v>240V 1Ø Acom.</v>
      </c>
      <c r="G613" s="361" t="str">
        <f>VLOOKUP(I613,[1]MATERIALES!$C$68:$D$74,2,FALSE)</f>
        <v>Abrazadera EMT 1'' </v>
      </c>
      <c r="H613" s="366" t="str">
        <f>H610</f>
        <v>EMT</v>
      </c>
      <c r="I613" s="366" t="str">
        <f>I609</f>
        <v>25mm</v>
      </c>
      <c r="J613" s="316"/>
      <c r="K613" s="345" t="str">
        <f t="shared" si="379"/>
        <v>Unid.</v>
      </c>
      <c r="L613" s="28">
        <f>ROUNDUP(J609,0)</f>
        <v>4</v>
      </c>
      <c r="M613" s="248" t="str">
        <f>IFERROR(VLOOKUP(G613,[1]MATERIALES!$D$5:$I$1368,2,FALSE),0)</f>
        <v xml:space="preserve">Suplidores electricos </v>
      </c>
      <c r="N613" s="367" t="e">
        <f t="shared" si="371"/>
        <v>#VALUE!</v>
      </c>
      <c r="O613" s="140" t="e">
        <f t="shared" si="372"/>
        <v>#VALUE!</v>
      </c>
      <c r="P613" s="367" t="e">
        <f t="shared" si="373"/>
        <v>#VALUE!</v>
      </c>
      <c r="Q613" s="140" t="e">
        <f t="shared" si="374"/>
        <v>#VALUE!</v>
      </c>
      <c r="R613" s="368" t="e">
        <f t="shared" si="375"/>
        <v>#VALUE!</v>
      </c>
      <c r="S613" s="140">
        <f t="shared" si="376"/>
        <v>0</v>
      </c>
      <c r="T613" s="139">
        <f t="shared" si="377"/>
        <v>0</v>
      </c>
      <c r="U613" s="357"/>
      <c r="V613" s="358"/>
      <c r="W613" s="144"/>
    </row>
    <row r="614" spans="1:23" ht="15" hidden="1" customHeight="1" outlineLevel="1">
      <c r="A614" s="353"/>
      <c r="B614" s="359">
        <f t="shared" si="370"/>
        <v>30.060000000000009</v>
      </c>
      <c r="C614" s="360" t="s">
        <v>828</v>
      </c>
      <c r="D614" s="360" t="s">
        <v>782</v>
      </c>
      <c r="E614" s="360" t="s">
        <v>829</v>
      </c>
      <c r="F614" s="347" t="str">
        <f t="shared" si="378"/>
        <v>240V 1Ø Acom.</v>
      </c>
      <c r="G614" s="361" t="str" cm="1">
        <f t="array" ref="G614">_xlfn.SWITCH(I614,"13mm",(IF(H614="Rectangular",VLOOKUP(I614,[1]MATERIALES!$C$124:$D$125,2,FALSE),IF(H614="Octagonal",VLOOKUP(I614,[1]MATERIALES!$C$126:$D$127,2,FALSE),IF(H614="WP",VLOOKUP(I614,[1]MATERIALES!$C$128:$D$129,2,FALSE),IF(H614="5x5",VLOOKUP(I614,[1]MATERIALES!$C$130:$D$132,2,FALSE)))))),"19mm",(IF(H614="Rectangular",VLOOKUP(I614,[1]MATERIALES!$C$124:$D$125,2,FALSE),IF(H614="Octagonal",VLOOKUP(I614,[1]MATERIALES!$C$126:$D$127,2,FALSE),IF(H614="WP",VLOOKUP(I614,[1]MATERIALES!$C$128:$D$129,2,FALSE),IF(H614="5x5",VLOOKUP(I614,[1]MATERIALES!$C$130:$D$132,2,FALSE)))))),"25mm",IF(H614="Rectangular","-",IF(H614="Octagonal","-",IF(H614="WP","-",IF(H614="5x5",VLOOKUP(I614,[1]MATERIALES!$C$130:$D$132,2,FALSE),0)))),"38mm","-","50mm","-","75mm","-","100mm","-")</f>
        <v>-</v>
      </c>
      <c r="H614" s="369" t="s">
        <v>194</v>
      </c>
      <c r="I614" s="366" t="str">
        <f>I609</f>
        <v>25mm</v>
      </c>
      <c r="J614" s="316"/>
      <c r="K614" s="345" t="str">
        <f t="shared" si="379"/>
        <v>Unid.</v>
      </c>
      <c r="L614" s="28">
        <v>0</v>
      </c>
      <c r="M614" s="248">
        <f>IFERROR(VLOOKUP(G614,[1]MATERIALES!$D$5:$I$1368,2,FALSE),0)</f>
        <v>0</v>
      </c>
      <c r="N614" s="367">
        <f t="shared" si="371"/>
        <v>0</v>
      </c>
      <c r="O614" s="140">
        <f t="shared" si="372"/>
        <v>0</v>
      </c>
      <c r="P614" s="367">
        <f t="shared" si="373"/>
        <v>0</v>
      </c>
      <c r="Q614" s="140">
        <f t="shared" si="374"/>
        <v>0</v>
      </c>
      <c r="R614" s="368">
        <f t="shared" si="375"/>
        <v>0</v>
      </c>
      <c r="S614" s="140">
        <f t="shared" si="376"/>
        <v>0</v>
      </c>
      <c r="T614" s="139">
        <f t="shared" si="377"/>
        <v>0</v>
      </c>
      <c r="U614" s="357"/>
      <c r="V614" s="358"/>
      <c r="W614" s="144"/>
    </row>
    <row r="615" spans="1:23" ht="15" hidden="1" customHeight="1" outlineLevel="1">
      <c r="A615" s="353"/>
      <c r="B615" s="359">
        <f t="shared" si="370"/>
        <v>30.070000000000011</v>
      </c>
      <c r="C615" s="360" t="s">
        <v>828</v>
      </c>
      <c r="D615" s="360" t="s">
        <v>782</v>
      </c>
      <c r="E615" s="360" t="s">
        <v>829</v>
      </c>
      <c r="F615" s="347" t="str">
        <f t="shared" si="378"/>
        <v>240V 1Ø Acom.</v>
      </c>
      <c r="G615" s="370" t="str">
        <f>IF(G614="-","-",IF(H615="Rectangular",[1]MATERIALES!$D$133,IF(H614="Octagonal",[1]MATERIALES!$D$134,IF(H614="WP",[1]MATERIALES!$D$135,IF(H614="5x5",[1]MATERIALES!$D$136,0)))))</f>
        <v>-</v>
      </c>
      <c r="H615" s="369" t="str">
        <f>H614</f>
        <v>Octagonal</v>
      </c>
      <c r="I615" s="366" t="str">
        <f>I609</f>
        <v>25mm</v>
      </c>
      <c r="J615" s="316"/>
      <c r="K615" s="345" t="str">
        <f t="shared" si="379"/>
        <v>Unid.</v>
      </c>
      <c r="L615" s="28">
        <v>0</v>
      </c>
      <c r="M615" s="248">
        <f>IFERROR(VLOOKUP(G615,[1]MATERIALES!$D$5:$I$1368,2,FALSE),0)</f>
        <v>0</v>
      </c>
      <c r="N615" s="367">
        <f t="shared" si="371"/>
        <v>0</v>
      </c>
      <c r="O615" s="140">
        <f t="shared" si="372"/>
        <v>0</v>
      </c>
      <c r="P615" s="367">
        <f t="shared" si="373"/>
        <v>0</v>
      </c>
      <c r="Q615" s="140">
        <f t="shared" si="374"/>
        <v>0</v>
      </c>
      <c r="R615" s="368">
        <f t="shared" si="375"/>
        <v>0</v>
      </c>
      <c r="S615" s="140">
        <f t="shared" si="376"/>
        <v>0</v>
      </c>
      <c r="T615" s="139">
        <f t="shared" si="377"/>
        <v>0</v>
      </c>
      <c r="U615" s="357"/>
      <c r="V615" s="358"/>
      <c r="W615" s="144"/>
    </row>
    <row r="616" spans="1:23" ht="15" hidden="1" customHeight="1" outlineLevel="1">
      <c r="A616" s="353"/>
      <c r="B616" s="359">
        <f t="shared" si="370"/>
        <v>30.080000000000013</v>
      </c>
      <c r="C616" s="360" t="s">
        <v>828</v>
      </c>
      <c r="D616" s="360" t="s">
        <v>782</v>
      </c>
      <c r="E616" s="360" t="s">
        <v>829</v>
      </c>
      <c r="F616" s="347" t="str">
        <f t="shared" si="378"/>
        <v>240V 1Ø Acom.</v>
      </c>
      <c r="G616" s="361" t="str" cm="1">
        <f t="array" ref="G616">_xlfn.SWITCH(I616,"13mm",(IF(H616="Rectangular",VLOOKUP(I616,[1]MATERIALES!$C$124:$D$125,2,FALSE),IF(H616="Octagonal",VLOOKUP(I616,[1]MATERIALES!$C$126:$D$127,2,FALSE),IF(H616="WP",VLOOKUP(I616,[1]MATERIALES!$C$128:$D$129,2,FALSE),IF(H616="5x5",VLOOKUP(I616,[1]MATERIALES!$C$130:$D$132,2,FALSE)))))),"19mm",(IF(H616="Rectangular",VLOOKUP(I616,[1]MATERIALES!$C$124:$D$125,2,FALSE),IF(H616="Octagonal",VLOOKUP(I616,[1]MATERIALES!$C$126:$D$127,2,FALSE),IF(H616="WP",VLOOKUP(I616,[1]MATERIALES!$C$128:$D$129,2,FALSE),IF(H616="5x5",VLOOKUP(I616,[1]MATERIALES!$C$130:$D$132,2,FALSE)))))),"25mm",IF(H616="Rectangular","-",IF(H616="Octagonal","--",IF(H616="WP","---",IF(H616="5x5",VLOOKUP(I616,[1]MATERIALES!$C$130:$D$132,2,FALSE),0)))),"38mm","-","50mm","-","75mm","-","100mm","-")</f>
        <v>-</v>
      </c>
      <c r="H616" s="369" t="s">
        <v>188</v>
      </c>
      <c r="I616" s="366" t="str">
        <f>I611</f>
        <v>25mm</v>
      </c>
      <c r="J616" s="316"/>
      <c r="K616" s="345" t="str">
        <f t="shared" si="379"/>
        <v>Unid.</v>
      </c>
      <c r="L616" s="28">
        <v>0</v>
      </c>
      <c r="M616" s="248">
        <f>IFERROR(VLOOKUP(G616,[1]MATERIALES!$D$5:$I$1368,2,FALSE),0)</f>
        <v>0</v>
      </c>
      <c r="N616" s="367">
        <f t="shared" si="371"/>
        <v>0</v>
      </c>
      <c r="O616" s="140">
        <f t="shared" si="372"/>
        <v>0</v>
      </c>
      <c r="P616" s="367">
        <f t="shared" si="373"/>
        <v>0</v>
      </c>
      <c r="Q616" s="140">
        <f t="shared" si="374"/>
        <v>0</v>
      </c>
      <c r="R616" s="368">
        <f t="shared" si="375"/>
        <v>0</v>
      </c>
      <c r="S616" s="140">
        <f t="shared" si="376"/>
        <v>0</v>
      </c>
      <c r="T616" s="139">
        <f t="shared" si="377"/>
        <v>0</v>
      </c>
      <c r="U616" s="357"/>
      <c r="V616" s="358"/>
      <c r="W616" s="144"/>
    </row>
    <row r="617" spans="1:23" ht="15" hidden="1" customHeight="1" outlineLevel="1">
      <c r="A617" s="353"/>
      <c r="B617" s="359">
        <f t="shared" si="370"/>
        <v>30.090000000000014</v>
      </c>
      <c r="C617" s="360" t="s">
        <v>828</v>
      </c>
      <c r="D617" s="360" t="s">
        <v>782</v>
      </c>
      <c r="E617" s="360" t="s">
        <v>829</v>
      </c>
      <c r="F617" s="347" t="str">
        <f t="shared" si="378"/>
        <v>240V 1Ø Acom.</v>
      </c>
      <c r="G617" s="370" t="str">
        <f>IF(G616="-","-",IF(H617="Rectangular",[1]MATERIALES!$D$133,IF(H616="Octagonal",[1]MATERIALES!$D$134,IF(H616="WP",[1]MATERIALES!#REF!,IF(H616="5x5",[1]MATERIALES!$D$136,0)))))</f>
        <v>-</v>
      </c>
      <c r="H617" s="369" t="str">
        <f>H616</f>
        <v>Rectangular</v>
      </c>
      <c r="I617" s="366" t="str">
        <f>I611</f>
        <v>25mm</v>
      </c>
      <c r="J617" s="316"/>
      <c r="K617" s="345" t="str">
        <f t="shared" si="379"/>
        <v>Unid.</v>
      </c>
      <c r="L617" s="28">
        <f>L616</f>
        <v>0</v>
      </c>
      <c r="M617" s="248">
        <f>IFERROR(VLOOKUP(G617,[1]MATERIALES!$D$5:$I$1368,2,FALSE),0)</f>
        <v>0</v>
      </c>
      <c r="N617" s="367">
        <f t="shared" si="371"/>
        <v>0</v>
      </c>
      <c r="O617" s="140">
        <f t="shared" si="372"/>
        <v>0</v>
      </c>
      <c r="P617" s="367">
        <f t="shared" si="373"/>
        <v>0</v>
      </c>
      <c r="Q617" s="140">
        <f t="shared" si="374"/>
        <v>0</v>
      </c>
      <c r="R617" s="368">
        <f t="shared" si="375"/>
        <v>0</v>
      </c>
      <c r="S617" s="140">
        <f t="shared" si="376"/>
        <v>0</v>
      </c>
      <c r="T617" s="139">
        <f t="shared" si="377"/>
        <v>0</v>
      </c>
      <c r="U617" s="357"/>
      <c r="V617" s="358"/>
      <c r="W617" s="144"/>
    </row>
    <row r="618" spans="1:23" ht="15" hidden="1" customHeight="1" outlineLevel="1">
      <c r="A618" s="353"/>
      <c r="B618" s="359">
        <f t="shared" si="370"/>
        <v>30.100000000000016</v>
      </c>
      <c r="C618" s="360" t="s">
        <v>828</v>
      </c>
      <c r="D618" s="360" t="s">
        <v>782</v>
      </c>
      <c r="E618" s="360" t="s">
        <v>829</v>
      </c>
      <c r="F618" s="347" t="str">
        <f t="shared" si="378"/>
        <v>240V 1Ø Acom.</v>
      </c>
      <c r="G618" s="371" t="str">
        <f>"Fase A"&amp;": "&amp;I618</f>
        <v>Fase A: Conductor 8 AWG THHN</v>
      </c>
      <c r="H618" s="366" t="s">
        <v>181</v>
      </c>
      <c r="I618" s="366" t="s">
        <v>200</v>
      </c>
      <c r="J618" s="366">
        <f>J609</f>
        <v>3.83</v>
      </c>
      <c r="K618" s="345" t="str">
        <f t="shared" si="379"/>
        <v>Pies</v>
      </c>
      <c r="L618" s="28">
        <f>ROUNDUP(J618*3.28,0)</f>
        <v>13</v>
      </c>
      <c r="M618" s="140" t="str">
        <f>VLOOKUP(I618,[1]MATERIALES!$D$5:$I$1368,2,FALSE)</f>
        <v xml:space="preserve">Suplidores electricos </v>
      </c>
      <c r="N618" s="367" t="e">
        <f t="shared" si="371"/>
        <v>#VALUE!</v>
      </c>
      <c r="O618" s="140" t="e">
        <f t="shared" si="372"/>
        <v>#VALUE!</v>
      </c>
      <c r="P618" s="367" t="e">
        <f t="shared" si="373"/>
        <v>#VALUE!</v>
      </c>
      <c r="Q618" s="140" t="e">
        <f t="shared" si="374"/>
        <v>#VALUE!</v>
      </c>
      <c r="R618" s="368" t="e">
        <f t="shared" si="375"/>
        <v>#VALUE!</v>
      </c>
      <c r="S618" s="140">
        <f t="shared" si="376"/>
        <v>0</v>
      </c>
      <c r="T618" s="139">
        <f t="shared" si="377"/>
        <v>0</v>
      </c>
      <c r="U618" s="357"/>
      <c r="V618" s="358"/>
      <c r="W618" s="144"/>
    </row>
    <row r="619" spans="1:23" ht="15" hidden="1" customHeight="1" outlineLevel="1">
      <c r="A619" s="353"/>
      <c r="B619" s="359">
        <f t="shared" si="370"/>
        <v>30.110000000000017</v>
      </c>
      <c r="C619" s="360" t="s">
        <v>828</v>
      </c>
      <c r="D619" s="360" t="s">
        <v>782</v>
      </c>
      <c r="E619" s="360" t="s">
        <v>829</v>
      </c>
      <c r="F619" s="347" t="str">
        <f t="shared" si="378"/>
        <v>240V 1Ø Acom.</v>
      </c>
      <c r="G619" s="371" t="str">
        <f>IF(F619="120V 1Ø","-",("Fase B"&amp;": "&amp;I619))</f>
        <v>Fase B: Conductor 8 AWG THHN</v>
      </c>
      <c r="H619" s="366" t="str">
        <f>H618</f>
        <v>Conductores Americanos</v>
      </c>
      <c r="I619" s="366" t="str">
        <f>I618</f>
        <v>Conductor 8 AWG THHN</v>
      </c>
      <c r="J619" s="366">
        <f>IF(G619="-",0,J609)</f>
        <v>3.83</v>
      </c>
      <c r="K619" s="345" t="str">
        <f t="shared" si="379"/>
        <v>Pies</v>
      </c>
      <c r="L619" s="28">
        <f>ROUNDUP(J619*3.28,0)</f>
        <v>13</v>
      </c>
      <c r="M619" s="140" t="str">
        <f>VLOOKUP(I619,[1]MATERIALES!$D$5:$I$1368,2,FALSE)</f>
        <v xml:space="preserve">Suplidores electricos </v>
      </c>
      <c r="N619" s="367" t="e">
        <f t="shared" si="371"/>
        <v>#VALUE!</v>
      </c>
      <c r="O619" s="140" t="e">
        <f t="shared" si="372"/>
        <v>#VALUE!</v>
      </c>
      <c r="P619" s="367" t="e">
        <f t="shared" si="373"/>
        <v>#VALUE!</v>
      </c>
      <c r="Q619" s="140" t="e">
        <f t="shared" si="374"/>
        <v>#VALUE!</v>
      </c>
      <c r="R619" s="368" t="e">
        <f t="shared" si="375"/>
        <v>#VALUE!</v>
      </c>
      <c r="S619" s="140">
        <f t="shared" si="376"/>
        <v>0</v>
      </c>
      <c r="T619" s="139">
        <f t="shared" si="377"/>
        <v>0</v>
      </c>
      <c r="U619" s="357"/>
      <c r="V619" s="358"/>
      <c r="W619" s="144"/>
    </row>
    <row r="620" spans="1:23" ht="15" hidden="1" customHeight="1" outlineLevel="1">
      <c r="A620" s="353"/>
      <c r="B620" s="359">
        <f t="shared" si="370"/>
        <v>30.120000000000019</v>
      </c>
      <c r="C620" s="360" t="s">
        <v>828</v>
      </c>
      <c r="D620" s="360" t="s">
        <v>782</v>
      </c>
      <c r="E620" s="360" t="s">
        <v>829</v>
      </c>
      <c r="F620" s="347" t="str">
        <f t="shared" si="378"/>
        <v>240V 1Ø Acom.</v>
      </c>
      <c r="G620" s="371" t="str">
        <f>IF(F620="120V 1Ø","-",IF(F620="240V 1Ø","-",IF(F620="240V 1Ø Acom.","-",("Fase C"&amp;": "&amp;I620))))</f>
        <v>-</v>
      </c>
      <c r="H620" s="366" t="str">
        <f>H619</f>
        <v>Conductores Americanos</v>
      </c>
      <c r="I620" s="366" t="str">
        <f>I619</f>
        <v>Conductor 8 AWG THHN</v>
      </c>
      <c r="J620" s="366">
        <f>IF(G620="-",0,J609)</f>
        <v>0</v>
      </c>
      <c r="K620" s="345" t="str">
        <f t="shared" si="379"/>
        <v>Pies</v>
      </c>
      <c r="L620" s="28">
        <f>ROUNDUP(J620*3.28,0)</f>
        <v>0</v>
      </c>
      <c r="M620" s="140" t="str">
        <f>VLOOKUP(I620,[1]MATERIALES!$D$5:$I$1368,2,FALSE)</f>
        <v xml:space="preserve">Suplidores electricos </v>
      </c>
      <c r="N620" s="367" t="e">
        <f t="shared" si="371"/>
        <v>#VALUE!</v>
      </c>
      <c r="O620" s="140" t="e">
        <f t="shared" si="372"/>
        <v>#VALUE!</v>
      </c>
      <c r="P620" s="367" t="e">
        <f t="shared" si="373"/>
        <v>#VALUE!</v>
      </c>
      <c r="Q620" s="140" t="e">
        <f t="shared" si="374"/>
        <v>#VALUE!</v>
      </c>
      <c r="R620" s="368" t="e">
        <f t="shared" si="375"/>
        <v>#VALUE!</v>
      </c>
      <c r="S620" s="140">
        <f t="shared" si="376"/>
        <v>0</v>
      </c>
      <c r="T620" s="139">
        <f t="shared" si="377"/>
        <v>0</v>
      </c>
      <c r="U620" s="357"/>
      <c r="V620" s="358"/>
      <c r="W620" s="144"/>
    </row>
    <row r="621" spans="1:23" ht="15" hidden="1" customHeight="1" outlineLevel="1">
      <c r="A621" s="353"/>
      <c r="B621" s="359">
        <f t="shared" si="370"/>
        <v>30.13000000000002</v>
      </c>
      <c r="C621" s="360" t="s">
        <v>828</v>
      </c>
      <c r="D621" s="360" t="s">
        <v>782</v>
      </c>
      <c r="E621" s="360" t="s">
        <v>829</v>
      </c>
      <c r="F621" s="347" t="str">
        <f t="shared" si="378"/>
        <v>240V 1Ø Acom.</v>
      </c>
      <c r="G621" s="372" t="str">
        <f>IF(F621="240V 1Ø","-",IF(F621="480V 3Ø","-",("Neutro"&amp;": "&amp;I621)))</f>
        <v>Neutro: Conductor 8 AWG THHN</v>
      </c>
      <c r="H621" s="366" t="str">
        <f>H620</f>
        <v>Conductores Americanos</v>
      </c>
      <c r="I621" s="366" t="s">
        <v>200</v>
      </c>
      <c r="J621" s="366">
        <f>IF(G621="-",0,J609)</f>
        <v>3.83</v>
      </c>
      <c r="K621" s="345" t="str">
        <f t="shared" si="379"/>
        <v>Pies</v>
      </c>
      <c r="L621" s="28">
        <f>ROUNDUP(J621*3.28,0)</f>
        <v>13</v>
      </c>
      <c r="M621" s="140" t="str">
        <f>VLOOKUP(I621,[1]MATERIALES!$D$5:$I$1368,2,FALSE)</f>
        <v xml:space="preserve">Suplidores electricos </v>
      </c>
      <c r="N621" s="367" t="e">
        <f t="shared" si="371"/>
        <v>#VALUE!</v>
      </c>
      <c r="O621" s="140" t="e">
        <f t="shared" si="372"/>
        <v>#VALUE!</v>
      </c>
      <c r="P621" s="367" t="e">
        <f t="shared" si="373"/>
        <v>#VALUE!</v>
      </c>
      <c r="Q621" s="140" t="e">
        <f t="shared" si="374"/>
        <v>#VALUE!</v>
      </c>
      <c r="R621" s="368" t="e">
        <f t="shared" si="375"/>
        <v>#VALUE!</v>
      </c>
      <c r="S621" s="140">
        <f t="shared" si="376"/>
        <v>0</v>
      </c>
      <c r="T621" s="139">
        <f t="shared" si="377"/>
        <v>0</v>
      </c>
      <c r="U621" s="357"/>
      <c r="V621" s="358"/>
      <c r="W621" s="144"/>
    </row>
    <row r="622" spans="1:23" ht="15" hidden="1" customHeight="1" outlineLevel="1">
      <c r="A622" s="353"/>
      <c r="B622" s="359">
        <f t="shared" si="370"/>
        <v>30.140000000000022</v>
      </c>
      <c r="C622" s="360" t="s">
        <v>828</v>
      </c>
      <c r="D622" s="360" t="s">
        <v>782</v>
      </c>
      <c r="E622" s="360" t="s">
        <v>829</v>
      </c>
      <c r="F622" s="347" t="str">
        <f t="shared" si="378"/>
        <v>240V 1Ø Acom.</v>
      </c>
      <c r="G622" s="372" t="str">
        <f>"Tierra"&amp;": "&amp;I622</f>
        <v>Tierra: Conductor 10 AWG THHN</v>
      </c>
      <c r="H622" s="366" t="str">
        <f>H621</f>
        <v>Conductores Americanos</v>
      </c>
      <c r="I622" s="366" t="s">
        <v>153</v>
      </c>
      <c r="J622" s="366">
        <f>J609</f>
        <v>3.83</v>
      </c>
      <c r="K622" s="345" t="str">
        <f t="shared" si="379"/>
        <v>Pies</v>
      </c>
      <c r="L622" s="28">
        <f>ROUNDUP(J622*3.28,0)</f>
        <v>13</v>
      </c>
      <c r="M622" s="140" t="str">
        <f>VLOOKUP(I622,[1]MATERIALES!$D$5:$I$1368,2,FALSE)</f>
        <v xml:space="preserve">Suplidores electricos </v>
      </c>
      <c r="N622" s="367" t="e">
        <f t="shared" si="371"/>
        <v>#VALUE!</v>
      </c>
      <c r="O622" s="140" t="e">
        <f t="shared" si="372"/>
        <v>#VALUE!</v>
      </c>
      <c r="P622" s="367" t="e">
        <f t="shared" si="373"/>
        <v>#VALUE!</v>
      </c>
      <c r="Q622" s="140" t="e">
        <f t="shared" si="374"/>
        <v>#VALUE!</v>
      </c>
      <c r="R622" s="368" t="e">
        <f t="shared" si="375"/>
        <v>#VALUE!</v>
      </c>
      <c r="S622" s="140">
        <f t="shared" si="376"/>
        <v>0</v>
      </c>
      <c r="T622" s="139">
        <f t="shared" si="377"/>
        <v>0</v>
      </c>
      <c r="U622" s="357"/>
      <c r="V622" s="358"/>
      <c r="W622" s="144"/>
    </row>
    <row r="623" spans="1:23" ht="15" hidden="1" customHeight="1" outlineLevel="1">
      <c r="A623" s="353"/>
      <c r="B623" s="359">
        <f t="shared" si="370"/>
        <v>30.150000000000023</v>
      </c>
      <c r="C623" s="360" t="s">
        <v>828</v>
      </c>
      <c r="D623" s="360" t="s">
        <v>782</v>
      </c>
      <c r="E623" s="360" t="s">
        <v>829</v>
      </c>
      <c r="F623" s="347" t="str">
        <f t="shared" si="378"/>
        <v>240V 1Ø Acom.</v>
      </c>
      <c r="G623" s="371" t="s">
        <v>422</v>
      </c>
      <c r="H623" s="316"/>
      <c r="I623" s="316"/>
      <c r="J623" s="316"/>
      <c r="K623" s="345" t="str">
        <f t="shared" si="379"/>
        <v>Unid.</v>
      </c>
      <c r="L623" s="345">
        <f>3*(L614)</f>
        <v>0</v>
      </c>
      <c r="M623" s="248">
        <f>IFERROR(VLOOKUP(G623,[1]MATERIALES!$D$5:$I$1368,2,FALSE),0)</f>
        <v>0</v>
      </c>
      <c r="N623" s="367">
        <f t="shared" si="371"/>
        <v>0</v>
      </c>
      <c r="O623" s="140">
        <f t="shared" si="372"/>
        <v>0</v>
      </c>
      <c r="P623" s="367">
        <f t="shared" si="373"/>
        <v>0</v>
      </c>
      <c r="Q623" s="140">
        <f t="shared" si="374"/>
        <v>0</v>
      </c>
      <c r="R623" s="368">
        <f t="shared" si="375"/>
        <v>0</v>
      </c>
      <c r="S623" s="140">
        <f t="shared" si="376"/>
        <v>0</v>
      </c>
      <c r="T623" s="139">
        <f t="shared" si="377"/>
        <v>0</v>
      </c>
      <c r="U623" s="357"/>
      <c r="V623" s="358"/>
      <c r="W623" s="144"/>
    </row>
    <row r="624" spans="1:23" ht="15" hidden="1" customHeight="1" outlineLevel="1">
      <c r="A624" s="353"/>
      <c r="B624" s="359">
        <f t="shared" si="370"/>
        <v>30.160000000000025</v>
      </c>
      <c r="C624" s="360" t="s">
        <v>828</v>
      </c>
      <c r="D624" s="360" t="s">
        <v>782</v>
      </c>
      <c r="E624" s="360" t="s">
        <v>829</v>
      </c>
      <c r="F624" s="347" t="str">
        <f t="shared" si="378"/>
        <v>240V 1Ø Acom.</v>
      </c>
      <c r="G624" s="374" t="s">
        <v>424</v>
      </c>
      <c r="H624" s="316"/>
      <c r="I624" s="316"/>
      <c r="J624" s="316"/>
      <c r="K624" s="345" t="s">
        <v>784</v>
      </c>
      <c r="L624" s="28">
        <f>ROUNDUP(L613+L614+L616,0)</f>
        <v>4</v>
      </c>
      <c r="M624" s="248">
        <f>IFERROR(VLOOKUP(G624,[1]MATERIALES!$D$5:$I$1368,2,FALSE),0)</f>
        <v>0</v>
      </c>
      <c r="N624" s="367">
        <f>M624/$N$2</f>
        <v>0</v>
      </c>
      <c r="O624" s="140">
        <f t="shared" si="372"/>
        <v>0</v>
      </c>
      <c r="P624" s="367">
        <f t="shared" si="373"/>
        <v>0</v>
      </c>
      <c r="Q624" s="140">
        <f>+$O624+($O624*$R$2)</f>
        <v>0</v>
      </c>
      <c r="R624" s="368">
        <f>+$P624+($P624*$R$2)</f>
        <v>0</v>
      </c>
      <c r="S624" s="140">
        <f t="shared" si="376"/>
        <v>0</v>
      </c>
      <c r="T624" s="139">
        <f t="shared" si="377"/>
        <v>0</v>
      </c>
      <c r="U624" s="357" t="e">
        <f>SUM(R624:R625)</f>
        <v>#VALUE!</v>
      </c>
      <c r="V624" s="358" t="e">
        <f>'[1]1. OFERTA'!#REF!</f>
        <v>#REF!</v>
      </c>
      <c r="W624" s="144" t="e">
        <f>U624-V624</f>
        <v>#VALUE!</v>
      </c>
    </row>
    <row r="625" spans="1:24" ht="16.5" hidden="1" customHeight="1" outlineLevel="1">
      <c r="A625" s="353"/>
      <c r="B625" s="359">
        <f t="shared" si="370"/>
        <v>30.170000000000027</v>
      </c>
      <c r="C625" s="360" t="s">
        <v>828</v>
      </c>
      <c r="D625" s="360" t="s">
        <v>782</v>
      </c>
      <c r="E625" s="360" t="s">
        <v>829</v>
      </c>
      <c r="F625" s="347" t="str">
        <f t="shared" si="378"/>
        <v>240V 1Ø Acom.</v>
      </c>
      <c r="G625" s="374" t="s">
        <v>168</v>
      </c>
      <c r="H625" s="316"/>
      <c r="I625" s="316"/>
      <c r="J625" s="316"/>
      <c r="K625" s="345" t="s">
        <v>784</v>
      </c>
      <c r="L625" s="28">
        <f>L624</f>
        <v>4</v>
      </c>
      <c r="M625" s="248" t="str">
        <f>IFERROR(VLOOKUP(G625,[1]MATERIALES!$D$5:$I$1368,2,FALSE),0)</f>
        <v xml:space="preserve">Marba Dominicana </v>
      </c>
      <c r="N625" s="367" t="e">
        <f>M625/$N$2</f>
        <v>#VALUE!</v>
      </c>
      <c r="O625" s="140" t="e">
        <f t="shared" si="372"/>
        <v>#VALUE!</v>
      </c>
      <c r="P625" s="367" t="e">
        <f t="shared" si="373"/>
        <v>#VALUE!</v>
      </c>
      <c r="Q625" s="140" t="e">
        <f>+$O625+($O625*$R$2)</f>
        <v>#VALUE!</v>
      </c>
      <c r="R625" s="368" t="e">
        <f>+$P625+($P625*$R$2)</f>
        <v>#VALUE!</v>
      </c>
      <c r="S625" s="140">
        <f t="shared" si="376"/>
        <v>0</v>
      </c>
      <c r="T625" s="139">
        <f t="shared" si="377"/>
        <v>0</v>
      </c>
      <c r="U625" s="357"/>
      <c r="V625" s="358"/>
      <c r="W625" s="144"/>
    </row>
    <row r="626" spans="1:24" ht="16" collapsed="1" thickBot="1">
      <c r="B626" s="354">
        <v>31</v>
      </c>
      <c r="C626" s="355" t="s">
        <v>831</v>
      </c>
      <c r="D626" s="269" t="s">
        <v>1</v>
      </c>
      <c r="E626" s="269" t="s">
        <v>1</v>
      </c>
      <c r="F626" s="270" t="s">
        <v>809</v>
      </c>
      <c r="G626" s="271"/>
      <c r="H626" s="272"/>
      <c r="I626" s="272"/>
      <c r="J626" s="272"/>
      <c r="K626" s="268"/>
      <c r="L626" s="268"/>
      <c r="M626" s="273"/>
      <c r="N626" s="274"/>
      <c r="O626" s="273"/>
      <c r="P626" s="274"/>
      <c r="Q626" s="273"/>
      <c r="R626" s="275"/>
      <c r="S626" s="273"/>
      <c r="T626" s="276"/>
      <c r="U626" s="357" t="e">
        <f>SUM(R627:R643)</f>
        <v>#VALUE!</v>
      </c>
      <c r="V626" s="358" t="e">
        <f>'[1]1. OFERTA'!#REF!</f>
        <v>#REF!</v>
      </c>
      <c r="W626" s="144" t="e">
        <f>U626-V626</f>
        <v>#VALUE!</v>
      </c>
      <c r="X626" s="349"/>
    </row>
    <row r="627" spans="1:24" ht="17" hidden="1" outlineLevel="1" thickBot="1">
      <c r="B627" s="359">
        <f t="shared" si="370"/>
        <v>31.01</v>
      </c>
      <c r="C627" s="360" t="str">
        <f>$C$626</f>
        <v>ACOMETIDA PA</v>
      </c>
      <c r="D627" s="360" t="str">
        <f>$D$626</f>
        <v>-</v>
      </c>
      <c r="E627" s="360" t="str">
        <f>$E$626</f>
        <v>-</v>
      </c>
      <c r="F627" s="347" t="s">
        <v>830</v>
      </c>
      <c r="G627" s="361" t="str">
        <f>IF(H627="PVC",VLOOKUP(I627,[1]MATERIALES!$C$5:$D$11,2,FALSE),IF(H627="EMT",VLOOKUP(I627,[1]MATERIALES!$C$40:$D$46,2,FALSE),IF(H627="IMC",VLOOKUP(I627,[1]MATERIALES!$C$82:$D$88,2,FALSE),IF(H627="LFNC",VLOOKUP(I627,[1]MATERIALES!$C$110:$D$116,2,FALSE),0))))</f>
        <v>Tubería PVC SDR-26 2"</v>
      </c>
      <c r="H627" s="362" t="s">
        <v>184</v>
      </c>
      <c r="I627" s="362" t="s">
        <v>196</v>
      </c>
      <c r="J627" s="362">
        <v>25.82</v>
      </c>
      <c r="K627" s="134" t="str">
        <f>IF(OR(H627="Conductores Americanos",H627="Conductores Europeos"),"Pies","Unid.")</f>
        <v>Unid.</v>
      </c>
      <c r="L627" s="363">
        <f>IF(H627="PVC",ROUNDUP(J627/6,0),IF(H627="EMT",ROUNDUP(J627/3,0),IF(H627="IMC",ROUNDUP(J627/3,0),IF(H627="LFNC",ROUNDUP(3.28*J627,0),0))))</f>
        <v>5</v>
      </c>
      <c r="M627" s="248" t="str">
        <f>IFERROR(VLOOKUP(G627,[1]MATERIALES!$D$5:$I$1368,2,FALSE),0)</f>
        <v xml:space="preserve">Suplidores electricos </v>
      </c>
      <c r="N627" s="364" t="e">
        <f t="shared" ref="N627:N641" si="380">M627/$N$2</f>
        <v>#VALUE!</v>
      </c>
      <c r="O627" s="248" t="e">
        <f t="shared" ref="O627:O643" si="381">+L627*M627</f>
        <v>#VALUE!</v>
      </c>
      <c r="P627" s="364" t="e">
        <f t="shared" ref="P627:P643" si="382">L627*N627</f>
        <v>#VALUE!</v>
      </c>
      <c r="Q627" s="248" t="e">
        <f t="shared" ref="Q627:Q641" si="383">+$O627+($O627*$R$2)</f>
        <v>#VALUE!</v>
      </c>
      <c r="R627" s="365" t="e">
        <f t="shared" ref="R627:R641" si="384">+$P627+($P627*$R$2)</f>
        <v>#VALUE!</v>
      </c>
      <c r="S627" s="248">
        <f t="shared" ref="S627:S643" si="385">+IFERROR(Q627/L627,0)</f>
        <v>0</v>
      </c>
      <c r="T627" s="146">
        <f t="shared" ref="T627:T643" si="386">+IFERROR(R627/L627,0)</f>
        <v>0</v>
      </c>
      <c r="U627" s="357"/>
      <c r="V627" s="358"/>
      <c r="W627" s="144"/>
      <c r="X627" s="349"/>
    </row>
    <row r="628" spans="1:24" ht="17" hidden="1" outlineLevel="1" thickBot="1">
      <c r="B628" s="359">
        <f t="shared" si="370"/>
        <v>31.020000000000003</v>
      </c>
      <c r="C628" s="360" t="str">
        <f t="shared" ref="C628:C643" si="387">$C$626</f>
        <v>ACOMETIDA PA</v>
      </c>
      <c r="D628" s="360" t="str">
        <f t="shared" ref="D628:D643" si="388">$D$626</f>
        <v>-</v>
      </c>
      <c r="E628" s="360" t="str">
        <f t="shared" ref="E628:E643" si="389">$E$626</f>
        <v>-</v>
      </c>
      <c r="F628" s="347" t="str">
        <f t="shared" ref="F628:F643" si="390">F627</f>
        <v>240V 1Ø Acom.</v>
      </c>
      <c r="G628" s="361" t="str">
        <f>IF(H628="PVC",VLOOKUP(I628,[1]MATERIALES!$C$12:$D$18,2,FALSE),IF(H628="EMT",VLOOKUP(I628,[1]MATERIALES!$C$47:$D$53,2,FALSE),IF(H628="IMC",VLOOKUP(I628,[1]MATERIALES!$C$89:$D$96,2,FALSE),"-")))</f>
        <v>Coupling PVC 2"</v>
      </c>
      <c r="H628" s="366" t="str">
        <f>H627</f>
        <v>PVC</v>
      </c>
      <c r="I628" s="366" t="str">
        <f>I627</f>
        <v>50mm</v>
      </c>
      <c r="J628" s="316"/>
      <c r="K628" s="345" t="str">
        <f t="shared" ref="K628:K641" si="391">IF(OR(H628="Conductores Americanos",H628="Conductores Europeos"),"Pies","Unid.")</f>
        <v>Unid.</v>
      </c>
      <c r="L628" s="28">
        <f>IF(H628="LFNC",0,L627)</f>
        <v>5</v>
      </c>
      <c r="M628" s="140" t="str">
        <f>IF(H628="LFNC",0,VLOOKUP(G628,[1]MATERIALES!$D$5:$I$1368,2,FALSE))</f>
        <v xml:space="preserve">Suplidores electricos </v>
      </c>
      <c r="N628" s="367" t="e">
        <f t="shared" si="380"/>
        <v>#VALUE!</v>
      </c>
      <c r="O628" s="140" t="e">
        <f t="shared" si="381"/>
        <v>#VALUE!</v>
      </c>
      <c r="P628" s="367" t="e">
        <f t="shared" si="382"/>
        <v>#VALUE!</v>
      </c>
      <c r="Q628" s="140" t="e">
        <f t="shared" si="383"/>
        <v>#VALUE!</v>
      </c>
      <c r="R628" s="368" t="e">
        <f t="shared" si="384"/>
        <v>#VALUE!</v>
      </c>
      <c r="S628" s="140">
        <f t="shared" si="385"/>
        <v>0</v>
      </c>
      <c r="T628" s="139">
        <f t="shared" si="386"/>
        <v>0</v>
      </c>
      <c r="U628" s="357"/>
      <c r="V628" s="358"/>
      <c r="W628" s="144"/>
      <c r="X628" s="349"/>
    </row>
    <row r="629" spans="1:24" ht="17" hidden="1" outlineLevel="1" thickBot="1">
      <c r="B629" s="359">
        <f t="shared" si="370"/>
        <v>31.030000000000005</v>
      </c>
      <c r="C629" s="360" t="str">
        <f t="shared" si="387"/>
        <v>ACOMETIDA PA</v>
      </c>
      <c r="D629" s="360" t="str">
        <f t="shared" si="388"/>
        <v>-</v>
      </c>
      <c r="E629" s="360" t="str">
        <f t="shared" si="389"/>
        <v>-</v>
      </c>
      <c r="F629" s="347" t="str">
        <f t="shared" si="390"/>
        <v>240V 1Ø Acom.</v>
      </c>
      <c r="G629" s="361" t="str">
        <f>IF(H629="PVC",VLOOKUP(I629,[1]MATERIALES!$C$19:$D$25,2,FALSE),IF(H629="EMT",VLOOKUP(I629,[1]MATERIALES!$C$54:$D$60,2,FALSE),IF(H629="IMC",VLOOKUP(I629,[1]MATERIALES!$C$96:$D$102,2,FALSE),IF(H629="LFNC",VLOOKUP(I629,[1]MATERIALES!$C$117:$D$123,2,FALSE),0))))</f>
        <v>Adaptador Macho PVC 2"</v>
      </c>
      <c r="H629" s="366" t="str">
        <f>H627</f>
        <v>PVC</v>
      </c>
      <c r="I629" s="366" t="str">
        <f>I627</f>
        <v>50mm</v>
      </c>
      <c r="J629" s="316"/>
      <c r="K629" s="345" t="str">
        <f t="shared" si="391"/>
        <v>Unid.</v>
      </c>
      <c r="L629" s="28">
        <f>1+L632*2+L634</f>
        <v>1</v>
      </c>
      <c r="M629" s="248" t="str">
        <f>IFERROR(VLOOKUP(G629,[1]MATERIALES!$D$5:$I$1368,2,FALSE),0)</f>
        <v xml:space="preserve">Suplidores electricos </v>
      </c>
      <c r="N629" s="367" t="e">
        <f t="shared" si="380"/>
        <v>#VALUE!</v>
      </c>
      <c r="O629" s="140" t="e">
        <f t="shared" si="381"/>
        <v>#VALUE!</v>
      </c>
      <c r="P629" s="367" t="e">
        <f t="shared" si="382"/>
        <v>#VALUE!</v>
      </c>
      <c r="Q629" s="140" t="e">
        <f t="shared" si="383"/>
        <v>#VALUE!</v>
      </c>
      <c r="R629" s="368" t="e">
        <f t="shared" si="384"/>
        <v>#VALUE!</v>
      </c>
      <c r="S629" s="140">
        <f t="shared" si="385"/>
        <v>0</v>
      </c>
      <c r="T629" s="139">
        <f t="shared" si="386"/>
        <v>0</v>
      </c>
      <c r="U629" s="357"/>
      <c r="V629" s="358"/>
      <c r="W629" s="144"/>
      <c r="X629" s="349"/>
    </row>
    <row r="630" spans="1:24" ht="17" hidden="1" outlineLevel="1" thickBot="1">
      <c r="B630" s="359">
        <f t="shared" si="370"/>
        <v>31.040000000000006</v>
      </c>
      <c r="C630" s="360" t="str">
        <f t="shared" si="387"/>
        <v>ACOMETIDA PA</v>
      </c>
      <c r="D630" s="360" t="str">
        <f t="shared" si="388"/>
        <v>-</v>
      </c>
      <c r="E630" s="360" t="str">
        <f t="shared" si="389"/>
        <v>-</v>
      </c>
      <c r="F630" s="347" t="str">
        <f t="shared" si="390"/>
        <v>240V 1Ø Acom.</v>
      </c>
      <c r="G630" s="361" t="str">
        <f>IF(H630="PVC",VLOOKUP(I630,[1]MATERIALES!$C$33:$D$39,2,FALSE),IF(H630="EMT",VLOOKUP(I630,[1]MATERIALES!$C$61:$D$67,2,FALSE),IF(H630="IMC",VLOOKUP(I630,[1]MATERIALES!$C$103:$D$109,2,FALSE),"-")))</f>
        <v>Curva 90 PVC SDR 2"</v>
      </c>
      <c r="H630" s="366" t="str">
        <f>H627</f>
        <v>PVC</v>
      </c>
      <c r="I630" s="366" t="str">
        <f>I627</f>
        <v>50mm</v>
      </c>
      <c r="J630" s="316"/>
      <c r="K630" s="345" t="str">
        <f t="shared" si="391"/>
        <v>Unid.</v>
      </c>
      <c r="L630" s="28">
        <f>IF(H630="LFNC",0,(1))</f>
        <v>1</v>
      </c>
      <c r="M630" s="140" t="str">
        <f>IF(H630="LFNC",0,VLOOKUP(G630,[1]MATERIALES!$D$5:$I$1368,2,FALSE))</f>
        <v xml:space="preserve">Suplidores electricos </v>
      </c>
      <c r="N630" s="367" t="e">
        <f t="shared" si="380"/>
        <v>#VALUE!</v>
      </c>
      <c r="O630" s="140" t="e">
        <f t="shared" si="381"/>
        <v>#VALUE!</v>
      </c>
      <c r="P630" s="367" t="e">
        <f t="shared" si="382"/>
        <v>#VALUE!</v>
      </c>
      <c r="Q630" s="140" t="e">
        <f t="shared" si="383"/>
        <v>#VALUE!</v>
      </c>
      <c r="R630" s="368" t="e">
        <f t="shared" si="384"/>
        <v>#VALUE!</v>
      </c>
      <c r="S630" s="140">
        <f t="shared" si="385"/>
        <v>0</v>
      </c>
      <c r="T630" s="139">
        <f t="shared" si="386"/>
        <v>0</v>
      </c>
      <c r="U630" s="357"/>
      <c r="V630" s="358"/>
      <c r="W630" s="144"/>
      <c r="X630" s="349"/>
    </row>
    <row r="631" spans="1:24" ht="17" hidden="1" outlineLevel="1" thickBot="1">
      <c r="B631" s="359">
        <f t="shared" si="370"/>
        <v>31.050000000000008</v>
      </c>
      <c r="C631" s="360" t="str">
        <f t="shared" si="387"/>
        <v>ACOMETIDA PA</v>
      </c>
      <c r="D631" s="360" t="str">
        <f t="shared" si="388"/>
        <v>-</v>
      </c>
      <c r="E631" s="360" t="str">
        <f t="shared" si="389"/>
        <v>-</v>
      </c>
      <c r="F631" s="347" t="str">
        <f t="shared" si="390"/>
        <v>240V 1Ø Acom.</v>
      </c>
      <c r="G631" s="361" t="str">
        <f>VLOOKUP(I631,[1]MATERIALES!$C$68:$D$74,2,FALSE)</f>
        <v>Abrazadera EMT 2'' </v>
      </c>
      <c r="H631" s="366" t="str">
        <f>H628</f>
        <v>PVC</v>
      </c>
      <c r="I631" s="366" t="str">
        <f>I627</f>
        <v>50mm</v>
      </c>
      <c r="J631" s="316"/>
      <c r="K631" s="345" t="str">
        <f t="shared" si="391"/>
        <v>Unid.</v>
      </c>
      <c r="L631" s="28">
        <f>ROUNDUP(J627,0)</f>
        <v>26</v>
      </c>
      <c r="M631" s="248" t="str">
        <f>IFERROR(VLOOKUP(G631,[1]MATERIALES!$D$5:$I$1368,2,FALSE),0)</f>
        <v xml:space="preserve">Suplidores electricos </v>
      </c>
      <c r="N631" s="367" t="e">
        <f t="shared" si="380"/>
        <v>#VALUE!</v>
      </c>
      <c r="O631" s="140" t="e">
        <f t="shared" si="381"/>
        <v>#VALUE!</v>
      </c>
      <c r="P631" s="367" t="e">
        <f t="shared" si="382"/>
        <v>#VALUE!</v>
      </c>
      <c r="Q631" s="140" t="e">
        <f t="shared" si="383"/>
        <v>#VALUE!</v>
      </c>
      <c r="R631" s="368" t="e">
        <f t="shared" si="384"/>
        <v>#VALUE!</v>
      </c>
      <c r="S631" s="140">
        <f t="shared" si="385"/>
        <v>0</v>
      </c>
      <c r="T631" s="139">
        <f t="shared" si="386"/>
        <v>0</v>
      </c>
      <c r="U631" s="357"/>
      <c r="V631" s="358"/>
      <c r="W631" s="144"/>
      <c r="X631" s="349"/>
    </row>
    <row r="632" spans="1:24" ht="17" hidden="1" outlineLevel="1" thickBot="1">
      <c r="B632" s="359">
        <f t="shared" si="370"/>
        <v>31.060000000000009</v>
      </c>
      <c r="C632" s="360" t="str">
        <f t="shared" si="387"/>
        <v>ACOMETIDA PA</v>
      </c>
      <c r="D632" s="360" t="str">
        <f t="shared" si="388"/>
        <v>-</v>
      </c>
      <c r="E632" s="360" t="str">
        <f t="shared" si="389"/>
        <v>-</v>
      </c>
      <c r="F632" s="347" t="str">
        <f t="shared" si="390"/>
        <v>240V 1Ø Acom.</v>
      </c>
      <c r="G632" s="361" t="str" cm="1">
        <f t="array" ref="G632">_xlfn.SWITCH(I632,"13mm",(IF(H632="Rectangular",VLOOKUP(I632,[1]MATERIALES!$C$124:$D$125,2,FALSE),IF(H632="Octagonal",VLOOKUP(I632,[1]MATERIALES!$C$126:$D$127,2,FALSE),IF(H632="WP",VLOOKUP(I632,[1]MATERIALES!$C$128:$D$129,2,FALSE),IF(H632="5x5",VLOOKUP(I632,[1]MATERIALES!$C$130:$D$132,2,FALSE)))))),"19mm",(IF(H632="Rectangular",VLOOKUP(I632,[1]MATERIALES!$C$124:$D$125,2,FALSE),IF(H632="Octagonal",VLOOKUP(I632,[1]MATERIALES!$C$126:$D$127,2,FALSE),IF(H632="WP",VLOOKUP(I632,[1]MATERIALES!$C$128:$D$129,2,FALSE),IF(H632="5x5",VLOOKUP(I632,[1]MATERIALES!$C$130:$D$132,2,FALSE)))))),"25mm",IF(H632="Rectangular","-",IF(H632="Octagonal","-",IF(H632="WP","-",IF(H632="5x5",VLOOKUP(I632,[1]MATERIALES!$C$130:$D$132,2,FALSE),0)))),"38mm","-","50mm","-","75mm","-","100mm","-")</f>
        <v>-</v>
      </c>
      <c r="H632" s="369" t="s">
        <v>194</v>
      </c>
      <c r="I632" s="366" t="str">
        <f>I627</f>
        <v>50mm</v>
      </c>
      <c r="J632" s="316"/>
      <c r="K632" s="345" t="str">
        <f t="shared" si="391"/>
        <v>Unid.</v>
      </c>
      <c r="L632" s="28">
        <v>0</v>
      </c>
      <c r="M632" s="248">
        <f>IFERROR(VLOOKUP(G632,[1]MATERIALES!$D$5:$I$1368,2,FALSE),0)</f>
        <v>0</v>
      </c>
      <c r="N632" s="367">
        <f t="shared" si="380"/>
        <v>0</v>
      </c>
      <c r="O632" s="140">
        <f t="shared" si="381"/>
        <v>0</v>
      </c>
      <c r="P632" s="367">
        <f t="shared" si="382"/>
        <v>0</v>
      </c>
      <c r="Q632" s="140">
        <f t="shared" si="383"/>
        <v>0</v>
      </c>
      <c r="R632" s="368">
        <f t="shared" si="384"/>
        <v>0</v>
      </c>
      <c r="S632" s="140">
        <f t="shared" si="385"/>
        <v>0</v>
      </c>
      <c r="T632" s="139">
        <f t="shared" si="386"/>
        <v>0</v>
      </c>
      <c r="U632" s="357"/>
      <c r="V632" s="358"/>
      <c r="W632" s="144"/>
      <c r="X632" s="349"/>
    </row>
    <row r="633" spans="1:24" ht="15" hidden="1" customHeight="1" outlineLevel="1" thickBot="1">
      <c r="A633" s="353"/>
      <c r="B633" s="359">
        <f t="shared" si="370"/>
        <v>31.070000000000011</v>
      </c>
      <c r="C633" s="360" t="str">
        <f t="shared" si="387"/>
        <v>ACOMETIDA PA</v>
      </c>
      <c r="D633" s="360" t="str">
        <f t="shared" si="388"/>
        <v>-</v>
      </c>
      <c r="E633" s="360" t="str">
        <f t="shared" si="389"/>
        <v>-</v>
      </c>
      <c r="F633" s="347" t="str">
        <f t="shared" si="390"/>
        <v>240V 1Ø Acom.</v>
      </c>
      <c r="G633" s="370" t="str">
        <f>IF(G632="-","-",IF(H633="Rectangular",[1]MATERIALES!$D$133,IF(H632="Octagonal",[1]MATERIALES!$D$134,IF(H632="WP",[1]MATERIALES!$D$135,IF(H632="5x5",[1]MATERIALES!$D$136,0)))))</f>
        <v>-</v>
      </c>
      <c r="H633" s="369" t="str">
        <f>H632</f>
        <v>Octagonal</v>
      </c>
      <c r="I633" s="366" t="str">
        <f>I627</f>
        <v>50mm</v>
      </c>
      <c r="J633" s="316"/>
      <c r="K633" s="345" t="str">
        <f t="shared" si="391"/>
        <v>Unid.</v>
      </c>
      <c r="L633" s="28">
        <v>0</v>
      </c>
      <c r="M633" s="248">
        <f>IFERROR(VLOOKUP(G633,[1]MATERIALES!$D$5:$I$1368,2,FALSE),0)</f>
        <v>0</v>
      </c>
      <c r="N633" s="367">
        <f t="shared" si="380"/>
        <v>0</v>
      </c>
      <c r="O633" s="140">
        <f t="shared" si="381"/>
        <v>0</v>
      </c>
      <c r="P633" s="367">
        <f t="shared" si="382"/>
        <v>0</v>
      </c>
      <c r="Q633" s="140">
        <f t="shared" si="383"/>
        <v>0</v>
      </c>
      <c r="R633" s="368">
        <f t="shared" si="384"/>
        <v>0</v>
      </c>
      <c r="S633" s="140">
        <f t="shared" si="385"/>
        <v>0</v>
      </c>
      <c r="T633" s="139">
        <f t="shared" si="386"/>
        <v>0</v>
      </c>
      <c r="U633" s="357"/>
      <c r="V633" s="358"/>
      <c r="W633" s="144"/>
    </row>
    <row r="634" spans="1:24" ht="17" hidden="1" outlineLevel="1" thickBot="1">
      <c r="B634" s="359">
        <f t="shared" si="370"/>
        <v>31.080000000000013</v>
      </c>
      <c r="C634" s="360" t="str">
        <f t="shared" si="387"/>
        <v>ACOMETIDA PA</v>
      </c>
      <c r="D634" s="360" t="str">
        <f t="shared" si="388"/>
        <v>-</v>
      </c>
      <c r="E634" s="360" t="str">
        <f t="shared" si="389"/>
        <v>-</v>
      </c>
      <c r="F634" s="347" t="str">
        <f t="shared" si="390"/>
        <v>240V 1Ø Acom.</v>
      </c>
      <c r="G634" s="361" t="str" cm="1">
        <f t="array" ref="G634">_xlfn.SWITCH(I634,"13mm",(IF(H634="Rectangular",VLOOKUP(I634,[1]MATERIALES!$C$124:$D$125,2,FALSE),IF(H634="Octagonal",VLOOKUP(I634,[1]MATERIALES!$C$126:$D$127,2,FALSE),IF(H634="WP",VLOOKUP(I634,[1]MATERIALES!$C$128:$D$129,2,FALSE),IF(H634="5x5",VLOOKUP(I634,[1]MATERIALES!$C$130:$D$132,2,FALSE)))))),"19mm",(IF(H634="Rectangular",VLOOKUP(I634,[1]MATERIALES!$C$124:$D$125,2,FALSE),IF(H634="Octagonal",VLOOKUP(I634,[1]MATERIALES!$C$126:$D$127,2,FALSE),IF(H634="WP",VLOOKUP(I634,[1]MATERIALES!$C$128:$D$129,2,FALSE),IF(H634="5x5",VLOOKUP(I634,[1]MATERIALES!$C$130:$D$132,2,FALSE)))))),"25mm",IF(H634="Rectangular","-",IF(H634="Octagonal","--",IF(H634="WP","---",IF(H634="5x5",VLOOKUP(I634,[1]MATERIALES!$C$130:$D$132,2,FALSE),0)))),"38mm","-","50mm","-","75mm","-","100mm","-")</f>
        <v>-</v>
      </c>
      <c r="H634" s="369" t="s">
        <v>188</v>
      </c>
      <c r="I634" s="366" t="str">
        <f>I629</f>
        <v>50mm</v>
      </c>
      <c r="J634" s="316"/>
      <c r="K634" s="345" t="str">
        <f t="shared" si="391"/>
        <v>Unid.</v>
      </c>
      <c r="L634" s="28">
        <v>0</v>
      </c>
      <c r="M634" s="248">
        <f>IFERROR(VLOOKUP(G634,[1]MATERIALES!$D$5:$I$1368,2,FALSE),0)</f>
        <v>0</v>
      </c>
      <c r="N634" s="367">
        <f t="shared" si="380"/>
        <v>0</v>
      </c>
      <c r="O634" s="140">
        <f t="shared" si="381"/>
        <v>0</v>
      </c>
      <c r="P634" s="367">
        <f t="shared" si="382"/>
        <v>0</v>
      </c>
      <c r="Q634" s="140">
        <f t="shared" si="383"/>
        <v>0</v>
      </c>
      <c r="R634" s="368">
        <f t="shared" si="384"/>
        <v>0</v>
      </c>
      <c r="S634" s="140">
        <f t="shared" si="385"/>
        <v>0</v>
      </c>
      <c r="T634" s="139">
        <f t="shared" si="386"/>
        <v>0</v>
      </c>
      <c r="U634" s="357"/>
      <c r="V634" s="358"/>
      <c r="W634" s="144"/>
      <c r="X634" s="349"/>
    </row>
    <row r="635" spans="1:24" ht="17" hidden="1" outlineLevel="1" thickBot="1">
      <c r="B635" s="359">
        <f t="shared" si="370"/>
        <v>31.090000000000014</v>
      </c>
      <c r="C635" s="360" t="str">
        <f t="shared" si="387"/>
        <v>ACOMETIDA PA</v>
      </c>
      <c r="D635" s="360" t="str">
        <f t="shared" si="388"/>
        <v>-</v>
      </c>
      <c r="E635" s="360" t="str">
        <f t="shared" si="389"/>
        <v>-</v>
      </c>
      <c r="F635" s="347" t="str">
        <f t="shared" si="390"/>
        <v>240V 1Ø Acom.</v>
      </c>
      <c r="G635" s="370" t="str">
        <f>IF(G634="-","-",IF(H635="Rectangular",[1]MATERIALES!$D$133,IF(H634="Octagonal",[1]MATERIALES!$D$134,IF(H634="WP",[1]MATERIALES!#REF!,IF(H634="5x5",[1]MATERIALES!$D$136,0)))))</f>
        <v>-</v>
      </c>
      <c r="H635" s="369" t="str">
        <f>H634</f>
        <v>Rectangular</v>
      </c>
      <c r="I635" s="366" t="str">
        <f>I629</f>
        <v>50mm</v>
      </c>
      <c r="J635" s="316"/>
      <c r="K635" s="345" t="str">
        <f t="shared" si="391"/>
        <v>Unid.</v>
      </c>
      <c r="L635" s="28">
        <f>L634</f>
        <v>0</v>
      </c>
      <c r="M635" s="248">
        <f>IFERROR(VLOOKUP(G635,[1]MATERIALES!$D$5:$I$1368,2,FALSE),0)</f>
        <v>0</v>
      </c>
      <c r="N635" s="367">
        <f t="shared" si="380"/>
        <v>0</v>
      </c>
      <c r="O635" s="140">
        <f t="shared" si="381"/>
        <v>0</v>
      </c>
      <c r="P635" s="367">
        <f t="shared" si="382"/>
        <v>0</v>
      </c>
      <c r="Q635" s="140">
        <f t="shared" si="383"/>
        <v>0</v>
      </c>
      <c r="R635" s="368">
        <f t="shared" si="384"/>
        <v>0</v>
      </c>
      <c r="S635" s="140">
        <f t="shared" si="385"/>
        <v>0</v>
      </c>
      <c r="T635" s="139">
        <f t="shared" si="386"/>
        <v>0</v>
      </c>
      <c r="U635" s="357"/>
      <c r="V635" s="358"/>
      <c r="W635" s="144"/>
      <c r="X635" s="349"/>
    </row>
    <row r="636" spans="1:24" ht="17" hidden="1" outlineLevel="1" thickBot="1">
      <c r="B636" s="359">
        <f t="shared" si="370"/>
        <v>31.100000000000016</v>
      </c>
      <c r="C636" s="360" t="str">
        <f t="shared" si="387"/>
        <v>ACOMETIDA PA</v>
      </c>
      <c r="D636" s="360" t="str">
        <f t="shared" si="388"/>
        <v>-</v>
      </c>
      <c r="E636" s="360" t="str">
        <f t="shared" si="389"/>
        <v>-</v>
      </c>
      <c r="F636" s="347" t="str">
        <f t="shared" si="390"/>
        <v>240V 1Ø Acom.</v>
      </c>
      <c r="G636" s="371" t="str">
        <f>"Fase A"&amp;": "&amp;I636</f>
        <v>Fase A: Conductor 1/0 AWG THHN</v>
      </c>
      <c r="H636" s="366" t="s">
        <v>181</v>
      </c>
      <c r="I636" s="366" t="s">
        <v>218</v>
      </c>
      <c r="J636" s="366">
        <f>J627</f>
        <v>25.82</v>
      </c>
      <c r="K636" s="345" t="str">
        <f t="shared" si="391"/>
        <v>Pies</v>
      </c>
      <c r="L636" s="28">
        <f>ROUNDUP(J636*3.28,0)</f>
        <v>85</v>
      </c>
      <c r="M636" s="140" t="str">
        <f>VLOOKUP(I636,[1]MATERIALES!$D$5:$I$1368,2,FALSE)</f>
        <v xml:space="preserve">Suplidores electricos </v>
      </c>
      <c r="N636" s="367" t="e">
        <f t="shared" si="380"/>
        <v>#VALUE!</v>
      </c>
      <c r="O636" s="140" t="e">
        <f t="shared" si="381"/>
        <v>#VALUE!</v>
      </c>
      <c r="P636" s="367" t="e">
        <f t="shared" si="382"/>
        <v>#VALUE!</v>
      </c>
      <c r="Q636" s="140" t="e">
        <f t="shared" si="383"/>
        <v>#VALUE!</v>
      </c>
      <c r="R636" s="368" t="e">
        <f t="shared" si="384"/>
        <v>#VALUE!</v>
      </c>
      <c r="S636" s="140">
        <f t="shared" si="385"/>
        <v>0</v>
      </c>
      <c r="T636" s="139">
        <f t="shared" si="386"/>
        <v>0</v>
      </c>
      <c r="U636" s="357"/>
      <c r="V636" s="358"/>
      <c r="W636" s="144"/>
      <c r="X636" s="349"/>
    </row>
    <row r="637" spans="1:24" ht="15" hidden="1" customHeight="1" outlineLevel="1" thickBot="1">
      <c r="A637" s="353"/>
      <c r="B637" s="359">
        <f t="shared" si="370"/>
        <v>31.110000000000017</v>
      </c>
      <c r="C637" s="360" t="str">
        <f t="shared" si="387"/>
        <v>ACOMETIDA PA</v>
      </c>
      <c r="D637" s="360" t="str">
        <f t="shared" si="388"/>
        <v>-</v>
      </c>
      <c r="E637" s="360" t="str">
        <f t="shared" si="389"/>
        <v>-</v>
      </c>
      <c r="F637" s="347" t="str">
        <f t="shared" si="390"/>
        <v>240V 1Ø Acom.</v>
      </c>
      <c r="G637" s="371" t="str">
        <f>IF(F637="120V 1Ø","-",("Fase B"&amp;": "&amp;I637))</f>
        <v>Fase B: Conductor 1/0 AWG THHN</v>
      </c>
      <c r="H637" s="366" t="str">
        <f>H636</f>
        <v>Conductores Americanos</v>
      </c>
      <c r="I637" s="366" t="str">
        <f>I636</f>
        <v>Conductor 1/0 AWG THHN</v>
      </c>
      <c r="J637" s="366">
        <f>IF(G637="-",0,J627)</f>
        <v>25.82</v>
      </c>
      <c r="K637" s="345" t="str">
        <f t="shared" si="391"/>
        <v>Pies</v>
      </c>
      <c r="L637" s="28">
        <f>ROUNDUP(J637*3.28,0)</f>
        <v>85</v>
      </c>
      <c r="M637" s="140" t="str">
        <f>VLOOKUP(I637,[1]MATERIALES!$D$5:$I$1368,2,FALSE)</f>
        <v xml:space="preserve">Suplidores electricos </v>
      </c>
      <c r="N637" s="367" t="e">
        <f t="shared" si="380"/>
        <v>#VALUE!</v>
      </c>
      <c r="O637" s="140" t="e">
        <f t="shared" si="381"/>
        <v>#VALUE!</v>
      </c>
      <c r="P637" s="367" t="e">
        <f t="shared" si="382"/>
        <v>#VALUE!</v>
      </c>
      <c r="Q637" s="140" t="e">
        <f t="shared" si="383"/>
        <v>#VALUE!</v>
      </c>
      <c r="R637" s="368" t="e">
        <f t="shared" si="384"/>
        <v>#VALUE!</v>
      </c>
      <c r="S637" s="140">
        <f t="shared" si="385"/>
        <v>0</v>
      </c>
      <c r="T637" s="139">
        <f t="shared" si="386"/>
        <v>0</v>
      </c>
      <c r="U637" s="357"/>
      <c r="V637" s="358"/>
      <c r="W637" s="144"/>
    </row>
    <row r="638" spans="1:24" ht="17" hidden="1" outlineLevel="1" thickBot="1">
      <c r="B638" s="359">
        <f t="shared" si="370"/>
        <v>31.120000000000019</v>
      </c>
      <c r="C638" s="360" t="str">
        <f t="shared" si="387"/>
        <v>ACOMETIDA PA</v>
      </c>
      <c r="D638" s="360" t="str">
        <f t="shared" si="388"/>
        <v>-</v>
      </c>
      <c r="E638" s="360" t="str">
        <f t="shared" si="389"/>
        <v>-</v>
      </c>
      <c r="F638" s="347" t="str">
        <f t="shared" si="390"/>
        <v>240V 1Ø Acom.</v>
      </c>
      <c r="G638" s="371" t="str">
        <f>IF(F638="120V 1Ø","-",IF(F638="240V 1Ø","-",IF(F638="240V 1Ø Acom.","-",("Fase C"&amp;": "&amp;I638))))</f>
        <v>-</v>
      </c>
      <c r="H638" s="366" t="str">
        <f>H637</f>
        <v>Conductores Americanos</v>
      </c>
      <c r="I638" s="366" t="str">
        <f>I637</f>
        <v>Conductor 1/0 AWG THHN</v>
      </c>
      <c r="J638" s="366">
        <f>IF(G638="-",0,J627)</f>
        <v>0</v>
      </c>
      <c r="K638" s="345" t="str">
        <f t="shared" si="391"/>
        <v>Pies</v>
      </c>
      <c r="L638" s="28">
        <f>ROUNDUP(J638*3.28,0)</f>
        <v>0</v>
      </c>
      <c r="M638" s="140" t="str">
        <f>VLOOKUP(I638,[1]MATERIALES!$D$5:$I$1368,2,FALSE)</f>
        <v xml:space="preserve">Suplidores electricos </v>
      </c>
      <c r="N638" s="367" t="e">
        <f t="shared" si="380"/>
        <v>#VALUE!</v>
      </c>
      <c r="O638" s="140" t="e">
        <f t="shared" si="381"/>
        <v>#VALUE!</v>
      </c>
      <c r="P638" s="367" t="e">
        <f t="shared" si="382"/>
        <v>#VALUE!</v>
      </c>
      <c r="Q638" s="140" t="e">
        <f t="shared" si="383"/>
        <v>#VALUE!</v>
      </c>
      <c r="R638" s="368" t="e">
        <f t="shared" si="384"/>
        <v>#VALUE!</v>
      </c>
      <c r="S638" s="140">
        <f t="shared" si="385"/>
        <v>0</v>
      </c>
      <c r="T638" s="139">
        <f t="shared" si="386"/>
        <v>0</v>
      </c>
      <c r="U638" s="357"/>
      <c r="V638" s="358"/>
      <c r="W638" s="144"/>
      <c r="X638" s="349"/>
    </row>
    <row r="639" spans="1:24" ht="17" hidden="1" outlineLevel="1" thickBot="1">
      <c r="B639" s="359">
        <f t="shared" si="370"/>
        <v>31.13000000000002</v>
      </c>
      <c r="C639" s="360" t="str">
        <f t="shared" si="387"/>
        <v>ACOMETIDA PA</v>
      </c>
      <c r="D639" s="360" t="str">
        <f t="shared" si="388"/>
        <v>-</v>
      </c>
      <c r="E639" s="360" t="str">
        <f t="shared" si="389"/>
        <v>-</v>
      </c>
      <c r="F639" s="347" t="str">
        <f t="shared" si="390"/>
        <v>240V 1Ø Acom.</v>
      </c>
      <c r="G639" s="372" t="str">
        <f>IF(F639="240V 1Ø","-",IF(F639="480V 3Ø","-",("Neutro"&amp;": "&amp;I639)))</f>
        <v xml:space="preserve">Neutro: Conductor 2 AWG THHN </v>
      </c>
      <c r="H639" s="366" t="str">
        <f>H638</f>
        <v>Conductores Americanos</v>
      </c>
      <c r="I639" s="366" t="s">
        <v>214</v>
      </c>
      <c r="J639" s="366">
        <f>IF(G639="-",0,J627)</f>
        <v>25.82</v>
      </c>
      <c r="K639" s="345" t="str">
        <f t="shared" si="391"/>
        <v>Pies</v>
      </c>
      <c r="L639" s="28">
        <f>ROUNDUP(J639*3.28,0)</f>
        <v>85</v>
      </c>
      <c r="M639" s="140" t="str">
        <f>VLOOKUP(I639,[1]MATERIALES!$D$5:$I$1368,2,FALSE)</f>
        <v xml:space="preserve">Suplidores electricos </v>
      </c>
      <c r="N639" s="367" t="e">
        <f t="shared" si="380"/>
        <v>#VALUE!</v>
      </c>
      <c r="O639" s="140" t="e">
        <f t="shared" si="381"/>
        <v>#VALUE!</v>
      </c>
      <c r="P639" s="367" t="e">
        <f t="shared" si="382"/>
        <v>#VALUE!</v>
      </c>
      <c r="Q639" s="140" t="e">
        <f t="shared" si="383"/>
        <v>#VALUE!</v>
      </c>
      <c r="R639" s="368" t="e">
        <f t="shared" si="384"/>
        <v>#VALUE!</v>
      </c>
      <c r="S639" s="140">
        <f t="shared" si="385"/>
        <v>0</v>
      </c>
      <c r="T639" s="139">
        <f t="shared" si="386"/>
        <v>0</v>
      </c>
      <c r="U639" s="357"/>
      <c r="V639" s="358"/>
      <c r="W639" s="144"/>
      <c r="X639" s="349"/>
    </row>
    <row r="640" spans="1:24" ht="17" hidden="1" outlineLevel="1" thickBot="1">
      <c r="B640" s="359">
        <f t="shared" si="370"/>
        <v>31.140000000000022</v>
      </c>
      <c r="C640" s="360" t="str">
        <f t="shared" si="387"/>
        <v>ACOMETIDA PA</v>
      </c>
      <c r="D640" s="360" t="str">
        <f t="shared" si="388"/>
        <v>-</v>
      </c>
      <c r="E640" s="360" t="str">
        <f t="shared" si="389"/>
        <v>-</v>
      </c>
      <c r="F640" s="347" t="str">
        <f t="shared" si="390"/>
        <v>240V 1Ø Acom.</v>
      </c>
      <c r="G640" s="372" t="str">
        <f>"Tierra"&amp;": "&amp;I640</f>
        <v>Tierra: Conductor 6 AWG THHN</v>
      </c>
      <c r="H640" s="366" t="str">
        <f>H639</f>
        <v>Conductores Americanos</v>
      </c>
      <c r="I640" s="366" t="s">
        <v>206</v>
      </c>
      <c r="J640" s="366">
        <f>J627</f>
        <v>25.82</v>
      </c>
      <c r="K640" s="345" t="str">
        <f t="shared" si="391"/>
        <v>Pies</v>
      </c>
      <c r="L640" s="28">
        <f>ROUNDUP(J640*3.28,0)</f>
        <v>85</v>
      </c>
      <c r="M640" s="140" t="str">
        <f>VLOOKUP(I640,[1]MATERIALES!$D$5:$I$1368,2,FALSE)</f>
        <v xml:space="preserve">Suplidores electricos </v>
      </c>
      <c r="N640" s="367" t="e">
        <f t="shared" si="380"/>
        <v>#VALUE!</v>
      </c>
      <c r="O640" s="140" t="e">
        <f t="shared" si="381"/>
        <v>#VALUE!</v>
      </c>
      <c r="P640" s="367" t="e">
        <f t="shared" si="382"/>
        <v>#VALUE!</v>
      </c>
      <c r="Q640" s="140" t="e">
        <f t="shared" si="383"/>
        <v>#VALUE!</v>
      </c>
      <c r="R640" s="368" t="e">
        <f t="shared" si="384"/>
        <v>#VALUE!</v>
      </c>
      <c r="S640" s="140">
        <f t="shared" si="385"/>
        <v>0</v>
      </c>
      <c r="T640" s="139">
        <f t="shared" si="386"/>
        <v>0</v>
      </c>
      <c r="U640" s="357"/>
      <c r="V640" s="358"/>
      <c r="W640" s="144"/>
      <c r="X640" s="349"/>
    </row>
    <row r="641" spans="1:24" ht="17" hidden="1" outlineLevel="1" thickBot="1">
      <c r="B641" s="359">
        <f t="shared" si="370"/>
        <v>31.150000000000023</v>
      </c>
      <c r="C641" s="360" t="str">
        <f t="shared" si="387"/>
        <v>ACOMETIDA PA</v>
      </c>
      <c r="D641" s="360" t="str">
        <f t="shared" si="388"/>
        <v>-</v>
      </c>
      <c r="E641" s="360" t="str">
        <f t="shared" si="389"/>
        <v>-</v>
      </c>
      <c r="F641" s="347" t="str">
        <f t="shared" si="390"/>
        <v>240V 1Ø Acom.</v>
      </c>
      <c r="G641" s="371" t="s">
        <v>422</v>
      </c>
      <c r="H641" s="316"/>
      <c r="I641" s="316"/>
      <c r="J641" s="316"/>
      <c r="K641" s="345" t="str">
        <f t="shared" si="391"/>
        <v>Unid.</v>
      </c>
      <c r="L641" s="345">
        <f>3*(L632)</f>
        <v>0</v>
      </c>
      <c r="M641" s="248">
        <f>IFERROR(VLOOKUP(G641,[1]MATERIALES!$D$5:$I$1368,2,FALSE),0)</f>
        <v>0</v>
      </c>
      <c r="N641" s="367">
        <f t="shared" si="380"/>
        <v>0</v>
      </c>
      <c r="O641" s="140">
        <f t="shared" si="381"/>
        <v>0</v>
      </c>
      <c r="P641" s="367">
        <f t="shared" si="382"/>
        <v>0</v>
      </c>
      <c r="Q641" s="140">
        <f t="shared" si="383"/>
        <v>0</v>
      </c>
      <c r="R641" s="368">
        <f t="shared" si="384"/>
        <v>0</v>
      </c>
      <c r="S641" s="140">
        <f t="shared" si="385"/>
        <v>0</v>
      </c>
      <c r="T641" s="139">
        <f t="shared" si="386"/>
        <v>0</v>
      </c>
      <c r="U641" s="357"/>
      <c r="V641" s="358"/>
      <c r="W641" s="144"/>
      <c r="X641" s="349"/>
    </row>
    <row r="642" spans="1:24" ht="16" hidden="1" outlineLevel="1" thickBot="1">
      <c r="B642" s="359">
        <f t="shared" si="370"/>
        <v>31.160000000000025</v>
      </c>
      <c r="C642" s="360" t="str">
        <f t="shared" si="387"/>
        <v>ACOMETIDA PA</v>
      </c>
      <c r="D642" s="360" t="str">
        <f t="shared" si="388"/>
        <v>-</v>
      </c>
      <c r="E642" s="360" t="str">
        <f t="shared" si="389"/>
        <v>-</v>
      </c>
      <c r="F642" s="347" t="str">
        <f t="shared" si="390"/>
        <v>240V 1Ø Acom.</v>
      </c>
      <c r="G642" s="374" t="s">
        <v>424</v>
      </c>
      <c r="H642" s="316"/>
      <c r="I642" s="316"/>
      <c r="J642" s="316"/>
      <c r="K642" s="345" t="s">
        <v>784</v>
      </c>
      <c r="L642" s="28">
        <f>ROUNDUP(L631+L632+L634,0)</f>
        <v>26</v>
      </c>
      <c r="M642" s="248">
        <f>IFERROR(VLOOKUP(G642,[1]MATERIALES!$D$5:$I$1368,2,FALSE),0)</f>
        <v>0</v>
      </c>
      <c r="N642" s="367">
        <f>M642/$N$2</f>
        <v>0</v>
      </c>
      <c r="O642" s="140">
        <f t="shared" si="381"/>
        <v>0</v>
      </c>
      <c r="P642" s="367">
        <f t="shared" si="382"/>
        <v>0</v>
      </c>
      <c r="Q642" s="140">
        <f>+$O642+($O642*$R$2)</f>
        <v>0</v>
      </c>
      <c r="R642" s="368">
        <f>+$P642+($P642*$R$2)</f>
        <v>0</v>
      </c>
      <c r="S642" s="140">
        <f t="shared" si="385"/>
        <v>0</v>
      </c>
      <c r="T642" s="139">
        <f t="shared" si="386"/>
        <v>0</v>
      </c>
      <c r="U642" s="357" t="e">
        <f>SUM(R642:R643)</f>
        <v>#VALUE!</v>
      </c>
      <c r="V642" s="358" t="e">
        <f>'[1]1. OFERTA'!#REF!</f>
        <v>#REF!</v>
      </c>
      <c r="W642" s="144" t="e">
        <f>U642-V642</f>
        <v>#VALUE!</v>
      </c>
    </row>
    <row r="643" spans="1:24" ht="16" hidden="1" outlineLevel="1" thickBot="1">
      <c r="B643" s="359">
        <f t="shared" si="370"/>
        <v>31.170000000000027</v>
      </c>
      <c r="C643" s="360" t="str">
        <f t="shared" si="387"/>
        <v>ACOMETIDA PA</v>
      </c>
      <c r="D643" s="360" t="str">
        <f t="shared" si="388"/>
        <v>-</v>
      </c>
      <c r="E643" s="360" t="str">
        <f t="shared" si="389"/>
        <v>-</v>
      </c>
      <c r="F643" s="347" t="str">
        <f t="shared" si="390"/>
        <v>240V 1Ø Acom.</v>
      </c>
      <c r="G643" s="374" t="s">
        <v>168</v>
      </c>
      <c r="H643" s="316"/>
      <c r="I643" s="316"/>
      <c r="J643" s="316"/>
      <c r="K643" s="345" t="s">
        <v>784</v>
      </c>
      <c r="L643" s="28">
        <f>L642</f>
        <v>26</v>
      </c>
      <c r="M643" s="248" t="str">
        <f>IFERROR(VLOOKUP(G643,[1]MATERIALES!$D$5:$I$1368,2,FALSE),0)</f>
        <v xml:space="preserve">Marba Dominicana </v>
      </c>
      <c r="N643" s="367" t="e">
        <f>M643/$N$2</f>
        <v>#VALUE!</v>
      </c>
      <c r="O643" s="140" t="e">
        <f t="shared" si="381"/>
        <v>#VALUE!</v>
      </c>
      <c r="P643" s="367" t="e">
        <f t="shared" si="382"/>
        <v>#VALUE!</v>
      </c>
      <c r="Q643" s="140" t="e">
        <f>+$O643+($O643*$R$2)</f>
        <v>#VALUE!</v>
      </c>
      <c r="R643" s="368" t="e">
        <f>+$P643+($P643*$R$2)</f>
        <v>#VALUE!</v>
      </c>
      <c r="S643" s="140">
        <f t="shared" si="385"/>
        <v>0</v>
      </c>
      <c r="T643" s="139">
        <f t="shared" si="386"/>
        <v>0</v>
      </c>
      <c r="U643" s="357"/>
      <c r="V643" s="358"/>
      <c r="W643" s="144"/>
    </row>
    <row r="644" spans="1:24" ht="16" collapsed="1" thickBot="1">
      <c r="B644" s="354">
        <v>32</v>
      </c>
      <c r="C644" s="355" t="s">
        <v>832</v>
      </c>
      <c r="D644" s="269" t="s">
        <v>1</v>
      </c>
      <c r="E644" s="269" t="s">
        <v>1</v>
      </c>
      <c r="F644" s="270" t="s">
        <v>830</v>
      </c>
      <c r="G644" s="271"/>
      <c r="H644" s="272"/>
      <c r="I644" s="272"/>
      <c r="J644" s="272"/>
      <c r="K644" s="268"/>
      <c r="L644" s="268"/>
      <c r="M644" s="273"/>
      <c r="N644" s="274"/>
      <c r="O644" s="273"/>
      <c r="P644" s="274"/>
      <c r="Q644" s="273"/>
      <c r="R644" s="275"/>
      <c r="S644" s="273"/>
      <c r="T644" s="276"/>
      <c r="U644" s="357" t="e">
        <f>SUM(R645:R667)</f>
        <v>#VALUE!</v>
      </c>
      <c r="V644" s="358" t="e">
        <f>'[1]1. OFERTA'!#REF!</f>
        <v>#REF!</v>
      </c>
      <c r="W644" s="144" t="e">
        <f>U644-V644</f>
        <v>#VALUE!</v>
      </c>
    </row>
    <row r="645" spans="1:24" ht="15" hidden="1" customHeight="1" outlineLevel="1" thickBot="1">
      <c r="A645" s="353"/>
      <c r="B645" s="359">
        <f t="shared" ref="B645:B680" si="392">B644+0.01</f>
        <v>32.01</v>
      </c>
      <c r="C645" s="360" t="s">
        <v>833</v>
      </c>
      <c r="D645" s="360" t="str">
        <f>$D$644</f>
        <v>-</v>
      </c>
      <c r="E645" s="360" t="str">
        <f>$E$644</f>
        <v>-</v>
      </c>
      <c r="F645" s="347" t="str">
        <f>F644</f>
        <v>240V 1Ø Acom.</v>
      </c>
      <c r="G645" s="361" t="str">
        <f>IF(H645="PVC",VLOOKUP(I645,[5]MATERIALES!$C$5:$D$11,2,FALSE),IF(H645="EMT",VLOOKUP(I645,[5]MATERIALES!$C$40:$D$46,2,FALSE),IF(H645="IMC",VLOOKUP(I645,[5]MATERIALES!$C$82:$D$88,2,FALSE),IF(H645="LFNC",VLOOKUP(I645,[5]MATERIALES!$C$110:$D$116,2,FALSE),0))))</f>
        <v>Tubería Eléctrica EMT 2"</v>
      </c>
      <c r="H645" s="362" t="s">
        <v>193</v>
      </c>
      <c r="I645" s="362" t="s">
        <v>196</v>
      </c>
      <c r="J645" s="362">
        <v>6</v>
      </c>
      <c r="K645" s="134" t="str">
        <f>IF(OR(H645="Conductores Americanos",H645="Conductores Europeos"),"Pies","Unid.")</f>
        <v>Unid.</v>
      </c>
      <c r="L645" s="363">
        <f>IF(H645="PVC",ROUNDUP(J645/6,0),IF(H645="EMT",ROUNDUP(J645/3,0),IF(H645="IMC",ROUNDUP(J645/3,0),IF(H645="LFNC",ROUNDUP(3.28*J645,0),0))))</f>
        <v>2</v>
      </c>
      <c r="M645" s="248" t="str">
        <f>IFERROR(VLOOKUP(G645,[1]MATERIALES!$D$5:$I$1368,2,FALSE),0)</f>
        <v xml:space="preserve">Suplidores electricos </v>
      </c>
      <c r="N645" s="364" t="e">
        <f t="shared" ref="N645:N658" si="393">M645/$N$2</f>
        <v>#VALUE!</v>
      </c>
      <c r="O645" s="248" t="e">
        <f>+L645*M645</f>
        <v>#VALUE!</v>
      </c>
      <c r="P645" s="364" t="e">
        <f>L645*N645</f>
        <v>#VALUE!</v>
      </c>
      <c r="Q645" s="248" t="e">
        <f>+$O645+($O645*$R$2)</f>
        <v>#VALUE!</v>
      </c>
      <c r="R645" s="365" t="e">
        <f>+$P645+($P645*$R$2)</f>
        <v>#VALUE!</v>
      </c>
      <c r="S645" s="248">
        <f>+IFERROR(Q645/L645,0)</f>
        <v>0</v>
      </c>
      <c r="T645" s="146">
        <f>+IFERROR(R645/L645,0)</f>
        <v>0</v>
      </c>
      <c r="U645" s="357"/>
      <c r="V645" s="358"/>
      <c r="W645" s="144"/>
    </row>
    <row r="646" spans="1:24" ht="15" hidden="1" customHeight="1" outlineLevel="1" thickBot="1">
      <c r="A646" s="353"/>
      <c r="B646" s="359">
        <f t="shared" si="392"/>
        <v>32.019999999999996</v>
      </c>
      <c r="C646" s="360" t="s">
        <v>833</v>
      </c>
      <c r="D646" s="360" t="str">
        <f t="shared" ref="D646:D654" si="394">$D$644</f>
        <v>-</v>
      </c>
      <c r="E646" s="360" t="str">
        <f t="shared" ref="E646:E654" si="395">$E$644</f>
        <v>-</v>
      </c>
      <c r="F646" s="347" t="str">
        <f t="shared" ref="F646:F654" si="396">F645</f>
        <v>240V 1Ø Acom.</v>
      </c>
      <c r="G646" s="361" t="str">
        <f>IF(H646="PVC",VLOOKUP(I646,[5]MATERIALES!$C$12:$D$18,2,FALSE),IF(H646="EMT",VLOOKUP(I646,[5]MATERIALES!$C$47:$D$53,2,FALSE),IF(H646="IMC",VLOOKUP(I646,[5]MATERIALES!$C$89:$D$96,2,FALSE),"-")))</f>
        <v>Coupling EMT 2"</v>
      </c>
      <c r="H646" s="366" t="str">
        <f>H645</f>
        <v>EMT</v>
      </c>
      <c r="I646" s="366" t="str">
        <f>I645</f>
        <v>50mm</v>
      </c>
      <c r="J646" s="316"/>
      <c r="K646" s="345" t="str">
        <f t="shared" ref="K646:K655" si="397">IF(OR(H646="Conductores Americanos",H646="Conductores Europeos"),"Pies","Unid.")</f>
        <v>Unid.</v>
      </c>
      <c r="L646" s="28">
        <f>IF(H646="LFNC",0,L645)</f>
        <v>2</v>
      </c>
      <c r="M646" s="248" t="str">
        <f>IFERROR(VLOOKUP(G646,[1]MATERIALES!$D$5:$I$1368,2,FALSE),0)</f>
        <v xml:space="preserve">Suplidores electricos </v>
      </c>
      <c r="N646" s="367" t="e">
        <f t="shared" si="393"/>
        <v>#VALUE!</v>
      </c>
      <c r="O646" s="140" t="e">
        <f t="shared" ref="O646:O657" si="398">+L646*M646</f>
        <v>#VALUE!</v>
      </c>
      <c r="P646" s="367" t="e">
        <f t="shared" ref="P646:P657" si="399">L646*N646</f>
        <v>#VALUE!</v>
      </c>
      <c r="Q646" s="140" t="e">
        <f>+$O646+($O646*$R$2)</f>
        <v>#VALUE!</v>
      </c>
      <c r="R646" s="368" t="e">
        <f>+$P646+($P646*$R$2)</f>
        <v>#VALUE!</v>
      </c>
      <c r="S646" s="140">
        <f t="shared" ref="S646:S657" si="400">+IFERROR(Q646/L646,0)</f>
        <v>0</v>
      </c>
      <c r="T646" s="139">
        <f t="shared" ref="T646:T657" si="401">+IFERROR(R646/L646,0)</f>
        <v>0</v>
      </c>
      <c r="U646" s="357"/>
      <c r="V646" s="358"/>
      <c r="W646" s="144"/>
    </row>
    <row r="647" spans="1:24" ht="15" hidden="1" customHeight="1" outlineLevel="1" thickBot="1">
      <c r="A647" s="353"/>
      <c r="B647" s="359">
        <f t="shared" si="392"/>
        <v>32.029999999999994</v>
      </c>
      <c r="C647" s="360" t="s">
        <v>833</v>
      </c>
      <c r="D647" s="360" t="str">
        <f t="shared" si="394"/>
        <v>-</v>
      </c>
      <c r="E647" s="360" t="str">
        <f t="shared" si="395"/>
        <v>-</v>
      </c>
      <c r="F647" s="347" t="str">
        <f t="shared" si="396"/>
        <v>240V 1Ø Acom.</v>
      </c>
      <c r="G647" s="361" t="str">
        <f>IF(H647="PVC",VLOOKUP(I647,[5]MATERIALES!$C$19:$D$25,2,FALSE),IF(H647="EMT",VLOOKUP(I647,[5]MATERIALES!$C$54:$D$60,2,FALSE),IF(H647="IMC",VLOOKUP(I647,[5]MATERIALES!$C$96:$D$102,2,FALSE),IF(H647="LFNC",VLOOKUP(I647,[5]MATERIALES!$C$117:$D$123,2,FALSE),0))))</f>
        <v>Conector EMT 2"</v>
      </c>
      <c r="H647" s="366" t="str">
        <f>H645</f>
        <v>EMT</v>
      </c>
      <c r="I647" s="366" t="str">
        <f>I645</f>
        <v>50mm</v>
      </c>
      <c r="J647" s="316"/>
      <c r="K647" s="345" t="str">
        <f t="shared" si="397"/>
        <v>Unid.</v>
      </c>
      <c r="L647" s="28">
        <f>1+L650*2+L652</f>
        <v>41</v>
      </c>
      <c r="M647" s="248" t="str">
        <f>IFERROR(VLOOKUP(G647,[1]MATERIALES!$D$5:$I$1368,2,FALSE),0)</f>
        <v xml:space="preserve">Suplidores electricos </v>
      </c>
      <c r="N647" s="367" t="e">
        <f t="shared" si="393"/>
        <v>#VALUE!</v>
      </c>
      <c r="O647" s="140" t="e">
        <f t="shared" si="398"/>
        <v>#VALUE!</v>
      </c>
      <c r="P647" s="367" t="e">
        <f t="shared" si="399"/>
        <v>#VALUE!</v>
      </c>
      <c r="Q647" s="140" t="e">
        <f>+$O647+($O647*$R$2)</f>
        <v>#VALUE!</v>
      </c>
      <c r="R647" s="368" t="e">
        <f>+$P647+($P647*$R$2)</f>
        <v>#VALUE!</v>
      </c>
      <c r="S647" s="140">
        <f t="shared" si="400"/>
        <v>0</v>
      </c>
      <c r="T647" s="139">
        <f t="shared" si="401"/>
        <v>0</v>
      </c>
      <c r="U647" s="357"/>
      <c r="V647" s="358"/>
      <c r="W647" s="144"/>
    </row>
    <row r="648" spans="1:24" ht="15" hidden="1" customHeight="1" outlineLevel="1" thickBot="1">
      <c r="A648" s="353"/>
      <c r="B648" s="359">
        <f t="shared" si="392"/>
        <v>32.039999999999992</v>
      </c>
      <c r="C648" s="360" t="s">
        <v>833</v>
      </c>
      <c r="D648" s="360" t="str">
        <f t="shared" si="394"/>
        <v>-</v>
      </c>
      <c r="E648" s="360" t="str">
        <f t="shared" si="395"/>
        <v>-</v>
      </c>
      <c r="F648" s="347" t="str">
        <f t="shared" si="396"/>
        <v>240V 1Ø Acom.</v>
      </c>
      <c r="G648" s="361" t="str">
        <f>IF(H648="PVC",VLOOKUP(I648,[5]MATERIALES!$C$33:$D$39,2,FALSE),IF(H648="EMT",VLOOKUP(I648,[5]MATERIALES!$C$61:$D$67,2,FALSE),IF(H648="IMC",VLOOKUP(I648,[5]MATERIALES!$C$103:$D$109,2,FALSE),"-")))</f>
        <v>Curva EMT 2"</v>
      </c>
      <c r="H648" s="366" t="str">
        <f>H645</f>
        <v>EMT</v>
      </c>
      <c r="I648" s="366" t="str">
        <f>I645</f>
        <v>50mm</v>
      </c>
      <c r="J648" s="316"/>
      <c r="K648" s="345" t="str">
        <f t="shared" si="397"/>
        <v>Unid.</v>
      </c>
      <c r="L648" s="28">
        <f>IF(H648="LFNC",0,(1+L688))</f>
        <v>1</v>
      </c>
      <c r="M648" s="248" t="str">
        <f>IFERROR(VLOOKUP(G648,[1]MATERIALES!$D$5:$I$1368,2,FALSE),0)</f>
        <v xml:space="preserve">Suplidores electricos </v>
      </c>
      <c r="N648" s="367" t="e">
        <f t="shared" si="393"/>
        <v>#VALUE!</v>
      </c>
      <c r="O648" s="140" t="e">
        <f t="shared" si="398"/>
        <v>#VALUE!</v>
      </c>
      <c r="P648" s="367" t="e">
        <f t="shared" si="399"/>
        <v>#VALUE!</v>
      </c>
      <c r="Q648" s="140" t="e">
        <f>+$O648+($O648*$R$2)</f>
        <v>#VALUE!</v>
      </c>
      <c r="R648" s="368" t="e">
        <f>+$P648+($P648*$R$2)</f>
        <v>#VALUE!</v>
      </c>
      <c r="S648" s="140">
        <f t="shared" si="400"/>
        <v>0</v>
      </c>
      <c r="T648" s="139">
        <f t="shared" si="401"/>
        <v>0</v>
      </c>
      <c r="U648" s="357"/>
      <c r="V648" s="358"/>
      <c r="W648" s="144"/>
    </row>
    <row r="649" spans="1:24" ht="15" hidden="1" customHeight="1" outlineLevel="1" thickBot="1">
      <c r="A649" s="353"/>
      <c r="B649" s="359">
        <f t="shared" si="392"/>
        <v>32.04999999999999</v>
      </c>
      <c r="C649" s="360" t="s">
        <v>833</v>
      </c>
      <c r="D649" s="360" t="str">
        <f t="shared" si="394"/>
        <v>-</v>
      </c>
      <c r="E649" s="360" t="str">
        <f t="shared" si="395"/>
        <v>-</v>
      </c>
      <c r="F649" s="347" t="str">
        <f t="shared" si="396"/>
        <v>240V 1Ø Acom.</v>
      </c>
      <c r="G649" s="361" t="str">
        <f>VLOOKUP(I649,[5]MATERIALES!$C$68:$D$74,2,FALSE)</f>
        <v>Abrazadera EMT 2'' </v>
      </c>
      <c r="H649" s="316"/>
      <c r="I649" s="366" t="str">
        <f>I645</f>
        <v>50mm</v>
      </c>
      <c r="J649" s="316"/>
      <c r="K649" s="345" t="str">
        <f t="shared" si="397"/>
        <v>Unid.</v>
      </c>
      <c r="L649" s="28">
        <f>ROUNDUP(J645,0)</f>
        <v>6</v>
      </c>
      <c r="M649" s="248" t="str">
        <f>IFERROR(VLOOKUP(G649,[1]MATERIALES!$D$5:$I$1368,2,FALSE),0)</f>
        <v xml:space="preserve">Suplidores electricos </v>
      </c>
      <c r="N649" s="367" t="e">
        <f t="shared" si="393"/>
        <v>#VALUE!</v>
      </c>
      <c r="O649" s="140" t="e">
        <f t="shared" si="398"/>
        <v>#VALUE!</v>
      </c>
      <c r="P649" s="367" t="e">
        <f t="shared" si="399"/>
        <v>#VALUE!</v>
      </c>
      <c r="Q649" s="140" t="e">
        <f>+$O649+($O649*$R$2)</f>
        <v>#VALUE!</v>
      </c>
      <c r="R649" s="368" t="e">
        <f>+$P649+($P649*$R$2)</f>
        <v>#VALUE!</v>
      </c>
      <c r="S649" s="140">
        <f t="shared" si="400"/>
        <v>0</v>
      </c>
      <c r="T649" s="139">
        <f t="shared" si="401"/>
        <v>0</v>
      </c>
      <c r="U649" s="357"/>
      <c r="V649" s="358"/>
      <c r="W649" s="144"/>
    </row>
    <row r="650" spans="1:24" ht="15" hidden="1" customHeight="1" outlineLevel="1" thickBot="1">
      <c r="A650" s="353"/>
      <c r="B650" s="359">
        <f t="shared" si="392"/>
        <v>32.059999999999988</v>
      </c>
      <c r="C650" s="360" t="s">
        <v>833</v>
      </c>
      <c r="D650" s="360" t="str">
        <f t="shared" si="394"/>
        <v>-</v>
      </c>
      <c r="E650" s="360" t="str">
        <f t="shared" si="395"/>
        <v>-</v>
      </c>
      <c r="F650" s="347" t="str">
        <f t="shared" si="396"/>
        <v>240V 1Ø Acom.</v>
      </c>
      <c r="G650" s="371" t="str">
        <f>"Fase A"&amp;": "&amp;I650</f>
        <v>Fase A: Conductor 1/0 AWG THHN</v>
      </c>
      <c r="H650" s="366" t="s">
        <v>181</v>
      </c>
      <c r="I650" s="366" t="s">
        <v>218</v>
      </c>
      <c r="J650" s="366">
        <f>J645</f>
        <v>6</v>
      </c>
      <c r="K650" s="345" t="str">
        <f t="shared" si="397"/>
        <v>Pies</v>
      </c>
      <c r="L650" s="28">
        <f t="shared" ref="L650:L655" si="402">ROUNDUP(J650*3.28,0)</f>
        <v>20</v>
      </c>
      <c r="M650" s="140" t="str">
        <f>VLOOKUP(I650,[1]MATERIALES!$D$5:$I$1368,2,FALSE)</f>
        <v xml:space="preserve">Suplidores electricos </v>
      </c>
      <c r="N650" s="367" t="e">
        <f t="shared" si="393"/>
        <v>#VALUE!</v>
      </c>
      <c r="O650" s="140" t="e">
        <f t="shared" si="398"/>
        <v>#VALUE!</v>
      </c>
      <c r="P650" s="367" t="e">
        <f t="shared" si="399"/>
        <v>#VALUE!</v>
      </c>
      <c r="Q650" s="140" t="e">
        <f t="shared" ref="Q650:Q657" si="403">+$O650+($O650*$R$2)</f>
        <v>#VALUE!</v>
      </c>
      <c r="R650" s="368" t="e">
        <f t="shared" ref="R650:R657" si="404">+$P650+($P650*$R$2)</f>
        <v>#VALUE!</v>
      </c>
      <c r="S650" s="140">
        <f t="shared" si="400"/>
        <v>0</v>
      </c>
      <c r="T650" s="139">
        <f t="shared" si="401"/>
        <v>0</v>
      </c>
      <c r="U650" s="357"/>
      <c r="V650" s="358"/>
      <c r="W650" s="144"/>
    </row>
    <row r="651" spans="1:24" ht="15" hidden="1" customHeight="1" outlineLevel="1" thickBot="1">
      <c r="A651" s="353"/>
      <c r="B651" s="359">
        <f t="shared" si="392"/>
        <v>32.069999999999986</v>
      </c>
      <c r="C651" s="360" t="s">
        <v>833</v>
      </c>
      <c r="D651" s="360" t="str">
        <f t="shared" si="394"/>
        <v>-</v>
      </c>
      <c r="E651" s="360" t="str">
        <f t="shared" si="395"/>
        <v>-</v>
      </c>
      <c r="F651" s="347" t="str">
        <f t="shared" si="396"/>
        <v>240V 1Ø Acom.</v>
      </c>
      <c r="G651" s="371" t="str">
        <f>IF(F651="120V 1Ø","-",("Fase B"&amp;": "&amp;I651))</f>
        <v>Fase B: Conductor 1/0 AWG THHN</v>
      </c>
      <c r="H651" s="366" t="str">
        <f>H650</f>
        <v>Conductores Americanos</v>
      </c>
      <c r="I651" s="366" t="str">
        <f>I650</f>
        <v>Conductor 1/0 AWG THHN</v>
      </c>
      <c r="J651" s="366">
        <f>IF(G651="-",0,J$645)</f>
        <v>6</v>
      </c>
      <c r="K651" s="345" t="str">
        <f t="shared" si="397"/>
        <v>Pies</v>
      </c>
      <c r="L651" s="28">
        <f t="shared" si="402"/>
        <v>20</v>
      </c>
      <c r="M651" s="140" t="str">
        <f>VLOOKUP(I651,[1]MATERIALES!$D$5:$I$1368,2,FALSE)</f>
        <v xml:space="preserve">Suplidores electricos </v>
      </c>
      <c r="N651" s="367" t="e">
        <f t="shared" si="393"/>
        <v>#VALUE!</v>
      </c>
      <c r="O651" s="140" t="e">
        <f t="shared" si="398"/>
        <v>#VALUE!</v>
      </c>
      <c r="P651" s="367" t="e">
        <f t="shared" si="399"/>
        <v>#VALUE!</v>
      </c>
      <c r="Q651" s="140" t="e">
        <f t="shared" si="403"/>
        <v>#VALUE!</v>
      </c>
      <c r="R651" s="368" t="e">
        <f t="shared" si="404"/>
        <v>#VALUE!</v>
      </c>
      <c r="S651" s="140">
        <f t="shared" si="400"/>
        <v>0</v>
      </c>
      <c r="T651" s="139">
        <f t="shared" si="401"/>
        <v>0</v>
      </c>
      <c r="U651" s="357"/>
      <c r="V651" s="358"/>
      <c r="W651" s="144"/>
    </row>
    <row r="652" spans="1:24" ht="15" hidden="1" customHeight="1" outlineLevel="1" thickBot="1">
      <c r="A652" s="353"/>
      <c r="B652" s="359">
        <f t="shared" si="392"/>
        <v>32.079999999999984</v>
      </c>
      <c r="C652" s="360" t="s">
        <v>833</v>
      </c>
      <c r="D652" s="360" t="str">
        <f t="shared" si="394"/>
        <v>-</v>
      </c>
      <c r="E652" s="360" t="str">
        <f t="shared" si="395"/>
        <v>-</v>
      </c>
      <c r="F652" s="347" t="str">
        <f t="shared" si="396"/>
        <v>240V 1Ø Acom.</v>
      </c>
      <c r="G652" s="371" t="str">
        <f>IF(F652="120V 1Ø","-",IF(F652="240V 1Ø","-",IF(F652="240V 1Ø Acom.","-",("Fase C"&amp;": "&amp;I652))))</f>
        <v>-</v>
      </c>
      <c r="H652" s="366" t="str">
        <f>H651</f>
        <v>Conductores Americanos</v>
      </c>
      <c r="I652" s="366" t="str">
        <f>I651</f>
        <v>Conductor 1/0 AWG THHN</v>
      </c>
      <c r="J652" s="366">
        <f t="shared" ref="J652:J654" si="405">IF(G652="-",0,J$645)</f>
        <v>0</v>
      </c>
      <c r="K652" s="345" t="str">
        <f t="shared" si="397"/>
        <v>Pies</v>
      </c>
      <c r="L652" s="28">
        <f t="shared" si="402"/>
        <v>0</v>
      </c>
      <c r="M652" s="140" t="str">
        <f>VLOOKUP(I652,[1]MATERIALES!$D$5:$I$1368,2,FALSE)</f>
        <v xml:space="preserve">Suplidores electricos </v>
      </c>
      <c r="N652" s="367" t="e">
        <f t="shared" si="393"/>
        <v>#VALUE!</v>
      </c>
      <c r="O652" s="140" t="e">
        <f t="shared" si="398"/>
        <v>#VALUE!</v>
      </c>
      <c r="P652" s="367" t="e">
        <f t="shared" si="399"/>
        <v>#VALUE!</v>
      </c>
      <c r="Q652" s="140" t="e">
        <f t="shared" si="403"/>
        <v>#VALUE!</v>
      </c>
      <c r="R652" s="368" t="e">
        <f t="shared" si="404"/>
        <v>#VALUE!</v>
      </c>
      <c r="S652" s="140">
        <f t="shared" si="400"/>
        <v>0</v>
      </c>
      <c r="T652" s="139">
        <f t="shared" si="401"/>
        <v>0</v>
      </c>
      <c r="U652" s="357"/>
      <c r="V652" s="358"/>
      <c r="W652" s="144"/>
    </row>
    <row r="653" spans="1:24" ht="15" hidden="1" customHeight="1" outlineLevel="1" thickBot="1">
      <c r="A653" s="353"/>
      <c r="B653" s="359">
        <f t="shared" si="392"/>
        <v>32.089999999999982</v>
      </c>
      <c r="C653" s="360" t="s">
        <v>833</v>
      </c>
      <c r="D653" s="360" t="str">
        <f t="shared" si="394"/>
        <v>-</v>
      </c>
      <c r="E653" s="360" t="str">
        <f t="shared" si="395"/>
        <v>-</v>
      </c>
      <c r="F653" s="347" t="str">
        <f t="shared" si="396"/>
        <v>240V 1Ø Acom.</v>
      </c>
      <c r="G653" s="372" t="str">
        <f>IF(F653="240V 1Ø","-",IF(F653="480V 3Ø","-",("Neutro"&amp;": "&amp;I653)))</f>
        <v xml:space="preserve">Neutro: Conductor 2 AWG THHN </v>
      </c>
      <c r="H653" s="366" t="str">
        <f>H652</f>
        <v>Conductores Americanos</v>
      </c>
      <c r="I653" s="366" t="s">
        <v>214</v>
      </c>
      <c r="J653" s="366">
        <f t="shared" si="405"/>
        <v>6</v>
      </c>
      <c r="K653" s="345" t="str">
        <f t="shared" si="397"/>
        <v>Pies</v>
      </c>
      <c r="L653" s="28">
        <f t="shared" si="402"/>
        <v>20</v>
      </c>
      <c r="M653" s="140" t="str">
        <f>VLOOKUP(I653,[1]MATERIALES!$D$5:$I$1368,2,FALSE)</f>
        <v xml:space="preserve">Suplidores electricos </v>
      </c>
      <c r="N653" s="367" t="e">
        <f t="shared" si="393"/>
        <v>#VALUE!</v>
      </c>
      <c r="O653" s="140" t="e">
        <f t="shared" si="398"/>
        <v>#VALUE!</v>
      </c>
      <c r="P653" s="367" t="e">
        <f t="shared" si="399"/>
        <v>#VALUE!</v>
      </c>
      <c r="Q653" s="140" t="e">
        <f t="shared" si="403"/>
        <v>#VALUE!</v>
      </c>
      <c r="R653" s="368" t="e">
        <f t="shared" si="404"/>
        <v>#VALUE!</v>
      </c>
      <c r="S653" s="140">
        <f t="shared" si="400"/>
        <v>0</v>
      </c>
      <c r="T653" s="139">
        <f t="shared" si="401"/>
        <v>0</v>
      </c>
      <c r="U653" s="357"/>
      <c r="V653" s="358"/>
      <c r="W653" s="144"/>
    </row>
    <row r="654" spans="1:24" ht="15" hidden="1" customHeight="1" outlineLevel="1" thickBot="1">
      <c r="A654" s="353"/>
      <c r="B654" s="359">
        <f t="shared" si="392"/>
        <v>32.09999999999998</v>
      </c>
      <c r="C654" s="360" t="s">
        <v>833</v>
      </c>
      <c r="D654" s="360" t="str">
        <f t="shared" si="394"/>
        <v>-</v>
      </c>
      <c r="E654" s="360" t="str">
        <f t="shared" si="395"/>
        <v>-</v>
      </c>
      <c r="F654" s="347" t="str">
        <f t="shared" si="396"/>
        <v>240V 1Ø Acom.</v>
      </c>
      <c r="G654" s="372" t="str">
        <f>"Tierra"&amp;": "&amp;I654</f>
        <v>Tierra: Conductor 6 AWG THHN</v>
      </c>
      <c r="H654" s="366" t="str">
        <f>H653</f>
        <v>Conductores Americanos</v>
      </c>
      <c r="I654" s="366" t="s">
        <v>206</v>
      </c>
      <c r="J654" s="366">
        <f t="shared" si="405"/>
        <v>6</v>
      </c>
      <c r="K654" s="345" t="str">
        <f t="shared" si="397"/>
        <v>Pies</v>
      </c>
      <c r="L654" s="28">
        <f t="shared" si="402"/>
        <v>20</v>
      </c>
      <c r="M654" s="140" t="str">
        <f>VLOOKUP(I654,[1]MATERIALES!$D$5:$I$1368,2,FALSE)</f>
        <v xml:space="preserve">Suplidores electricos </v>
      </c>
      <c r="N654" s="367" t="e">
        <f t="shared" si="393"/>
        <v>#VALUE!</v>
      </c>
      <c r="O654" s="140" t="e">
        <f t="shared" si="398"/>
        <v>#VALUE!</v>
      </c>
      <c r="P654" s="367" t="e">
        <f t="shared" si="399"/>
        <v>#VALUE!</v>
      </c>
      <c r="Q654" s="140" t="e">
        <f t="shared" si="403"/>
        <v>#VALUE!</v>
      </c>
      <c r="R654" s="368" t="e">
        <f t="shared" si="404"/>
        <v>#VALUE!</v>
      </c>
      <c r="S654" s="140">
        <f t="shared" si="400"/>
        <v>0</v>
      </c>
      <c r="T654" s="139">
        <f t="shared" si="401"/>
        <v>0</v>
      </c>
      <c r="U654" s="357"/>
      <c r="V654" s="358"/>
      <c r="W654" s="144"/>
    </row>
    <row r="655" spans="1:24" ht="15" hidden="1" customHeight="1" outlineLevel="1" thickBot="1">
      <c r="B655" s="359">
        <f t="shared" si="392"/>
        <v>32.109999999999978</v>
      </c>
      <c r="C655" s="360" t="s">
        <v>834</v>
      </c>
      <c r="D655" s="360"/>
      <c r="E655" s="360"/>
      <c r="F655" s="347"/>
      <c r="G655" s="361" t="s">
        <v>835</v>
      </c>
      <c r="H655" s="316" t="str">
        <f>H654</f>
        <v>Conductores Americanos</v>
      </c>
      <c r="I655" s="316" t="s">
        <v>206</v>
      </c>
      <c r="J655" s="366">
        <f>3*3+3</f>
        <v>12</v>
      </c>
      <c r="K655" s="345" t="str">
        <f t="shared" si="397"/>
        <v>Pies</v>
      </c>
      <c r="L655" s="28">
        <f t="shared" si="402"/>
        <v>40</v>
      </c>
      <c r="M655" s="248">
        <f>IFERROR(VLOOKUP(G655,[1]MATERIALES!$D$5:$I$1368,2,FALSE),0)</f>
        <v>0</v>
      </c>
      <c r="N655" s="367">
        <f t="shared" si="393"/>
        <v>0</v>
      </c>
      <c r="O655" s="140">
        <f t="shared" si="398"/>
        <v>0</v>
      </c>
      <c r="P655" s="367">
        <f t="shared" si="399"/>
        <v>0</v>
      </c>
      <c r="Q655" s="140">
        <f t="shared" si="403"/>
        <v>0</v>
      </c>
      <c r="R655" s="368">
        <f t="shared" si="404"/>
        <v>0</v>
      </c>
      <c r="S655" s="140">
        <f t="shared" si="400"/>
        <v>0</v>
      </c>
      <c r="T655" s="139">
        <f t="shared" si="401"/>
        <v>0</v>
      </c>
      <c r="U655" s="357"/>
      <c r="V655" s="358"/>
      <c r="W655" s="144"/>
    </row>
    <row r="656" spans="1:24" ht="15" hidden="1" customHeight="1" outlineLevel="1" thickBot="1">
      <c r="B656" s="359">
        <f t="shared" si="392"/>
        <v>32.119999999999976</v>
      </c>
      <c r="C656" s="360" t="s">
        <v>834</v>
      </c>
      <c r="D656" s="360"/>
      <c r="E656" s="360"/>
      <c r="F656" s="347"/>
      <c r="G656" s="361" t="s">
        <v>738</v>
      </c>
      <c r="H656" s="316"/>
      <c r="I656" s="316"/>
      <c r="J656" s="316"/>
      <c r="K656" s="134" t="str">
        <f>IF(OR(H656="Conductores Americanos",H656="Conductores Europeos"),"Pies","Unid.")</f>
        <v>Unid.</v>
      </c>
      <c r="L656" s="363">
        <v>3</v>
      </c>
      <c r="M656" s="248">
        <f>IFERROR(VLOOKUP(G656,[1]MATERIALES!$D$5:$I$1368,2,FALSE),0)</f>
        <v>0</v>
      </c>
      <c r="N656" s="367">
        <f t="shared" si="393"/>
        <v>0</v>
      </c>
      <c r="O656" s="140">
        <f t="shared" si="398"/>
        <v>0</v>
      </c>
      <c r="P656" s="367">
        <f t="shared" si="399"/>
        <v>0</v>
      </c>
      <c r="Q656" s="140">
        <f t="shared" si="403"/>
        <v>0</v>
      </c>
      <c r="R656" s="368">
        <f t="shared" si="404"/>
        <v>0</v>
      </c>
      <c r="S656" s="140">
        <f t="shared" si="400"/>
        <v>0</v>
      </c>
      <c r="T656" s="139">
        <f t="shared" si="401"/>
        <v>0</v>
      </c>
      <c r="U656" s="357"/>
      <c r="V656" s="358"/>
      <c r="W656" s="144"/>
    </row>
    <row r="657" spans="2:23" ht="15" hidden="1" customHeight="1" outlineLevel="1" thickBot="1">
      <c r="B657" s="359">
        <f t="shared" si="392"/>
        <v>32.129999999999974</v>
      </c>
      <c r="C657" s="360" t="s">
        <v>834</v>
      </c>
      <c r="D657" s="360"/>
      <c r="E657" s="360"/>
      <c r="F657" s="347"/>
      <c r="G657" s="361" t="s">
        <v>740</v>
      </c>
      <c r="H657" s="316"/>
      <c r="I657" s="316"/>
      <c r="J657" s="316"/>
      <c r="K657" s="345" t="str">
        <f t="shared" ref="K657" si="406">IF(OR(H657="Conductores Americanos",H657="Conductores Europeos"),"Pies","Unid.")</f>
        <v>Unid.</v>
      </c>
      <c r="L657" s="28">
        <f>IF(H657="LFNC",0,L656)</f>
        <v>3</v>
      </c>
      <c r="M657" s="248">
        <f>IFERROR(VLOOKUP(G657,[1]MATERIALES!$D$5:$I$1368,2,FALSE),0)</f>
        <v>0</v>
      </c>
      <c r="N657" s="367">
        <f t="shared" si="393"/>
        <v>0</v>
      </c>
      <c r="O657" s="140">
        <f t="shared" si="398"/>
        <v>0</v>
      </c>
      <c r="P657" s="367">
        <f t="shared" si="399"/>
        <v>0</v>
      </c>
      <c r="Q657" s="140">
        <f t="shared" si="403"/>
        <v>0</v>
      </c>
      <c r="R657" s="368">
        <f t="shared" si="404"/>
        <v>0</v>
      </c>
      <c r="S657" s="140">
        <f t="shared" si="400"/>
        <v>0</v>
      </c>
      <c r="T657" s="139">
        <f t="shared" si="401"/>
        <v>0</v>
      </c>
      <c r="U657" s="357"/>
      <c r="V657" s="358"/>
      <c r="W657" s="144"/>
    </row>
    <row r="658" spans="2:23" ht="15" hidden="1" customHeight="1" outlineLevel="1" thickBot="1">
      <c r="B658" s="359">
        <f>B654+0.01</f>
        <v>32.109999999999978</v>
      </c>
      <c r="C658" s="360" t="s">
        <v>836</v>
      </c>
      <c r="D658" s="360"/>
      <c r="E658" s="360"/>
      <c r="F658" s="347"/>
      <c r="G658" s="361" t="s">
        <v>837</v>
      </c>
      <c r="H658" s="316"/>
      <c r="I658" s="316"/>
      <c r="J658" s="316"/>
      <c r="K658" s="134" t="str">
        <f>IF(OR(H658="Conductores Americanos",H658="Conductores Europeos"),"Pies","Unid.")</f>
        <v>Unid.</v>
      </c>
      <c r="L658" s="363">
        <v>1</v>
      </c>
      <c r="M658" s="248">
        <f>IFERROR(VLOOKUP(G658,[1]MATERIALES!$D$5:$I$1368,2,FALSE),0)</f>
        <v>0</v>
      </c>
      <c r="N658" s="364">
        <f t="shared" si="393"/>
        <v>0</v>
      </c>
      <c r="O658" s="248">
        <f>+L658*M658</f>
        <v>0</v>
      </c>
      <c r="P658" s="364">
        <f>L658*N658</f>
        <v>0</v>
      </c>
      <c r="Q658" s="248">
        <f>+$O658+($O658*$R$2)</f>
        <v>0</v>
      </c>
      <c r="R658" s="365">
        <f>+$P658+($P658*$R$2)</f>
        <v>0</v>
      </c>
      <c r="S658" s="248">
        <f>+IFERROR(Q658/L658,0)</f>
        <v>0</v>
      </c>
      <c r="T658" s="146">
        <f>+IFERROR(R658/L658,0)</f>
        <v>0</v>
      </c>
      <c r="U658" s="357"/>
      <c r="V658" s="358"/>
      <c r="W658" s="144"/>
    </row>
    <row r="659" spans="2:23" ht="15" hidden="1" customHeight="1" outlineLevel="1" thickBot="1">
      <c r="B659" s="359">
        <f t="shared" ref="B659:B667" si="407">B655+0.01</f>
        <v>32.119999999999976</v>
      </c>
      <c r="C659" s="360" t="s">
        <v>836</v>
      </c>
      <c r="D659" s="360"/>
      <c r="E659" s="360"/>
      <c r="F659" s="347"/>
      <c r="G659" s="361" t="s">
        <v>838</v>
      </c>
      <c r="H659" s="316"/>
      <c r="I659" s="316"/>
      <c r="J659" s="316"/>
      <c r="K659" s="316"/>
      <c r="L659" s="316"/>
      <c r="M659" s="316"/>
      <c r="N659" s="316"/>
      <c r="O659" s="316"/>
      <c r="P659" s="316"/>
      <c r="Q659" s="316"/>
      <c r="R659" s="316"/>
      <c r="S659" s="316"/>
      <c r="T659" s="316"/>
      <c r="U659" s="357"/>
      <c r="V659" s="358"/>
      <c r="W659" s="144"/>
    </row>
    <row r="660" spans="2:23" ht="15" hidden="1" customHeight="1" outlineLevel="1" thickBot="1">
      <c r="B660" s="359">
        <f t="shared" si="407"/>
        <v>32.129999999999974</v>
      </c>
      <c r="C660" s="360" t="s">
        <v>836</v>
      </c>
      <c r="D660" s="360"/>
      <c r="E660" s="360"/>
      <c r="F660" s="347"/>
      <c r="G660" s="361" t="s">
        <v>839</v>
      </c>
      <c r="H660" s="316"/>
      <c r="I660" s="316"/>
      <c r="J660" s="316"/>
      <c r="K660" s="316"/>
      <c r="L660" s="316"/>
      <c r="M660" s="316"/>
      <c r="N660" s="316"/>
      <c r="O660" s="316"/>
      <c r="P660" s="316"/>
      <c r="Q660" s="316"/>
      <c r="R660" s="316"/>
      <c r="S660" s="316"/>
      <c r="T660" s="316"/>
      <c r="U660" s="357"/>
      <c r="V660" s="358"/>
      <c r="W660" s="144"/>
    </row>
    <row r="661" spans="2:23" ht="15" hidden="1" customHeight="1" outlineLevel="1" thickBot="1">
      <c r="B661" s="359">
        <f t="shared" si="407"/>
        <v>32.139999999999972</v>
      </c>
      <c r="C661" s="360" t="s">
        <v>836</v>
      </c>
      <c r="D661" s="360"/>
      <c r="E661" s="360"/>
      <c r="F661" s="347"/>
      <c r="G661" s="361" t="s">
        <v>840</v>
      </c>
      <c r="H661" s="316"/>
      <c r="I661" s="316"/>
      <c r="J661" s="316"/>
      <c r="K661" s="316"/>
      <c r="L661" s="316"/>
      <c r="M661" s="316"/>
      <c r="N661" s="316"/>
      <c r="O661" s="316"/>
      <c r="P661" s="316"/>
      <c r="Q661" s="316"/>
      <c r="R661" s="316"/>
      <c r="S661" s="316"/>
      <c r="T661" s="316"/>
      <c r="U661" s="357"/>
      <c r="V661" s="358"/>
      <c r="W661" s="144"/>
    </row>
    <row r="662" spans="2:23" ht="15" hidden="1" customHeight="1" outlineLevel="1" thickBot="1">
      <c r="B662" s="359">
        <f t="shared" si="407"/>
        <v>32.119999999999976</v>
      </c>
      <c r="C662" s="360" t="s">
        <v>836</v>
      </c>
      <c r="D662" s="360"/>
      <c r="E662" s="360"/>
      <c r="F662" s="347"/>
      <c r="G662" s="361" t="s">
        <v>841</v>
      </c>
      <c r="H662" s="316"/>
      <c r="I662" s="316"/>
      <c r="J662" s="316"/>
      <c r="K662" s="316"/>
      <c r="L662" s="316"/>
      <c r="M662" s="316"/>
      <c r="N662" s="316"/>
      <c r="O662" s="316"/>
      <c r="P662" s="316"/>
      <c r="Q662" s="316"/>
      <c r="R662" s="316"/>
      <c r="S662" s="316"/>
      <c r="T662" s="316"/>
      <c r="U662" s="357"/>
      <c r="V662" s="358"/>
      <c r="W662" s="144"/>
    </row>
    <row r="663" spans="2:23" ht="15" hidden="1" customHeight="1" outlineLevel="1" thickBot="1">
      <c r="B663" s="359">
        <f t="shared" si="407"/>
        <v>32.129999999999974</v>
      </c>
      <c r="C663" s="360" t="s">
        <v>836</v>
      </c>
      <c r="D663" s="360"/>
      <c r="E663" s="360"/>
      <c r="F663" s="347"/>
      <c r="G663" s="361" t="s">
        <v>842</v>
      </c>
      <c r="H663" s="316"/>
      <c r="I663" s="316"/>
      <c r="J663" s="316"/>
      <c r="K663" s="316"/>
      <c r="L663" s="316"/>
      <c r="M663" s="316"/>
      <c r="N663" s="316"/>
      <c r="O663" s="316"/>
      <c r="P663" s="316"/>
      <c r="Q663" s="316"/>
      <c r="R663" s="316"/>
      <c r="S663" s="316"/>
      <c r="T663" s="316"/>
      <c r="U663" s="357"/>
      <c r="V663" s="358"/>
      <c r="W663" s="144"/>
    </row>
    <row r="664" spans="2:23" ht="15" hidden="1" customHeight="1" outlineLevel="1" thickBot="1">
      <c r="B664" s="359">
        <f t="shared" si="407"/>
        <v>32.139999999999972</v>
      </c>
      <c r="C664" s="360" t="s">
        <v>836</v>
      </c>
      <c r="D664" s="360"/>
      <c r="E664" s="360"/>
      <c r="F664" s="347"/>
      <c r="G664" s="361" t="s">
        <v>843</v>
      </c>
      <c r="H664" s="316"/>
      <c r="I664" s="316"/>
      <c r="J664" s="316"/>
      <c r="K664" s="316"/>
      <c r="L664" s="316"/>
      <c r="M664" s="316"/>
      <c r="N664" s="316"/>
      <c r="O664" s="316"/>
      <c r="P664" s="316"/>
      <c r="Q664" s="316"/>
      <c r="R664" s="316"/>
      <c r="S664" s="316"/>
      <c r="T664" s="316"/>
      <c r="U664" s="357"/>
      <c r="V664" s="358"/>
      <c r="W664" s="144"/>
    </row>
    <row r="665" spans="2:23" ht="15" hidden="1" customHeight="1" outlineLevel="1" thickBot="1">
      <c r="B665" s="359">
        <f t="shared" si="407"/>
        <v>32.14999999999997</v>
      </c>
      <c r="C665" s="360" t="s">
        <v>836</v>
      </c>
      <c r="D665" s="360"/>
      <c r="E665" s="360"/>
      <c r="F665" s="347"/>
      <c r="G665" s="361" t="s">
        <v>844</v>
      </c>
      <c r="H665" s="316"/>
      <c r="I665" s="316"/>
      <c r="J665" s="316"/>
      <c r="K665" s="316"/>
      <c r="L665" s="316"/>
      <c r="M665" s="316"/>
      <c r="N665" s="316"/>
      <c r="O665" s="316"/>
      <c r="P665" s="316"/>
      <c r="Q665" s="316"/>
      <c r="R665" s="316"/>
      <c r="S665" s="316"/>
      <c r="T665" s="316"/>
      <c r="U665" s="357"/>
      <c r="V665" s="358"/>
      <c r="W665" s="144"/>
    </row>
    <row r="666" spans="2:23" ht="15" hidden="1" customHeight="1" outlineLevel="1" thickBot="1">
      <c r="B666" s="359">
        <f t="shared" si="407"/>
        <v>32.129999999999974</v>
      </c>
      <c r="C666" s="360" t="s">
        <v>836</v>
      </c>
      <c r="D666" s="360"/>
      <c r="E666" s="360"/>
      <c r="F666" s="347"/>
      <c r="G666" s="361" t="s">
        <v>845</v>
      </c>
      <c r="H666" s="316"/>
      <c r="I666" s="316"/>
      <c r="J666" s="316"/>
      <c r="K666" s="316"/>
      <c r="L666" s="316"/>
      <c r="M666" s="316"/>
      <c r="N666" s="316"/>
      <c r="O666" s="316"/>
      <c r="P666" s="316"/>
      <c r="Q666" s="316"/>
      <c r="R666" s="316"/>
      <c r="S666" s="316"/>
      <c r="T666" s="316"/>
      <c r="U666" s="357"/>
      <c r="V666" s="358"/>
      <c r="W666" s="144"/>
    </row>
    <row r="667" spans="2:23" ht="15" hidden="1" customHeight="1" outlineLevel="1" thickBot="1">
      <c r="B667" s="359">
        <f t="shared" si="407"/>
        <v>32.139999999999972</v>
      </c>
      <c r="C667" s="360" t="s">
        <v>836</v>
      </c>
      <c r="D667" s="360"/>
      <c r="E667" s="360"/>
      <c r="F667" s="347"/>
      <c r="G667" s="372" t="s">
        <v>846</v>
      </c>
      <c r="H667" s="316"/>
      <c r="I667" s="316"/>
      <c r="J667" s="316"/>
      <c r="K667" s="134" t="str">
        <f>IF(OR(H667="Conductores Americanos",H667="Conductores Europeos"),"Pies","Unid.")</f>
        <v>Unid.</v>
      </c>
      <c r="L667" s="363">
        <v>1</v>
      </c>
      <c r="M667" s="248">
        <f>IFERROR(VLOOKUP(G667,[1]MATERIALES!$D$5:$I$1368,2,FALSE),0)</f>
        <v>0</v>
      </c>
      <c r="N667" s="364">
        <f t="shared" ref="N667" si="408">M667/$N$2</f>
        <v>0</v>
      </c>
      <c r="O667" s="248">
        <f>+L667*M667</f>
        <v>0</v>
      </c>
      <c r="P667" s="364">
        <f>L667*N667</f>
        <v>0</v>
      </c>
      <c r="Q667" s="248">
        <f>+$O667+($O667*$R$2)</f>
        <v>0</v>
      </c>
      <c r="R667" s="365">
        <f>+$P667+($P667*$R$2)</f>
        <v>0</v>
      </c>
      <c r="S667" s="248">
        <f>+IFERROR(Q667/L667,0)</f>
        <v>0</v>
      </c>
      <c r="T667" s="146">
        <f>+IFERROR(R667/L667,0)</f>
        <v>0</v>
      </c>
      <c r="U667" s="357"/>
      <c r="V667" s="358"/>
      <c r="W667" s="144"/>
    </row>
    <row r="668" spans="2:23" ht="16" collapsed="1" thickBot="1">
      <c r="B668" s="354">
        <v>33</v>
      </c>
      <c r="C668" s="355" t="s">
        <v>847</v>
      </c>
      <c r="D668" s="269" t="s">
        <v>1</v>
      </c>
      <c r="E668" s="269" t="s">
        <v>1</v>
      </c>
      <c r="F668" s="270" t="s">
        <v>830</v>
      </c>
      <c r="G668" s="271"/>
      <c r="H668" s="272"/>
      <c r="I668" s="272"/>
      <c r="J668" s="272"/>
      <c r="K668" s="268"/>
      <c r="L668" s="268"/>
      <c r="M668" s="273"/>
      <c r="N668" s="274"/>
      <c r="O668" s="273"/>
      <c r="P668" s="274"/>
      <c r="Q668" s="273"/>
      <c r="R668" s="275"/>
      <c r="S668" s="273"/>
      <c r="T668" s="276"/>
      <c r="U668" s="357">
        <f>SUM(R669:R675)</f>
        <v>0</v>
      </c>
      <c r="V668" s="358" t="e">
        <f>'[1]1. OFERTA'!#REF!</f>
        <v>#REF!</v>
      </c>
      <c r="W668" s="144" t="e">
        <f>U668-V668</f>
        <v>#REF!</v>
      </c>
    </row>
    <row r="669" spans="2:23" ht="33" hidden="1" outlineLevel="1" thickBot="1">
      <c r="B669" s="359">
        <f t="shared" si="392"/>
        <v>33.01</v>
      </c>
      <c r="C669" s="360" t="str">
        <f>$C668</f>
        <v xml:space="preserve">TABLERO PA </v>
      </c>
      <c r="D669" s="360" t="str">
        <f t="shared" ref="D669:D675" si="409">$D644</f>
        <v>-</v>
      </c>
      <c r="E669" s="360" t="str">
        <f t="shared" ref="E669:E675" si="410">$E644</f>
        <v>-</v>
      </c>
      <c r="F669" s="347"/>
      <c r="G669" s="361" t="s">
        <v>848</v>
      </c>
      <c r="H669" s="390"/>
      <c r="I669" s="390"/>
      <c r="J669" s="390"/>
      <c r="K669" s="134" t="str">
        <f t="shared" ref="K669:K675" si="411">IF(OR(H669="Conductores Americanos",H669="Conductores Europeos"),"Pies","Unid.")</f>
        <v>Unid.</v>
      </c>
      <c r="L669" s="363">
        <v>1</v>
      </c>
      <c r="M669" s="248">
        <f>IFERROR(VLOOKUP(G669,[1]MATERIALES!$D$5:$I$1368,2,FALSE),0)</f>
        <v>0</v>
      </c>
      <c r="N669" s="364">
        <f t="shared" ref="N669:N675" si="412">M669/$N$2</f>
        <v>0</v>
      </c>
      <c r="O669" s="248">
        <f t="shared" ref="O669:O675" si="413">+L669*M669</f>
        <v>0</v>
      </c>
      <c r="P669" s="364">
        <f t="shared" ref="P669:P675" si="414">L669*N669</f>
        <v>0</v>
      </c>
      <c r="Q669" s="248">
        <f t="shared" ref="Q669:Q680" si="415">+$O669+($O669*$R$2)</f>
        <v>0</v>
      </c>
      <c r="R669" s="365">
        <f t="shared" ref="R669:R680" si="416">+$P669+($P669*$R$2)</f>
        <v>0</v>
      </c>
      <c r="S669" s="248">
        <f t="shared" ref="S669:S675" si="417">+IFERROR(Q669/L669,0)</f>
        <v>0</v>
      </c>
      <c r="T669" s="146">
        <f t="shared" ref="T669:T675" si="418">+IFERROR(R669/L669,0)</f>
        <v>0</v>
      </c>
      <c r="U669" s="357"/>
      <c r="V669" s="358"/>
      <c r="W669" s="144"/>
    </row>
    <row r="670" spans="2:23" ht="17" hidden="1" outlineLevel="1" thickBot="1">
      <c r="B670" s="359">
        <f t="shared" si="392"/>
        <v>33.019999999999996</v>
      </c>
      <c r="C670" s="360" t="str">
        <f t="shared" ref="C670:C675" si="419">$C$668</f>
        <v xml:space="preserve">TABLERO PA </v>
      </c>
      <c r="D670" s="360" t="str">
        <f t="shared" si="409"/>
        <v>-</v>
      </c>
      <c r="E670" s="360" t="str">
        <f t="shared" si="410"/>
        <v>-</v>
      </c>
      <c r="F670" s="347"/>
      <c r="G670" s="361" t="s">
        <v>849</v>
      </c>
      <c r="H670" s="390"/>
      <c r="I670" s="390"/>
      <c r="J670" s="390"/>
      <c r="K670" s="134" t="str">
        <f t="shared" si="411"/>
        <v>Unid.</v>
      </c>
      <c r="L670" s="363">
        <v>1</v>
      </c>
      <c r="M670" s="248">
        <f>IFERROR(VLOOKUP(G670,[1]MATERIALES!$D$5:$I$1368,2,FALSE),0)</f>
        <v>0</v>
      </c>
      <c r="N670" s="364">
        <f t="shared" si="412"/>
        <v>0</v>
      </c>
      <c r="O670" s="248">
        <f t="shared" si="413"/>
        <v>0</v>
      </c>
      <c r="P670" s="364">
        <f t="shared" si="414"/>
        <v>0</v>
      </c>
      <c r="Q670" s="248">
        <f t="shared" si="415"/>
        <v>0</v>
      </c>
      <c r="R670" s="365">
        <f t="shared" si="416"/>
        <v>0</v>
      </c>
      <c r="S670" s="248">
        <f t="shared" si="417"/>
        <v>0</v>
      </c>
      <c r="T670" s="146">
        <f t="shared" si="418"/>
        <v>0</v>
      </c>
      <c r="U670" s="357"/>
      <c r="V670" s="358"/>
      <c r="W670" s="144"/>
    </row>
    <row r="671" spans="2:23" ht="33" hidden="1" outlineLevel="1" thickBot="1">
      <c r="B671" s="359">
        <f t="shared" si="392"/>
        <v>33.029999999999994</v>
      </c>
      <c r="C671" s="360" t="str">
        <f t="shared" si="419"/>
        <v xml:space="preserve">TABLERO PA </v>
      </c>
      <c r="D671" s="360" t="str">
        <f t="shared" si="409"/>
        <v>-</v>
      </c>
      <c r="E671" s="360" t="str">
        <f t="shared" si="410"/>
        <v>-</v>
      </c>
      <c r="F671" s="347"/>
      <c r="G671" s="361" t="s">
        <v>850</v>
      </c>
      <c r="H671" s="390"/>
      <c r="I671" s="390"/>
      <c r="J671" s="390"/>
      <c r="K671" s="134" t="str">
        <f t="shared" si="411"/>
        <v>Unid.</v>
      </c>
      <c r="L671" s="363">
        <v>2</v>
      </c>
      <c r="M671" s="248">
        <f>IFERROR(VLOOKUP(G671,[1]MATERIALES!$D$5:$I$1368,2,FALSE),0)</f>
        <v>0</v>
      </c>
      <c r="N671" s="364">
        <f t="shared" si="412"/>
        <v>0</v>
      </c>
      <c r="O671" s="248">
        <f t="shared" si="413"/>
        <v>0</v>
      </c>
      <c r="P671" s="364">
        <f t="shared" si="414"/>
        <v>0</v>
      </c>
      <c r="Q671" s="248">
        <f t="shared" si="415"/>
        <v>0</v>
      </c>
      <c r="R671" s="365">
        <f t="shared" si="416"/>
        <v>0</v>
      </c>
      <c r="S671" s="248">
        <f t="shared" si="417"/>
        <v>0</v>
      </c>
      <c r="T671" s="146">
        <f t="shared" si="418"/>
        <v>0</v>
      </c>
      <c r="U671" s="357"/>
      <c r="V671" s="358"/>
      <c r="W671" s="144"/>
    </row>
    <row r="672" spans="2:23" ht="33" hidden="1" outlineLevel="1" thickBot="1">
      <c r="B672" s="359">
        <f t="shared" si="392"/>
        <v>33.039999999999992</v>
      </c>
      <c r="C672" s="360" t="str">
        <f t="shared" si="419"/>
        <v xml:space="preserve">TABLERO PA </v>
      </c>
      <c r="D672" s="360" t="str">
        <f t="shared" si="409"/>
        <v>-</v>
      </c>
      <c r="E672" s="360" t="str">
        <f t="shared" si="410"/>
        <v>-</v>
      </c>
      <c r="F672" s="347"/>
      <c r="G672" s="361" t="s">
        <v>851</v>
      </c>
      <c r="H672" s="390"/>
      <c r="I672" s="390"/>
      <c r="J672" s="390"/>
      <c r="K672" s="134" t="str">
        <f t="shared" si="411"/>
        <v>Unid.</v>
      </c>
      <c r="L672" s="363">
        <v>2</v>
      </c>
      <c r="M672" s="248">
        <f>IFERROR(VLOOKUP(G672,[1]MATERIALES!$D$5:$I$1368,2,FALSE),0)</f>
        <v>0</v>
      </c>
      <c r="N672" s="364">
        <f t="shared" si="412"/>
        <v>0</v>
      </c>
      <c r="O672" s="248">
        <f t="shared" si="413"/>
        <v>0</v>
      </c>
      <c r="P672" s="364">
        <f t="shared" si="414"/>
        <v>0</v>
      </c>
      <c r="Q672" s="248">
        <f t="shared" si="415"/>
        <v>0</v>
      </c>
      <c r="R672" s="365">
        <f t="shared" si="416"/>
        <v>0</v>
      </c>
      <c r="S672" s="248">
        <f t="shared" si="417"/>
        <v>0</v>
      </c>
      <c r="T672" s="146">
        <f t="shared" si="418"/>
        <v>0</v>
      </c>
      <c r="U672" s="357"/>
      <c r="V672" s="358"/>
      <c r="W672" s="144"/>
    </row>
    <row r="673" spans="2:24" ht="33" hidden="1" outlineLevel="1" thickBot="1">
      <c r="B673" s="359">
        <f t="shared" si="392"/>
        <v>33.04999999999999</v>
      </c>
      <c r="C673" s="360" t="str">
        <f t="shared" si="419"/>
        <v xml:space="preserve">TABLERO PA </v>
      </c>
      <c r="D673" s="360" t="str">
        <f t="shared" si="409"/>
        <v>-</v>
      </c>
      <c r="E673" s="360" t="str">
        <f t="shared" si="410"/>
        <v>-</v>
      </c>
      <c r="F673" s="347"/>
      <c r="G673" s="361" t="s">
        <v>852</v>
      </c>
      <c r="H673" s="390"/>
      <c r="I673" s="390"/>
      <c r="J673" s="390"/>
      <c r="K673" s="134" t="str">
        <f t="shared" si="411"/>
        <v>Unid.</v>
      </c>
      <c r="L673" s="363">
        <v>2</v>
      </c>
      <c r="M673" s="248">
        <f>IFERROR(VLOOKUP(G673,[1]MATERIALES!$D$5:$I$1368,2,FALSE),0)</f>
        <v>0</v>
      </c>
      <c r="N673" s="364">
        <f t="shared" si="412"/>
        <v>0</v>
      </c>
      <c r="O673" s="248">
        <f t="shared" si="413"/>
        <v>0</v>
      </c>
      <c r="P673" s="364">
        <f t="shared" si="414"/>
        <v>0</v>
      </c>
      <c r="Q673" s="248">
        <f t="shared" si="415"/>
        <v>0</v>
      </c>
      <c r="R673" s="365">
        <f t="shared" si="416"/>
        <v>0</v>
      </c>
      <c r="S673" s="248">
        <f t="shared" si="417"/>
        <v>0</v>
      </c>
      <c r="T673" s="146">
        <f t="shared" si="418"/>
        <v>0</v>
      </c>
      <c r="U673" s="357"/>
      <c r="V673" s="358"/>
      <c r="W673" s="144"/>
    </row>
    <row r="674" spans="2:24" ht="33" hidden="1" outlineLevel="1" thickBot="1">
      <c r="B674" s="359">
        <f t="shared" si="392"/>
        <v>33.059999999999988</v>
      </c>
      <c r="C674" s="360" t="str">
        <f t="shared" si="419"/>
        <v xml:space="preserve">TABLERO PA </v>
      </c>
      <c r="D674" s="360" t="str">
        <f t="shared" si="409"/>
        <v>-</v>
      </c>
      <c r="E674" s="360" t="str">
        <f t="shared" si="410"/>
        <v>-</v>
      </c>
      <c r="F674" s="347"/>
      <c r="G674" s="371" t="s">
        <v>853</v>
      </c>
      <c r="H674" s="390"/>
      <c r="I674" s="390"/>
      <c r="J674" s="390"/>
      <c r="K674" s="134" t="str">
        <f t="shared" si="411"/>
        <v>Unid.</v>
      </c>
      <c r="L674" s="363">
        <v>6</v>
      </c>
      <c r="M674" s="248">
        <f>IFERROR(VLOOKUP(G674,[1]MATERIALES!$D$5:$I$1368,2,FALSE),0)</f>
        <v>0</v>
      </c>
      <c r="N674" s="364">
        <f t="shared" si="412"/>
        <v>0</v>
      </c>
      <c r="O674" s="248">
        <f t="shared" si="413"/>
        <v>0</v>
      </c>
      <c r="P674" s="364">
        <f t="shared" si="414"/>
        <v>0</v>
      </c>
      <c r="Q674" s="248">
        <f t="shared" si="415"/>
        <v>0</v>
      </c>
      <c r="R674" s="365">
        <f t="shared" si="416"/>
        <v>0</v>
      </c>
      <c r="S674" s="248">
        <f t="shared" si="417"/>
        <v>0</v>
      </c>
      <c r="T674" s="146">
        <f t="shared" si="418"/>
        <v>0</v>
      </c>
      <c r="U674" s="357"/>
      <c r="V674" s="358"/>
      <c r="W674" s="144"/>
    </row>
    <row r="675" spans="2:24" ht="33" hidden="1" outlineLevel="1" thickBot="1">
      <c r="B675" s="359">
        <f t="shared" si="392"/>
        <v>33.069999999999986</v>
      </c>
      <c r="C675" s="360" t="str">
        <f t="shared" si="419"/>
        <v xml:space="preserve">TABLERO PA </v>
      </c>
      <c r="D675" s="360" t="str">
        <f t="shared" si="409"/>
        <v>-</v>
      </c>
      <c r="E675" s="360" t="str">
        <f t="shared" si="410"/>
        <v>-</v>
      </c>
      <c r="F675" s="347"/>
      <c r="G675" s="371" t="s">
        <v>854</v>
      </c>
      <c r="H675" s="390"/>
      <c r="I675" s="390"/>
      <c r="J675" s="390"/>
      <c r="K675" s="134" t="str">
        <f t="shared" si="411"/>
        <v>Unid.</v>
      </c>
      <c r="L675" s="363">
        <v>1</v>
      </c>
      <c r="M675" s="248">
        <f>IFERROR(VLOOKUP(G675,[1]MATERIALES!$D$5:$I$1368,2,FALSE),0)</f>
        <v>0</v>
      </c>
      <c r="N675" s="364">
        <f t="shared" si="412"/>
        <v>0</v>
      </c>
      <c r="O675" s="248">
        <f t="shared" si="413"/>
        <v>0</v>
      </c>
      <c r="P675" s="364">
        <f t="shared" si="414"/>
        <v>0</v>
      </c>
      <c r="Q675" s="248">
        <f t="shared" si="415"/>
        <v>0</v>
      </c>
      <c r="R675" s="365">
        <f t="shared" si="416"/>
        <v>0</v>
      </c>
      <c r="S675" s="248">
        <f t="shared" si="417"/>
        <v>0</v>
      </c>
      <c r="T675" s="146">
        <f t="shared" si="418"/>
        <v>0</v>
      </c>
      <c r="U675" s="357"/>
      <c r="V675" s="358"/>
      <c r="W675" s="144"/>
    </row>
    <row r="676" spans="2:24" ht="16" collapsed="1" thickBot="1">
      <c r="B676" s="354">
        <v>33</v>
      </c>
      <c r="C676" s="355" t="s">
        <v>855</v>
      </c>
      <c r="D676" s="269" t="s">
        <v>1</v>
      </c>
      <c r="E676" s="269" t="s">
        <v>1</v>
      </c>
      <c r="F676" s="270" t="s">
        <v>830</v>
      </c>
      <c r="G676" s="271"/>
      <c r="H676" s="272"/>
      <c r="I676" s="272"/>
      <c r="J676" s="272"/>
      <c r="K676" s="268"/>
      <c r="L676" s="268"/>
      <c r="M676" s="273"/>
      <c r="N676" s="274"/>
      <c r="O676" s="273"/>
      <c r="P676" s="274"/>
      <c r="Q676" s="273"/>
      <c r="R676" s="275"/>
      <c r="S676" s="273"/>
      <c r="T676" s="276"/>
      <c r="U676" s="357">
        <f>SUM(R677:R680)</f>
        <v>0</v>
      </c>
      <c r="V676" s="358" t="e">
        <f>'[1]1. OFERTA'!#REF!</f>
        <v>#REF!</v>
      </c>
      <c r="W676" s="144" t="e">
        <f>U676-V676</f>
        <v>#REF!</v>
      </c>
    </row>
    <row r="677" spans="2:24" ht="16" hidden="1" outlineLevel="1" thickBot="1">
      <c r="B677" s="359">
        <f t="shared" si="392"/>
        <v>33.01</v>
      </c>
      <c r="C677" s="360" t="str">
        <f>$C676</f>
        <v>TABLERO PINV</v>
      </c>
      <c r="D677" s="360" t="str">
        <f>$D652</f>
        <v>-</v>
      </c>
      <c r="E677" s="360" t="str">
        <f>$E652</f>
        <v>-</v>
      </c>
      <c r="F677" s="347"/>
      <c r="G677" s="374" t="s">
        <v>856</v>
      </c>
      <c r="H677" s="390"/>
      <c r="I677" s="390"/>
      <c r="J677" s="390"/>
      <c r="K677" s="134" t="str">
        <f t="shared" ref="K677:K680" si="420">IF(OR(H677="Conductores Americanos",H677="Conductores Europeos"),"Pies","Unid.")</f>
        <v>Unid.</v>
      </c>
      <c r="L677" s="363">
        <v>1</v>
      </c>
      <c r="M677" s="248">
        <f>IFERROR(VLOOKUP(G677,[1]MATERIALES!$D$5:$I$1368,2,FALSE),0)</f>
        <v>0</v>
      </c>
      <c r="N677" s="364">
        <f t="shared" ref="N677:N680" si="421">M677/$N$2</f>
        <v>0</v>
      </c>
      <c r="O677" s="248">
        <f t="shared" ref="O677:O680" si="422">+L677*M677</f>
        <v>0</v>
      </c>
      <c r="P677" s="364">
        <f t="shared" ref="P677:P680" si="423">L677*N677</f>
        <v>0</v>
      </c>
      <c r="Q677" s="248">
        <f t="shared" si="415"/>
        <v>0</v>
      </c>
      <c r="R677" s="365">
        <f t="shared" si="416"/>
        <v>0</v>
      </c>
      <c r="S677" s="248">
        <f t="shared" ref="S677:S680" si="424">+IFERROR(Q677/L677,0)</f>
        <v>0</v>
      </c>
      <c r="T677" s="146">
        <f t="shared" ref="T677:T680" si="425">+IFERROR(R677/L677,0)</f>
        <v>0</v>
      </c>
      <c r="U677" s="357"/>
      <c r="V677" s="358"/>
      <c r="W677" s="144"/>
    </row>
    <row r="678" spans="2:24" ht="16" hidden="1" outlineLevel="1" thickBot="1">
      <c r="B678" s="359">
        <f t="shared" si="392"/>
        <v>33.019999999999996</v>
      </c>
      <c r="C678" s="360" t="str">
        <f t="shared" ref="C678:C680" si="426">$C677</f>
        <v>TABLERO PINV</v>
      </c>
      <c r="D678" s="360" t="str">
        <f>$D653</f>
        <v>-</v>
      </c>
      <c r="E678" s="360" t="str">
        <f>$E653</f>
        <v>-</v>
      </c>
      <c r="F678" s="347"/>
      <c r="G678" s="374" t="s">
        <v>857</v>
      </c>
      <c r="H678" s="390"/>
      <c r="I678" s="390"/>
      <c r="J678" s="390"/>
      <c r="K678" s="134" t="str">
        <f t="shared" si="420"/>
        <v>Unid.</v>
      </c>
      <c r="L678" s="363">
        <v>1</v>
      </c>
      <c r="M678" s="248">
        <f>IFERROR(VLOOKUP(G678,[1]MATERIALES!$D$5:$I$1368,2,FALSE),0)</f>
        <v>0</v>
      </c>
      <c r="N678" s="364">
        <f t="shared" si="421"/>
        <v>0</v>
      </c>
      <c r="O678" s="248">
        <f t="shared" si="422"/>
        <v>0</v>
      </c>
      <c r="P678" s="364">
        <f t="shared" si="423"/>
        <v>0</v>
      </c>
      <c r="Q678" s="248">
        <f t="shared" si="415"/>
        <v>0</v>
      </c>
      <c r="R678" s="365">
        <f t="shared" si="416"/>
        <v>0</v>
      </c>
      <c r="S678" s="248">
        <f t="shared" si="424"/>
        <v>0</v>
      </c>
      <c r="T678" s="146">
        <f t="shared" si="425"/>
        <v>0</v>
      </c>
      <c r="U678" s="357"/>
      <c r="V678" s="358"/>
      <c r="W678" s="144"/>
    </row>
    <row r="679" spans="2:24" ht="16" hidden="1" outlineLevel="1" thickBot="1">
      <c r="B679" s="359">
        <f t="shared" si="392"/>
        <v>33.029999999999994</v>
      </c>
      <c r="C679" s="360" t="str">
        <f t="shared" si="426"/>
        <v>TABLERO PINV</v>
      </c>
      <c r="D679" s="360" t="str">
        <f>$D654</f>
        <v>-</v>
      </c>
      <c r="E679" s="360" t="str">
        <f>$E654</f>
        <v>-</v>
      </c>
      <c r="F679" s="347"/>
      <c r="G679" s="135" t="s">
        <v>858</v>
      </c>
      <c r="H679" s="390"/>
      <c r="I679" s="390"/>
      <c r="J679" s="390"/>
      <c r="K679" s="134" t="str">
        <f t="shared" si="420"/>
        <v>Unid.</v>
      </c>
      <c r="L679" s="363">
        <v>8</v>
      </c>
      <c r="M679" s="248">
        <f>IFERROR(VLOOKUP(G679,[1]MATERIALES!$D$5:$I$1368,2,FALSE),0)</f>
        <v>0</v>
      </c>
      <c r="N679" s="364">
        <f t="shared" si="421"/>
        <v>0</v>
      </c>
      <c r="O679" s="248">
        <f t="shared" si="422"/>
        <v>0</v>
      </c>
      <c r="P679" s="364">
        <f t="shared" si="423"/>
        <v>0</v>
      </c>
      <c r="Q679" s="248">
        <f t="shared" si="415"/>
        <v>0</v>
      </c>
      <c r="R679" s="365">
        <f t="shared" si="416"/>
        <v>0</v>
      </c>
      <c r="S679" s="248">
        <f t="shared" si="424"/>
        <v>0</v>
      </c>
      <c r="T679" s="146">
        <f t="shared" si="425"/>
        <v>0</v>
      </c>
      <c r="U679" s="357"/>
      <c r="V679" s="358"/>
      <c r="W679" s="144"/>
    </row>
    <row r="680" spans="2:24" ht="33" hidden="1" outlineLevel="1" thickBot="1">
      <c r="B680" s="359">
        <f t="shared" si="392"/>
        <v>33.039999999999992</v>
      </c>
      <c r="C680" s="360" t="str">
        <f t="shared" si="426"/>
        <v>TABLERO PINV</v>
      </c>
      <c r="D680" s="360" t="str">
        <f t="shared" ref="D680" si="427">$D668</f>
        <v>-</v>
      </c>
      <c r="E680" s="360" t="str">
        <f t="shared" ref="E680" si="428">$E668</f>
        <v>-</v>
      </c>
      <c r="F680" s="347"/>
      <c r="G680" s="361" t="s">
        <v>850</v>
      </c>
      <c r="H680" s="390"/>
      <c r="I680" s="390"/>
      <c r="J680" s="390"/>
      <c r="K680" s="134" t="str">
        <f t="shared" si="420"/>
        <v>Unid.</v>
      </c>
      <c r="L680" s="363">
        <v>9</v>
      </c>
      <c r="M680" s="248">
        <f>IFERROR(VLOOKUP(G680,[1]MATERIALES!$D$5:$I$1368,2,FALSE),0)</f>
        <v>0</v>
      </c>
      <c r="N680" s="364">
        <f t="shared" si="421"/>
        <v>0</v>
      </c>
      <c r="O680" s="248">
        <f t="shared" si="422"/>
        <v>0</v>
      </c>
      <c r="P680" s="364">
        <f t="shared" si="423"/>
        <v>0</v>
      </c>
      <c r="Q680" s="248">
        <f t="shared" si="415"/>
        <v>0</v>
      </c>
      <c r="R680" s="365">
        <f t="shared" si="416"/>
        <v>0</v>
      </c>
      <c r="S680" s="248">
        <f t="shared" si="424"/>
        <v>0</v>
      </c>
      <c r="T680" s="146">
        <f t="shared" si="425"/>
        <v>0</v>
      </c>
      <c r="U680" s="357"/>
      <c r="V680" s="358"/>
      <c r="W680" s="144"/>
    </row>
    <row r="681" spans="2:24" ht="16" collapsed="1" thickBot="1">
      <c r="B681" s="354">
        <v>31</v>
      </c>
      <c r="C681" s="355" t="s">
        <v>859</v>
      </c>
      <c r="D681" s="269" t="s">
        <v>1</v>
      </c>
      <c r="E681" s="269" t="s">
        <v>1</v>
      </c>
      <c r="F681" s="270" t="s">
        <v>809</v>
      </c>
      <c r="G681" s="271"/>
      <c r="H681" s="272"/>
      <c r="I681" s="272"/>
      <c r="J681" s="272"/>
      <c r="K681" s="268"/>
      <c r="L681" s="268"/>
      <c r="M681" s="273"/>
      <c r="N681" s="274"/>
      <c r="O681" s="273"/>
      <c r="P681" s="274"/>
      <c r="Q681" s="273"/>
      <c r="R681" s="275"/>
      <c r="S681" s="273"/>
      <c r="T681" s="276"/>
      <c r="U681" s="357">
        <f>SUM(R682:R686)</f>
        <v>0</v>
      </c>
      <c r="V681" s="358" t="e">
        <f>'[1]1. OFERTA'!#REF!</f>
        <v>#REF!</v>
      </c>
      <c r="W681" s="144" t="e">
        <f>U681-V681</f>
        <v>#REF!</v>
      </c>
      <c r="X681" s="349"/>
    </row>
    <row r="682" spans="2:24" hidden="1" outlineLevel="1">
      <c r="B682" s="359">
        <f t="shared" ref="B682:B685" si="429">B681+0.01</f>
        <v>31.01</v>
      </c>
      <c r="C682" s="360"/>
      <c r="D682" s="360"/>
      <c r="E682" s="360"/>
      <c r="F682" s="347"/>
      <c r="G682" s="391" t="s">
        <v>860</v>
      </c>
      <c r="H682" s="316"/>
      <c r="I682" s="316"/>
      <c r="J682" s="316"/>
      <c r="K682" s="345" t="s">
        <v>784</v>
      </c>
      <c r="L682" s="28">
        <v>2</v>
      </c>
      <c r="M682" s="248">
        <f>IFERROR(VLOOKUP(G682,[1]MATERIALES!$D$5:$I$1368,2,FALSE),0)</f>
        <v>0</v>
      </c>
      <c r="N682" s="367">
        <f t="shared" ref="N682:N685" si="430">M682/$N$2</f>
        <v>0</v>
      </c>
      <c r="O682" s="140">
        <f t="shared" ref="O682:O685" si="431">+L682*M682</f>
        <v>0</v>
      </c>
      <c r="P682" s="367">
        <f t="shared" ref="P682:P685" si="432">L682*N682</f>
        <v>0</v>
      </c>
      <c r="Q682" s="140">
        <f t="shared" ref="Q682:Q685" si="433">+$O682+($O682*$R$2)</f>
        <v>0</v>
      </c>
      <c r="R682" s="368">
        <f t="shared" ref="R682:R685" si="434">+$P682+($P682*$R$2)</f>
        <v>0</v>
      </c>
      <c r="S682" s="140">
        <f t="shared" ref="S682:S685" si="435">+IFERROR(Q682/L682,0)</f>
        <v>0</v>
      </c>
      <c r="T682" s="139">
        <f t="shared" ref="T682:T685" si="436">+IFERROR(R682/L682,0)</f>
        <v>0</v>
      </c>
      <c r="U682" s="145"/>
      <c r="V682" s="145"/>
      <c r="W682" s="141"/>
    </row>
    <row r="683" spans="2:24" hidden="1" outlineLevel="1">
      <c r="B683" s="359">
        <f t="shared" si="429"/>
        <v>31.020000000000003</v>
      </c>
      <c r="C683" s="360"/>
      <c r="D683" s="360"/>
      <c r="E683" s="360"/>
      <c r="F683" s="347"/>
      <c r="G683" s="391" t="s">
        <v>861</v>
      </c>
      <c r="H683" s="316"/>
      <c r="I683" s="316"/>
      <c r="J683" s="316"/>
      <c r="K683" s="345" t="s">
        <v>784</v>
      </c>
      <c r="L683" s="28">
        <v>4</v>
      </c>
      <c r="M683" s="248">
        <f>IFERROR(VLOOKUP(G683,[1]MATERIALES!$D$5:$I$1368,2,FALSE),0)</f>
        <v>0</v>
      </c>
      <c r="N683" s="367">
        <f t="shared" si="430"/>
        <v>0</v>
      </c>
      <c r="O683" s="140">
        <f t="shared" si="431"/>
        <v>0</v>
      </c>
      <c r="P683" s="367">
        <f t="shared" si="432"/>
        <v>0</v>
      </c>
      <c r="Q683" s="140">
        <f t="shared" si="433"/>
        <v>0</v>
      </c>
      <c r="R683" s="368">
        <f t="shared" si="434"/>
        <v>0</v>
      </c>
      <c r="S683" s="140">
        <f t="shared" si="435"/>
        <v>0</v>
      </c>
      <c r="T683" s="139">
        <f t="shared" si="436"/>
        <v>0</v>
      </c>
      <c r="U683" s="145"/>
      <c r="V683" s="145"/>
      <c r="W683" s="141"/>
    </row>
    <row r="684" spans="2:24" hidden="1" outlineLevel="1">
      <c r="B684" s="359">
        <f t="shared" si="429"/>
        <v>31.030000000000005</v>
      </c>
      <c r="C684" s="360"/>
      <c r="D684" s="360"/>
      <c r="E684" s="360"/>
      <c r="F684" s="347"/>
      <c r="G684" s="391" t="s">
        <v>862</v>
      </c>
      <c r="H684" s="316"/>
      <c r="I684" s="316"/>
      <c r="J684" s="316"/>
      <c r="K684" s="345" t="s">
        <v>784</v>
      </c>
      <c r="L684" s="28">
        <v>1</v>
      </c>
      <c r="M684" s="248">
        <f>IFERROR(VLOOKUP(G684,[1]MATERIALES!$D$5:$I$1368,2,FALSE),0)</f>
        <v>0</v>
      </c>
      <c r="N684" s="367">
        <f t="shared" si="430"/>
        <v>0</v>
      </c>
      <c r="O684" s="140">
        <f t="shared" si="431"/>
        <v>0</v>
      </c>
      <c r="P684" s="367">
        <f t="shared" si="432"/>
        <v>0</v>
      </c>
      <c r="Q684" s="140">
        <f t="shared" si="433"/>
        <v>0</v>
      </c>
      <c r="R684" s="368">
        <f t="shared" si="434"/>
        <v>0</v>
      </c>
      <c r="S684" s="140">
        <f t="shared" si="435"/>
        <v>0</v>
      </c>
      <c r="T684" s="139">
        <f t="shared" si="436"/>
        <v>0</v>
      </c>
      <c r="U684" s="145"/>
      <c r="V684" s="145"/>
      <c r="W684" s="141"/>
    </row>
    <row r="685" spans="2:24" hidden="1" outlineLevel="1">
      <c r="B685" s="359">
        <f t="shared" si="429"/>
        <v>31.040000000000006</v>
      </c>
      <c r="C685" s="360"/>
      <c r="D685" s="360"/>
      <c r="E685" s="360"/>
      <c r="F685" s="347"/>
      <c r="G685" s="391" t="s">
        <v>737</v>
      </c>
      <c r="H685" s="316"/>
      <c r="I685" s="316"/>
      <c r="J685" s="316"/>
      <c r="K685" s="345" t="s">
        <v>784</v>
      </c>
      <c r="L685" s="28">
        <f>4*5</f>
        <v>20</v>
      </c>
      <c r="M685" s="248">
        <f>IFERROR(VLOOKUP(G685,[1]MATERIALES!$D$5:$I$1368,2,FALSE),0)</f>
        <v>0</v>
      </c>
      <c r="N685" s="367">
        <f t="shared" si="430"/>
        <v>0</v>
      </c>
      <c r="O685" s="140">
        <f t="shared" si="431"/>
        <v>0</v>
      </c>
      <c r="P685" s="367">
        <f t="shared" si="432"/>
        <v>0</v>
      </c>
      <c r="Q685" s="140">
        <f t="shared" si="433"/>
        <v>0</v>
      </c>
      <c r="R685" s="368">
        <f t="shared" si="434"/>
        <v>0</v>
      </c>
      <c r="S685" s="140">
        <f t="shared" si="435"/>
        <v>0</v>
      </c>
      <c r="T685" s="139">
        <f t="shared" si="436"/>
        <v>0</v>
      </c>
      <c r="U685" s="145"/>
      <c r="V685" s="145"/>
      <c r="W685" s="141"/>
    </row>
    <row r="686" spans="2:24" collapsed="1">
      <c r="B686" s="344"/>
      <c r="C686" s="392"/>
      <c r="D686" s="392"/>
      <c r="E686" s="392"/>
      <c r="F686" s="392"/>
      <c r="G686" s="374"/>
      <c r="H686" s="345"/>
      <c r="I686" s="366"/>
      <c r="J686" s="366"/>
      <c r="K686" s="345"/>
      <c r="L686" s="345"/>
      <c r="M686" s="140"/>
      <c r="N686" s="367"/>
      <c r="O686" s="140"/>
      <c r="P686" s="367"/>
      <c r="Q686" s="368"/>
      <c r="R686" s="368"/>
      <c r="S686" s="368"/>
      <c r="T686" s="368"/>
      <c r="U686" s="145"/>
      <c r="W686" s="349"/>
    </row>
    <row r="687" spans="2:24">
      <c r="B687" s="344"/>
      <c r="C687" s="392"/>
      <c r="D687" s="392"/>
      <c r="E687" s="392"/>
      <c r="F687" s="392"/>
      <c r="G687" s="374"/>
      <c r="H687" s="345"/>
      <c r="I687" s="366"/>
      <c r="J687" s="366"/>
      <c r="K687" s="345"/>
      <c r="L687" s="345"/>
      <c r="M687" s="140"/>
      <c r="N687" s="367"/>
      <c r="O687" s="140"/>
      <c r="P687" s="367"/>
      <c r="Q687" s="368"/>
      <c r="R687" s="368"/>
      <c r="S687" s="368"/>
      <c r="T687" s="368"/>
      <c r="U687" s="145"/>
      <c r="W687" s="349"/>
    </row>
    <row r="688" spans="2:24">
      <c r="B688" s="344"/>
      <c r="C688" s="392"/>
      <c r="D688" s="392"/>
      <c r="E688" s="392"/>
      <c r="F688" s="392"/>
      <c r="G688" s="374"/>
      <c r="H688" s="345"/>
      <c r="I688" s="366"/>
      <c r="J688" s="366"/>
      <c r="K688" s="345"/>
      <c r="L688" s="345"/>
      <c r="M688" s="140"/>
      <c r="N688" s="367"/>
      <c r="O688" s="140"/>
      <c r="P688" s="367"/>
      <c r="Q688" s="368"/>
      <c r="R688" s="368"/>
      <c r="S688" s="368"/>
      <c r="T688" s="368"/>
      <c r="U688" s="145"/>
      <c r="W688" s="349"/>
    </row>
    <row r="689" spans="2:23">
      <c r="B689" s="344"/>
      <c r="C689" s="392"/>
      <c r="D689" s="392"/>
      <c r="E689" s="392"/>
      <c r="F689" s="392"/>
      <c r="G689" s="374"/>
      <c r="H689" s="345"/>
      <c r="I689" s="366"/>
      <c r="J689" s="366"/>
      <c r="K689" s="345"/>
      <c r="L689" s="345"/>
      <c r="M689" s="140"/>
      <c r="N689" s="367"/>
      <c r="O689" s="140"/>
      <c r="P689" s="367"/>
      <c r="Q689" s="368"/>
      <c r="R689" s="368"/>
      <c r="S689" s="368"/>
      <c r="T689" s="368"/>
      <c r="U689" s="145"/>
      <c r="W689" s="349"/>
    </row>
    <row r="690" spans="2:23" ht="16" thickBot="1">
      <c r="G690" s="393"/>
      <c r="H690" s="394"/>
      <c r="I690" s="366"/>
      <c r="J690" s="395"/>
      <c r="K690" s="136"/>
      <c r="L690" s="136"/>
      <c r="M690" s="396"/>
      <c r="N690" s="397"/>
      <c r="O690" s="396"/>
      <c r="P690" s="397"/>
      <c r="Q690" s="398"/>
      <c r="R690" s="398"/>
      <c r="S690" s="368"/>
      <c r="T690" s="368"/>
      <c r="U690" s="145"/>
      <c r="W690" s="349"/>
    </row>
    <row r="691" spans="2:23">
      <c r="G691" s="399" t="s">
        <v>18</v>
      </c>
      <c r="H691" s="258"/>
      <c r="I691" s="228"/>
      <c r="J691" s="228"/>
      <c r="K691" s="229"/>
      <c r="L691" s="259"/>
      <c r="M691" s="232"/>
      <c r="N691" s="230"/>
      <c r="O691" s="233" t="e">
        <f>SUM(O6:O686)</f>
        <v>#VALUE!</v>
      </c>
      <c r="P691" s="231" t="e">
        <f>SUM(P6:P686)</f>
        <v>#VALUE!</v>
      </c>
      <c r="Q691" s="233" t="e">
        <f>SUM(Q6:Q686)</f>
        <v>#VALUE!</v>
      </c>
      <c r="R691" s="231" t="e">
        <f>SUM(R6:R686)</f>
        <v>#VALUE!</v>
      </c>
      <c r="S691" s="400"/>
      <c r="T691" s="368"/>
      <c r="U691" s="145"/>
    </row>
    <row r="692" spans="2:23">
      <c r="G692" s="401"/>
      <c r="H692" s="402"/>
      <c r="I692" s="403"/>
      <c r="J692" s="403"/>
      <c r="K692" s="189"/>
      <c r="L692" s="404"/>
      <c r="M692" s="405"/>
      <c r="N692" s="406"/>
      <c r="O692" s="407"/>
      <c r="P692" s="406"/>
      <c r="Q692" s="408"/>
      <c r="R692" s="409"/>
      <c r="S692" s="400"/>
      <c r="T692" s="368"/>
      <c r="U692" s="145"/>
    </row>
    <row r="693" spans="2:23" ht="16" thickBot="1">
      <c r="G693" s="262"/>
      <c r="H693" s="235"/>
      <c r="I693" s="410"/>
      <c r="J693" s="410"/>
      <c r="K693" s="190"/>
      <c r="L693" s="190"/>
      <c r="M693" s="36"/>
      <c r="N693" s="411" t="s">
        <v>171</v>
      </c>
      <c r="O693" s="412" t="e">
        <f>Q691-O691</f>
        <v>#VALUE!</v>
      </c>
      <c r="P693" s="413" t="e">
        <f>R691-P691</f>
        <v>#VALUE!</v>
      </c>
      <c r="S693" s="349"/>
      <c r="U693" s="145"/>
    </row>
    <row r="694" spans="2:23" ht="16" thickBot="1">
      <c r="G694" s="414"/>
      <c r="H694" s="415"/>
      <c r="I694" s="416"/>
      <c r="J694" s="416"/>
      <c r="K694" s="415"/>
      <c r="L694" s="415"/>
      <c r="M694" s="417"/>
      <c r="N694" s="415"/>
      <c r="O694" s="418"/>
      <c r="Q694" s="349"/>
      <c r="U694" s="145"/>
    </row>
    <row r="695" spans="2:23">
      <c r="G695" s="414"/>
      <c r="H695" s="415"/>
      <c r="I695" s="416"/>
      <c r="J695" s="416"/>
      <c r="L695" s="648" t="s">
        <v>172</v>
      </c>
      <c r="M695" s="649"/>
      <c r="N695" s="183"/>
      <c r="O695" s="419" t="e">
        <f>O691+O693</f>
        <v>#VALUE!</v>
      </c>
      <c r="P695" s="420" t="e">
        <f>P691+P693</f>
        <v>#VALUE!</v>
      </c>
      <c r="T695" s="349"/>
      <c r="U695" s="145"/>
    </row>
    <row r="696" spans="2:23">
      <c r="G696" s="414"/>
      <c r="H696" s="415"/>
      <c r="I696" s="416"/>
      <c r="J696" s="416"/>
      <c r="L696" s="650" t="s">
        <v>173</v>
      </c>
      <c r="M696" s="651"/>
      <c r="N696" s="159">
        <v>0</v>
      </c>
      <c r="O696" s="421" t="e">
        <f>+O695*N696</f>
        <v>#VALUE!</v>
      </c>
      <c r="P696" s="422" t="e">
        <f>+P695*$N$696</f>
        <v>#VALUE!</v>
      </c>
      <c r="U696" s="145"/>
    </row>
    <row r="697" spans="2:23" ht="16" thickBot="1">
      <c r="G697" s="414"/>
      <c r="H697" s="415"/>
      <c r="I697" s="416"/>
      <c r="J697" s="416"/>
      <c r="L697" s="652" t="s">
        <v>174</v>
      </c>
      <c r="M697" s="653"/>
      <c r="N697" s="184"/>
      <c r="O697" s="423" t="e">
        <f>SUM(O695:O696)</f>
        <v>#VALUE!</v>
      </c>
      <c r="P697" s="424" t="e">
        <f>SUM(P695:P696)</f>
        <v>#VALUE!</v>
      </c>
      <c r="U697" s="145"/>
    </row>
    <row r="698" spans="2:23">
      <c r="I698" s="342"/>
      <c r="J698" s="342"/>
      <c r="K698" s="342"/>
      <c r="L698" s="342"/>
      <c r="M698" s="147"/>
      <c r="N698" s="342"/>
      <c r="O698" s="342"/>
      <c r="U698" s="145"/>
    </row>
    <row r="699" spans="2:23">
      <c r="I699" s="342"/>
      <c r="J699" s="342"/>
      <c r="K699" s="342"/>
      <c r="L699" s="342"/>
      <c r="M699" s="147"/>
      <c r="N699" s="342"/>
      <c r="O699" s="342"/>
      <c r="Q699" s="425" t="e">
        <f>P697*N2</f>
        <v>#VALUE!</v>
      </c>
      <c r="T699" s="141"/>
      <c r="U699" s="145"/>
    </row>
    <row r="700" spans="2:23">
      <c r="I700" s="342"/>
      <c r="J700" s="342"/>
      <c r="K700" s="342"/>
      <c r="L700" s="342"/>
      <c r="M700" s="147"/>
      <c r="N700" s="342"/>
      <c r="O700" s="342"/>
      <c r="Q700" s="425" t="e">
        <f>Q699*0.4</f>
        <v>#VALUE!</v>
      </c>
      <c r="U700" s="145"/>
    </row>
  </sheetData>
  <dataConsolidate/>
  <mergeCells count="12">
    <mergeCell ref="L695:M695"/>
    <mergeCell ref="L696:M696"/>
    <mergeCell ref="L697:M697"/>
    <mergeCell ref="O2:P2"/>
    <mergeCell ref="B4:B5"/>
    <mergeCell ref="C4:C5"/>
    <mergeCell ref="D4:D5"/>
    <mergeCell ref="E4:E5"/>
    <mergeCell ref="F4:F5"/>
    <mergeCell ref="G4:I4"/>
    <mergeCell ref="K4:K5"/>
    <mergeCell ref="L4:L5"/>
  </mergeCells>
  <conditionalFormatting sqref="W6">
    <cfRule type="colorScale" priority="17">
      <colorScale>
        <cfvo type="num" val="$W$6&lt;0"/>
        <cfvo type="num" val="$W$6&gt;0"/>
        <cfvo type="num" val="0"/>
        <color rgb="FFFF0000"/>
        <color rgb="FFFF0000"/>
        <color rgb="FF63BE7B"/>
      </colorScale>
    </cfRule>
    <cfRule type="colorScale" priority="18">
      <colorScale>
        <cfvo type="min"/>
        <cfvo type="num" val="&quot;&gt;0&quot;"/>
        <cfvo type="max"/>
        <color rgb="FFF8696B"/>
        <color rgb="FFFFEB84"/>
        <color rgb="FF63BE7B"/>
      </colorScale>
    </cfRule>
    <cfRule type="colorScale" priority="19">
      <colorScale>
        <cfvo type="min"/>
        <cfvo type="num" val="0"/>
        <color rgb="FFFF7128"/>
        <color rgb="FF92D050"/>
      </colorScale>
    </cfRule>
    <cfRule type="colorScale" priority="20">
      <colorScale>
        <cfvo type="min"/>
        <cfvo type="percentile" val="50"/>
        <cfvo type="max"/>
        <color rgb="FF63BE7B"/>
        <color rgb="FFFFEB84"/>
        <color rgb="FFF8696B"/>
      </colorScale>
    </cfRule>
  </conditionalFormatting>
  <conditionalFormatting sqref="W239:W281 W28:W237 W283:W590">
    <cfRule type="colorScale" priority="13">
      <colorScale>
        <cfvo type="num" val="$W$6&lt;0"/>
        <cfvo type="num" val="$W$6&gt;0"/>
        <cfvo type="num" val="0"/>
        <color rgb="FFFF0000"/>
        <color rgb="FFFF0000"/>
        <color rgb="FF63BE7B"/>
      </colorScale>
    </cfRule>
    <cfRule type="colorScale" priority="14">
      <colorScale>
        <cfvo type="min"/>
        <cfvo type="num" val="&quot;&gt;0&quot;"/>
        <cfvo type="max"/>
        <color rgb="FFF8696B"/>
        <color rgb="FFFFEB84"/>
        <color rgb="FF63BE7B"/>
      </colorScale>
    </cfRule>
    <cfRule type="colorScale" priority="15">
      <colorScale>
        <cfvo type="min"/>
        <cfvo type="num" val="0"/>
        <color rgb="FFFF7128"/>
        <color rgb="FF92D050"/>
      </colorScale>
    </cfRule>
    <cfRule type="colorScale" priority="16">
      <colorScale>
        <cfvo type="min"/>
        <cfvo type="percentile" val="50"/>
        <cfvo type="max"/>
        <color rgb="FF63BE7B"/>
        <color rgb="FFFFEB84"/>
        <color rgb="FFF8696B"/>
      </colorScale>
    </cfRule>
  </conditionalFormatting>
  <conditionalFormatting sqref="W238">
    <cfRule type="colorScale" priority="9">
      <colorScale>
        <cfvo type="num" val="$W$6&lt;0"/>
        <cfvo type="num" val="$W$6&gt;0"/>
        <cfvo type="num" val="0"/>
        <color rgb="FFFF0000"/>
        <color rgb="FFFF0000"/>
        <color rgb="FF63BE7B"/>
      </colorScale>
    </cfRule>
    <cfRule type="colorScale" priority="10">
      <colorScale>
        <cfvo type="min"/>
        <cfvo type="num" val="&quot;&gt;0&quot;"/>
        <cfvo type="max"/>
        <color rgb="FFF8696B"/>
        <color rgb="FFFFEB84"/>
        <color rgb="FF63BE7B"/>
      </colorScale>
    </cfRule>
    <cfRule type="colorScale" priority="11">
      <colorScale>
        <cfvo type="min"/>
        <cfvo type="num" val="0"/>
        <color rgb="FFFF7128"/>
        <color rgb="FF92D050"/>
      </colorScale>
    </cfRule>
    <cfRule type="colorScale" priority="12">
      <colorScale>
        <cfvo type="min"/>
        <cfvo type="percentile" val="50"/>
        <cfvo type="max"/>
        <color rgb="FF63BE7B"/>
        <color rgb="FFFFEB84"/>
        <color rgb="FFF8696B"/>
      </colorScale>
    </cfRule>
  </conditionalFormatting>
  <conditionalFormatting sqref="W608:W681">
    <cfRule type="colorScale" priority="5">
      <colorScale>
        <cfvo type="num" val="$W$6&lt;0"/>
        <cfvo type="num" val="$W$6&gt;0"/>
        <cfvo type="num" val="0"/>
        <color rgb="FFFF0000"/>
        <color rgb="FFFF0000"/>
        <color rgb="FF63BE7B"/>
      </colorScale>
    </cfRule>
    <cfRule type="colorScale" priority="6">
      <colorScale>
        <cfvo type="min"/>
        <cfvo type="num" val="&quot;&gt;0&quot;"/>
        <cfvo type="max"/>
        <color rgb="FFF8696B"/>
        <color rgb="FFFFEB84"/>
        <color rgb="FF63BE7B"/>
      </colorScale>
    </cfRule>
    <cfRule type="colorScale" priority="7">
      <colorScale>
        <cfvo type="min"/>
        <cfvo type="num" val="0"/>
        <color rgb="FFFF7128"/>
        <color rgb="FF92D050"/>
      </colorScale>
    </cfRule>
    <cfRule type="colorScale" priority="8">
      <colorScale>
        <cfvo type="min"/>
        <cfvo type="percentile" val="50"/>
        <cfvo type="max"/>
        <color rgb="FF63BE7B"/>
        <color rgb="FFFFEB84"/>
        <color rgb="FFF8696B"/>
      </colorScale>
    </cfRule>
  </conditionalFormatting>
  <conditionalFormatting sqref="W282">
    <cfRule type="colorScale" priority="1">
      <colorScale>
        <cfvo type="num" val="$W$6&lt;0"/>
        <cfvo type="num" val="$W$6&gt;0"/>
        <cfvo type="num" val="0"/>
        <color rgb="FFFF0000"/>
        <color rgb="FFFF0000"/>
        <color rgb="FF63BE7B"/>
      </colorScale>
    </cfRule>
    <cfRule type="colorScale" priority="2">
      <colorScale>
        <cfvo type="min"/>
        <cfvo type="num" val="&quot;&gt;0&quot;"/>
        <cfvo type="max"/>
        <color rgb="FFF8696B"/>
        <color rgb="FFFFEB84"/>
        <color rgb="FF63BE7B"/>
      </colorScale>
    </cfRule>
    <cfRule type="colorScale" priority="3">
      <colorScale>
        <cfvo type="min"/>
        <cfvo type="num" val="0"/>
        <color rgb="FFFF7128"/>
        <color rgb="FF92D050"/>
      </colorScale>
    </cfRule>
    <cfRule type="colorScale" priority="4">
      <colorScale>
        <cfvo type="min"/>
        <cfvo type="percentile" val="50"/>
        <cfvo type="max"/>
        <color rgb="FF63BE7B"/>
        <color rgb="FFFFEB84"/>
        <color rgb="FFF8696B"/>
      </colorScale>
    </cfRule>
  </conditionalFormatting>
  <dataValidations disablePrompts="1" count="8">
    <dataValidation type="list" allowBlank="1" showInputMessage="1" showErrorMessage="1" sqref="I600:I605" xr:uid="{F0A1F6EB-5DFE-49E3-B362-0B042882B736}">
      <formula1>Tipo_cableado_tel</formula1>
    </dataValidation>
    <dataValidation type="list" allowBlank="1" showInputMessage="1" showErrorMessage="1" sqref="F608:F609 F6:F7 F28:F29 F330:F331 F430:F431 F241:F242 F450:F451 F470:F471 F490:F491 F510:F511 F530:F531 F550:F551 F570:F571 F172:F173 F194:F195 F216:F217 F286:F287 F48:F49 F308:F309 F68:F69 F88:F89 F108:F109 F130:F131 F150:F151 F350:F351 F370:F371 F390:F391 F410:F411 F263:F264 F590:F591 F626:F627 F644:F645 F668 F676 F681" xr:uid="{4EAE95D1-1346-4ADD-B317-E1DF4EB92A8D}">
      <formula1>sistema</formula1>
    </dataValidation>
    <dataValidation type="list" allowBlank="1" showInputMessage="1" showErrorMessage="1" sqref="I188:I189 I324:I325 I257:I258 I279:I280 I302:I303 I210:I211 I232:I234" xr:uid="{FB1AA506-6866-4CBC-BCFB-F6DD4D317126}">
      <formula1>Tipo_apagadores</formula1>
    </dataValidation>
    <dataValidation type="list" allowBlank="1" showInputMessage="1" showErrorMessage="1" sqref="I406 I44 I346 I446 I64 I466 I24 I486 I506 I526 I546 I566 I586 I84 I104 I126 I146 I166 I366 I386 I22 I124 I168 I426" xr:uid="{40547453-6BE3-4D2B-9D06-4B9565FCC906}">
      <formula1>Tipo_embellecedores</formula1>
    </dataValidation>
    <dataValidation type="list" allowBlank="1" showInputMessage="1" showErrorMessage="1" sqref="I21 I43 I345 I445 I63 I465 I23 I485 I505 I525 I545 I565 I585 I83 I103 I125 I145 I165 I365 I385 I405 I123 I167 I425" xr:uid="{EB6F6934-E7FB-4C97-B551-471A7BF4882A}">
      <formula1>Tipo_tomas</formula1>
    </dataValidation>
    <dataValidation type="list" allowBlank="1" showInputMessage="1" showErrorMessage="1" sqref="H188:H189 H21 H43 H345 H445 H63 H465 H23 H485 H505 H525 H545 H565 H585 H257:H258 H279:H280 H302:H303 H324:H325 H232:H234 H83 H103 H125 H145 H165 H365 H385 H405 H210:H211 H123 H167 H425 H603:H605" xr:uid="{371A458F-DE13-4902-B018-646952167623}">
      <formula1>Marca_tomas</formula1>
    </dataValidation>
    <dataValidation type="list" allowBlank="1" showInputMessage="1" showErrorMessage="1" sqref="I618 I650 I318 I639:I640 I636 I404 I400 I164 I160 I364 I360 I344 I340 I144 I140 I323 I653:I657 I122 I118 I102 I98 I82 I78 I584 I580 I278 I273 I256 I251 I231 I226 I209 I204 I187 I564 I544 I540 I524 I520 I464 I460 I484 I504 I480 I500 I384 I380 I444 I440 I58 I61:I62 I424 I420 I301 I296 I560 I182 I621:I622 I16 I19:I20 I38 I41:I42" xr:uid="{01A394C4-0CE6-4E43-8E6B-3D547E1B89D0}">
      <formula1>IF($H$618="Conductores Americanos",cond_am,cond_eu)</formula1>
    </dataValidation>
    <dataValidation type="list" allowBlank="1" showInputMessage="1" showErrorMessage="1" sqref="H618 H182 H16 H38 H296 H420 H58 H440 H380 H460 H480 H500 H520 H540 H560 H204 H226 H251 H273 H580 H78 H98 H118 H318 H140 H340 H360 H160 H400 H600 H636 H650" xr:uid="{3C73EBA4-0E60-4249-9928-40098217E598}">
      <formula1>Tipo_condut</formula1>
    </dataValidation>
  </dataValidation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79193-71C1-42BD-B8BE-88283BE5F5F1}">
  <dimension ref="A1:P833"/>
  <sheetViews>
    <sheetView topLeftCell="A226" zoomScale="116" zoomScaleNormal="80" workbookViewId="0">
      <selection activeCell="B40" sqref="B40"/>
    </sheetView>
  </sheetViews>
  <sheetFormatPr baseColWidth="10" defaultColWidth="8.83203125" defaultRowHeight="15"/>
  <cols>
    <col min="1" max="1" width="26.83203125" style="26" bestFit="1" customWidth="1"/>
    <col min="2" max="2" width="12.6640625" style="26" bestFit="1" customWidth="1"/>
    <col min="3" max="3" width="18.1640625" bestFit="1" customWidth="1"/>
    <col min="4" max="4" width="86.5" style="26" bestFit="1" customWidth="1"/>
    <col min="5" max="5" width="28.33203125" style="3" customWidth="1"/>
    <col min="6" max="6" width="11.5" style="289" bestFit="1" customWidth="1"/>
    <col min="7" max="7" width="20.1640625" style="3" customWidth="1"/>
    <col min="8" max="8" width="18.83203125" style="3" customWidth="1"/>
    <col min="9" max="9" width="18.1640625" style="3" bestFit="1" customWidth="1"/>
    <col min="10" max="10" width="13.1640625" customWidth="1"/>
    <col min="11" max="11" width="23.6640625" bestFit="1" customWidth="1"/>
    <col min="12" max="13" width="11.5" bestFit="1" customWidth="1"/>
    <col min="14" max="14" width="23.5" bestFit="1" customWidth="1"/>
    <col min="15" max="15" width="30.33203125" bestFit="1" customWidth="1"/>
    <col min="16" max="16" width="27.33203125" bestFit="1" customWidth="1"/>
  </cols>
  <sheetData>
    <row r="1" spans="1:16" ht="16" thickBot="1"/>
    <row r="2" spans="1:16" ht="14.5" customHeight="1">
      <c r="A2" s="654" t="s">
        <v>175</v>
      </c>
      <c r="B2" s="655"/>
      <c r="C2" s="655"/>
      <c r="D2" s="655"/>
      <c r="E2" s="655"/>
      <c r="F2" s="655"/>
      <c r="G2" s="655"/>
      <c r="H2" s="655"/>
      <c r="I2" s="656"/>
      <c r="O2" s="3"/>
      <c r="P2" s="3"/>
    </row>
    <row r="3" spans="1:16" ht="15" customHeight="1" thickBot="1">
      <c r="A3" s="657"/>
      <c r="B3" s="658"/>
      <c r="C3" s="658"/>
      <c r="D3" s="658"/>
      <c r="E3" s="658"/>
      <c r="F3" s="658"/>
      <c r="G3" s="658"/>
      <c r="H3" s="658"/>
      <c r="I3" s="659"/>
      <c r="K3" s="318"/>
      <c r="L3" s="318"/>
    </row>
    <row r="4" spans="1:16" ht="19">
      <c r="A4" s="236" t="s">
        <v>143</v>
      </c>
      <c r="B4" s="236" t="s">
        <v>143</v>
      </c>
      <c r="C4" s="236" t="s">
        <v>176</v>
      </c>
      <c r="D4" s="236" t="s">
        <v>70</v>
      </c>
      <c r="E4" s="236"/>
      <c r="F4" s="281"/>
      <c r="G4" s="236" t="s">
        <v>177</v>
      </c>
      <c r="H4" s="236" t="s">
        <v>178</v>
      </c>
      <c r="I4" s="237" t="s">
        <v>18</v>
      </c>
      <c r="J4" s="319"/>
      <c r="K4" s="320" t="s">
        <v>143</v>
      </c>
      <c r="L4" s="320" t="s">
        <v>176</v>
      </c>
      <c r="M4" s="320" t="s">
        <v>179</v>
      </c>
      <c r="N4" s="320" t="s">
        <v>180</v>
      </c>
      <c r="O4" s="320" t="s">
        <v>181</v>
      </c>
      <c r="P4" s="320" t="s">
        <v>182</v>
      </c>
    </row>
    <row r="5" spans="1:16">
      <c r="A5" s="278" t="s">
        <v>183</v>
      </c>
      <c r="B5" s="278" t="s">
        <v>184</v>
      </c>
      <c r="C5" s="278" t="s">
        <v>185</v>
      </c>
      <c r="D5" s="268" t="s">
        <v>186</v>
      </c>
      <c r="E5" s="268" t="s">
        <v>187</v>
      </c>
      <c r="F5" s="285"/>
      <c r="G5" s="273">
        <v>2077.69</v>
      </c>
      <c r="H5" s="273">
        <f t="shared" ref="H5:H39" si="0">G5*0.18</f>
        <v>373.98419999999999</v>
      </c>
      <c r="I5" s="295">
        <f t="shared" ref="I5:I32" si="1">SUM(G5:H5)</f>
        <v>2451.6741999999999</v>
      </c>
      <c r="J5" s="321"/>
      <c r="K5" s="317" t="s">
        <v>184</v>
      </c>
      <c r="L5" s="317" t="s">
        <v>185</v>
      </c>
      <c r="M5" s="9" t="s">
        <v>188</v>
      </c>
      <c r="N5" s="9" t="s">
        <v>181</v>
      </c>
      <c r="O5" s="317" t="s">
        <v>189</v>
      </c>
      <c r="P5" s="317" t="s">
        <v>190</v>
      </c>
    </row>
    <row r="6" spans="1:16">
      <c r="A6" s="268" t="s">
        <v>183</v>
      </c>
      <c r="B6" s="278" t="s">
        <v>184</v>
      </c>
      <c r="C6" s="268" t="s">
        <v>191</v>
      </c>
      <c r="D6" s="268" t="s">
        <v>192</v>
      </c>
      <c r="E6" s="268" t="s">
        <v>187</v>
      </c>
      <c r="F6" s="285"/>
      <c r="G6" s="273">
        <v>1449.96</v>
      </c>
      <c r="H6" s="273">
        <f t="shared" si="0"/>
        <v>260.99279999999999</v>
      </c>
      <c r="I6" s="295">
        <f t="shared" si="1"/>
        <v>1710.9528</v>
      </c>
      <c r="J6" s="321"/>
      <c r="K6" s="317" t="s">
        <v>193</v>
      </c>
      <c r="L6" s="317" t="s">
        <v>191</v>
      </c>
      <c r="M6" s="300" t="s">
        <v>194</v>
      </c>
      <c r="N6" s="300" t="s">
        <v>182</v>
      </c>
      <c r="O6" s="317" t="s">
        <v>153</v>
      </c>
      <c r="P6" s="317" t="s">
        <v>195</v>
      </c>
    </row>
    <row r="7" spans="1:16">
      <c r="A7" s="268" t="s">
        <v>183</v>
      </c>
      <c r="B7" s="268" t="s">
        <v>184</v>
      </c>
      <c r="C7" s="268" t="s">
        <v>196</v>
      </c>
      <c r="D7" s="268" t="s">
        <v>197</v>
      </c>
      <c r="E7" s="268" t="s">
        <v>187</v>
      </c>
      <c r="F7" s="285"/>
      <c r="G7" s="273">
        <v>780</v>
      </c>
      <c r="H7" s="273">
        <f t="shared" si="0"/>
        <v>140.4</v>
      </c>
      <c r="I7" s="295">
        <f t="shared" si="1"/>
        <v>920.4</v>
      </c>
      <c r="J7" s="321"/>
      <c r="K7" s="317" t="s">
        <v>198</v>
      </c>
      <c r="L7" s="317" t="s">
        <v>196</v>
      </c>
      <c r="M7" s="300" t="s">
        <v>199</v>
      </c>
      <c r="N7" s="300"/>
      <c r="O7" s="317" t="s">
        <v>200</v>
      </c>
      <c r="P7" s="317" t="s">
        <v>201</v>
      </c>
    </row>
    <row r="8" spans="1:16">
      <c r="A8" s="268" t="s">
        <v>183</v>
      </c>
      <c r="B8" s="268" t="s">
        <v>184</v>
      </c>
      <c r="C8" s="268" t="s">
        <v>202</v>
      </c>
      <c r="D8" s="268" t="s">
        <v>203</v>
      </c>
      <c r="E8" s="268" t="s">
        <v>187</v>
      </c>
      <c r="F8" s="285"/>
      <c r="G8" s="273">
        <v>561</v>
      </c>
      <c r="H8" s="273">
        <f t="shared" si="0"/>
        <v>100.97999999999999</v>
      </c>
      <c r="I8" s="295">
        <f t="shared" si="1"/>
        <v>661.98</v>
      </c>
      <c r="J8" s="321"/>
      <c r="K8" s="317" t="s">
        <v>204</v>
      </c>
      <c r="L8" s="317" t="s">
        <v>202</v>
      </c>
      <c r="M8" s="300" t="s">
        <v>205</v>
      </c>
      <c r="N8" s="300"/>
      <c r="O8" s="317" t="s">
        <v>206</v>
      </c>
      <c r="P8" s="317" t="s">
        <v>207</v>
      </c>
    </row>
    <row r="9" spans="1:16">
      <c r="A9" s="268" t="s">
        <v>183</v>
      </c>
      <c r="B9" s="268" t="s">
        <v>184</v>
      </c>
      <c r="C9" s="268" t="s">
        <v>208</v>
      </c>
      <c r="D9" s="268" t="s">
        <v>209</v>
      </c>
      <c r="E9" s="268" t="s">
        <v>187</v>
      </c>
      <c r="F9" s="285"/>
      <c r="G9" s="273">
        <v>239.76</v>
      </c>
      <c r="H9" s="273">
        <f t="shared" si="0"/>
        <v>43.156799999999997</v>
      </c>
      <c r="I9" s="295">
        <f t="shared" si="1"/>
        <v>282.91679999999997</v>
      </c>
      <c r="J9" s="321"/>
      <c r="K9" s="317"/>
      <c r="L9" s="317" t="s">
        <v>208</v>
      </c>
      <c r="M9" s="317"/>
      <c r="N9" s="317"/>
      <c r="O9" s="317" t="s">
        <v>210</v>
      </c>
      <c r="P9" s="317" t="s">
        <v>211</v>
      </c>
    </row>
    <row r="10" spans="1:16">
      <c r="A10" s="268" t="s">
        <v>183</v>
      </c>
      <c r="B10" s="268" t="s">
        <v>184</v>
      </c>
      <c r="C10" s="268" t="s">
        <v>212</v>
      </c>
      <c r="D10" s="268" t="s">
        <v>213</v>
      </c>
      <c r="E10" s="268" t="s">
        <v>187</v>
      </c>
      <c r="F10" s="285"/>
      <c r="G10" s="273">
        <v>130</v>
      </c>
      <c r="H10" s="273">
        <f t="shared" si="0"/>
        <v>23.4</v>
      </c>
      <c r="I10" s="295">
        <f t="shared" si="1"/>
        <v>153.4</v>
      </c>
      <c r="J10" s="321"/>
      <c r="K10" s="317"/>
      <c r="L10" s="317" t="s">
        <v>212</v>
      </c>
      <c r="M10" s="317"/>
      <c r="N10" s="317"/>
      <c r="O10" s="317" t="s">
        <v>214</v>
      </c>
      <c r="P10" s="317" t="s">
        <v>215</v>
      </c>
    </row>
    <row r="11" spans="1:16">
      <c r="A11" s="268" t="s">
        <v>183</v>
      </c>
      <c r="B11" s="268" t="s">
        <v>184</v>
      </c>
      <c r="C11" s="268" t="s">
        <v>216</v>
      </c>
      <c r="D11" s="268" t="s">
        <v>217</v>
      </c>
      <c r="E11" s="268" t="s">
        <v>187</v>
      </c>
      <c r="F11" s="285"/>
      <c r="G11" s="273">
        <v>102</v>
      </c>
      <c r="H11" s="273">
        <f t="shared" si="0"/>
        <v>18.36</v>
      </c>
      <c r="I11" s="295">
        <f t="shared" si="1"/>
        <v>120.36</v>
      </c>
      <c r="J11" s="321"/>
      <c r="K11" s="317"/>
      <c r="L11" s="317" t="s">
        <v>216</v>
      </c>
      <c r="M11" s="317"/>
      <c r="N11" s="317"/>
      <c r="O11" s="317" t="s">
        <v>218</v>
      </c>
      <c r="P11" s="317" t="s">
        <v>219</v>
      </c>
    </row>
    <row r="12" spans="1:16">
      <c r="A12" s="268" t="s">
        <v>220</v>
      </c>
      <c r="B12" s="268" t="s">
        <v>184</v>
      </c>
      <c r="C12" s="268" t="s">
        <v>185</v>
      </c>
      <c r="D12" s="268" t="s">
        <v>221</v>
      </c>
      <c r="E12" s="268" t="s">
        <v>187</v>
      </c>
      <c r="F12" s="285"/>
      <c r="G12" s="273">
        <v>210</v>
      </c>
      <c r="H12" s="273">
        <f t="shared" si="0"/>
        <v>37.799999999999997</v>
      </c>
      <c r="I12" s="295">
        <f t="shared" si="1"/>
        <v>247.8</v>
      </c>
      <c r="J12" s="321"/>
      <c r="K12" s="317"/>
      <c r="L12" s="317"/>
      <c r="M12" s="135"/>
      <c r="N12" s="135"/>
      <c r="O12" s="317" t="s">
        <v>222</v>
      </c>
      <c r="P12" s="317" t="s">
        <v>223</v>
      </c>
    </row>
    <row r="13" spans="1:16">
      <c r="A13" s="268" t="s">
        <v>220</v>
      </c>
      <c r="B13" s="268" t="s">
        <v>184</v>
      </c>
      <c r="C13" s="268" t="s">
        <v>191</v>
      </c>
      <c r="D13" s="268" t="s">
        <v>224</v>
      </c>
      <c r="E13" s="268" t="s">
        <v>187</v>
      </c>
      <c r="F13" s="285"/>
      <c r="G13" s="273">
        <v>101.73</v>
      </c>
      <c r="H13" s="273">
        <f t="shared" si="0"/>
        <v>18.311399999999999</v>
      </c>
      <c r="I13" s="295">
        <f t="shared" si="1"/>
        <v>120.04140000000001</v>
      </c>
      <c r="J13" s="321"/>
      <c r="K13" s="317"/>
      <c r="L13" s="317"/>
      <c r="M13" s="135"/>
      <c r="N13" s="135"/>
      <c r="O13" s="317" t="s">
        <v>225</v>
      </c>
      <c r="P13" s="317" t="s">
        <v>226</v>
      </c>
    </row>
    <row r="14" spans="1:16">
      <c r="A14" s="268" t="s">
        <v>220</v>
      </c>
      <c r="B14" s="268" t="s">
        <v>184</v>
      </c>
      <c r="C14" s="268" t="s">
        <v>196</v>
      </c>
      <c r="D14" s="268" t="s">
        <v>227</v>
      </c>
      <c r="E14" s="268" t="s">
        <v>187</v>
      </c>
      <c r="F14" s="285"/>
      <c r="G14" s="273">
        <v>25.4</v>
      </c>
      <c r="H14" s="273">
        <f t="shared" si="0"/>
        <v>4.5719999999999992</v>
      </c>
      <c r="I14" s="295">
        <f t="shared" si="1"/>
        <v>29.971999999999998</v>
      </c>
      <c r="J14" s="321"/>
      <c r="K14" s="317"/>
      <c r="L14" s="317"/>
      <c r="M14" s="135"/>
      <c r="N14" s="135"/>
      <c r="O14" s="317" t="s">
        <v>228</v>
      </c>
      <c r="P14" s="317" t="s">
        <v>229</v>
      </c>
    </row>
    <row r="15" spans="1:16">
      <c r="A15" s="268" t="s">
        <v>220</v>
      </c>
      <c r="B15" s="268" t="s">
        <v>184</v>
      </c>
      <c r="C15" s="268" t="s">
        <v>202</v>
      </c>
      <c r="D15" s="268" t="s">
        <v>230</v>
      </c>
      <c r="E15" s="268" t="s">
        <v>187</v>
      </c>
      <c r="F15" s="285"/>
      <c r="G15" s="273">
        <v>19.07</v>
      </c>
      <c r="H15" s="273">
        <f t="shared" si="0"/>
        <v>3.4325999999999999</v>
      </c>
      <c r="I15" s="295">
        <f t="shared" si="1"/>
        <v>22.502600000000001</v>
      </c>
      <c r="J15" s="321"/>
      <c r="K15" s="317"/>
      <c r="L15" s="317"/>
      <c r="M15" s="135"/>
      <c r="N15" s="135"/>
      <c r="O15" s="135"/>
      <c r="P15" s="317" t="s">
        <v>231</v>
      </c>
    </row>
    <row r="16" spans="1:16">
      <c r="A16" s="268" t="s">
        <v>220</v>
      </c>
      <c r="B16" s="268" t="s">
        <v>184</v>
      </c>
      <c r="C16" s="268" t="s">
        <v>208</v>
      </c>
      <c r="D16" s="268" t="s">
        <v>232</v>
      </c>
      <c r="E16" s="268" t="s">
        <v>187</v>
      </c>
      <c r="F16" s="285"/>
      <c r="G16" s="273">
        <v>14.82</v>
      </c>
      <c r="H16" s="273">
        <f t="shared" si="0"/>
        <v>2.6675999999999997</v>
      </c>
      <c r="I16" s="295">
        <f t="shared" si="1"/>
        <v>17.4876</v>
      </c>
      <c r="J16" s="321"/>
      <c r="K16" s="317"/>
      <c r="L16" s="317"/>
      <c r="M16" s="135"/>
      <c r="N16" s="135"/>
      <c r="O16" s="135"/>
      <c r="P16" s="317" t="s">
        <v>233</v>
      </c>
    </row>
    <row r="17" spans="1:16">
      <c r="A17" s="268" t="s">
        <v>220</v>
      </c>
      <c r="B17" s="268" t="s">
        <v>184</v>
      </c>
      <c r="C17" s="268" t="s">
        <v>212</v>
      </c>
      <c r="D17" s="268" t="s">
        <v>234</v>
      </c>
      <c r="E17" s="268" t="s">
        <v>187</v>
      </c>
      <c r="F17" s="285"/>
      <c r="G17" s="273">
        <v>8.33</v>
      </c>
      <c r="H17" s="273">
        <f t="shared" si="0"/>
        <v>1.4994000000000001</v>
      </c>
      <c r="I17" s="295">
        <f t="shared" si="1"/>
        <v>9.8293999999999997</v>
      </c>
      <c r="J17" s="321"/>
      <c r="K17" s="317"/>
      <c r="L17" s="317"/>
      <c r="M17" s="135"/>
      <c r="N17" s="135"/>
      <c r="O17" s="135"/>
      <c r="P17" s="317" t="s">
        <v>235</v>
      </c>
    </row>
    <row r="18" spans="1:16">
      <c r="A18" s="268" t="s">
        <v>220</v>
      </c>
      <c r="B18" s="268" t="s">
        <v>184</v>
      </c>
      <c r="C18" s="268" t="s">
        <v>216</v>
      </c>
      <c r="D18" s="268" t="s">
        <v>236</v>
      </c>
      <c r="E18" s="268" t="s">
        <v>187</v>
      </c>
      <c r="F18" s="285"/>
      <c r="G18" s="273">
        <v>6.91</v>
      </c>
      <c r="H18" s="273">
        <f t="shared" si="0"/>
        <v>1.2438</v>
      </c>
      <c r="I18" s="295">
        <f t="shared" si="1"/>
        <v>8.1538000000000004</v>
      </c>
      <c r="J18" s="321"/>
      <c r="K18" s="317"/>
      <c r="L18" s="317"/>
      <c r="M18" s="135"/>
      <c r="N18" s="135"/>
      <c r="O18" s="135"/>
      <c r="P18" s="317" t="s">
        <v>237</v>
      </c>
    </row>
    <row r="19" spans="1:16">
      <c r="A19" s="268" t="s">
        <v>238</v>
      </c>
      <c r="B19" s="268" t="s">
        <v>184</v>
      </c>
      <c r="C19" s="268" t="s">
        <v>185</v>
      </c>
      <c r="D19" s="268" t="s">
        <v>239</v>
      </c>
      <c r="E19" s="268" t="s">
        <v>187</v>
      </c>
      <c r="F19" s="285"/>
      <c r="G19" s="273">
        <v>245</v>
      </c>
      <c r="H19" s="273">
        <f t="shared" si="0"/>
        <v>44.1</v>
      </c>
      <c r="I19" s="295">
        <f t="shared" si="1"/>
        <v>289.10000000000002</v>
      </c>
      <c r="J19" s="321"/>
    </row>
    <row r="20" spans="1:16">
      <c r="A20" s="268" t="s">
        <v>238</v>
      </c>
      <c r="B20" s="268" t="s">
        <v>184</v>
      </c>
      <c r="C20" s="268" t="s">
        <v>191</v>
      </c>
      <c r="D20" s="268" t="s">
        <v>240</v>
      </c>
      <c r="E20" s="268" t="s">
        <v>187</v>
      </c>
      <c r="F20" s="285"/>
      <c r="G20" s="273">
        <v>214.03</v>
      </c>
      <c r="H20" s="273">
        <f t="shared" si="0"/>
        <v>38.525399999999998</v>
      </c>
      <c r="I20" s="295">
        <f t="shared" si="1"/>
        <v>252.55539999999999</v>
      </c>
      <c r="J20" s="321"/>
    </row>
    <row r="21" spans="1:16">
      <c r="A21" s="268" t="s">
        <v>238</v>
      </c>
      <c r="B21" s="268" t="s">
        <v>184</v>
      </c>
      <c r="C21" s="268" t="s">
        <v>196</v>
      </c>
      <c r="D21" s="268" t="s">
        <v>241</v>
      </c>
      <c r="E21" s="268" t="s">
        <v>187</v>
      </c>
      <c r="F21" s="285"/>
      <c r="G21" s="273">
        <v>63</v>
      </c>
      <c r="H21" s="273">
        <f t="shared" si="0"/>
        <v>11.34</v>
      </c>
      <c r="I21" s="295">
        <f t="shared" si="1"/>
        <v>74.34</v>
      </c>
      <c r="J21" s="321"/>
    </row>
    <row r="22" spans="1:16">
      <c r="A22" s="268" t="s">
        <v>238</v>
      </c>
      <c r="B22" s="268" t="s">
        <v>184</v>
      </c>
      <c r="C22" s="268" t="s">
        <v>202</v>
      </c>
      <c r="D22" s="268" t="s">
        <v>242</v>
      </c>
      <c r="E22" s="268" t="s">
        <v>187</v>
      </c>
      <c r="F22" s="285"/>
      <c r="G22" s="273">
        <v>37.299999999999997</v>
      </c>
      <c r="H22" s="273">
        <f t="shared" si="0"/>
        <v>6.7139999999999995</v>
      </c>
      <c r="I22" s="295">
        <f t="shared" si="1"/>
        <v>44.013999999999996</v>
      </c>
      <c r="J22" s="321"/>
    </row>
    <row r="23" spans="1:16">
      <c r="A23" s="268" t="s">
        <v>238</v>
      </c>
      <c r="B23" s="268" t="s">
        <v>184</v>
      </c>
      <c r="C23" s="268" t="s">
        <v>208</v>
      </c>
      <c r="D23" s="268" t="s">
        <v>243</v>
      </c>
      <c r="E23" s="268" t="s">
        <v>187</v>
      </c>
      <c r="F23" s="285"/>
      <c r="G23" s="273">
        <v>11.29</v>
      </c>
      <c r="H23" s="273">
        <f t="shared" si="0"/>
        <v>2.0321999999999996</v>
      </c>
      <c r="I23" s="295">
        <f t="shared" si="1"/>
        <v>13.322199999999999</v>
      </c>
      <c r="J23" s="321"/>
    </row>
    <row r="24" spans="1:16">
      <c r="A24" s="268" t="s">
        <v>238</v>
      </c>
      <c r="B24" s="268" t="s">
        <v>184</v>
      </c>
      <c r="C24" s="268" t="s">
        <v>212</v>
      </c>
      <c r="D24" s="268" t="s">
        <v>244</v>
      </c>
      <c r="E24" s="268" t="s">
        <v>187</v>
      </c>
      <c r="F24" s="285"/>
      <c r="G24" s="273">
        <v>11.49</v>
      </c>
      <c r="H24" s="273">
        <f t="shared" si="0"/>
        <v>2.0682</v>
      </c>
      <c r="I24" s="295">
        <f t="shared" si="1"/>
        <v>13.558199999999999</v>
      </c>
      <c r="J24" s="321"/>
    </row>
    <row r="25" spans="1:16">
      <c r="A25" s="268" t="s">
        <v>238</v>
      </c>
      <c r="B25" s="268" t="s">
        <v>184</v>
      </c>
      <c r="C25" s="268" t="s">
        <v>216</v>
      </c>
      <c r="D25" s="268" t="s">
        <v>245</v>
      </c>
      <c r="E25" s="268" t="s">
        <v>187</v>
      </c>
      <c r="F25" s="285"/>
      <c r="G25" s="273">
        <v>5.08</v>
      </c>
      <c r="H25" s="273">
        <f t="shared" si="0"/>
        <v>0.91439999999999999</v>
      </c>
      <c r="I25" s="295">
        <f t="shared" si="1"/>
        <v>5.9943999999999997</v>
      </c>
      <c r="J25" s="321"/>
    </row>
    <row r="26" spans="1:16">
      <c r="A26" s="268" t="s">
        <v>246</v>
      </c>
      <c r="B26" s="268" t="s">
        <v>184</v>
      </c>
      <c r="C26" s="268" t="s">
        <v>185</v>
      </c>
      <c r="D26" s="268" t="s">
        <v>247</v>
      </c>
      <c r="E26" s="268" t="s">
        <v>187</v>
      </c>
      <c r="F26" s="285"/>
      <c r="G26" s="273">
        <v>225</v>
      </c>
      <c r="H26" s="273">
        <f t="shared" si="0"/>
        <v>40.5</v>
      </c>
      <c r="I26" s="295">
        <f t="shared" si="1"/>
        <v>265.5</v>
      </c>
      <c r="J26" s="321"/>
    </row>
    <row r="27" spans="1:16">
      <c r="A27" s="268" t="s">
        <v>246</v>
      </c>
      <c r="B27" s="268" t="s">
        <v>184</v>
      </c>
      <c r="C27" s="268" t="s">
        <v>191</v>
      </c>
      <c r="D27" s="268" t="s">
        <v>248</v>
      </c>
      <c r="E27" s="268" t="s">
        <v>187</v>
      </c>
      <c r="F27" s="285"/>
      <c r="G27" s="273">
        <v>185</v>
      </c>
      <c r="H27" s="273">
        <f t="shared" si="0"/>
        <v>33.299999999999997</v>
      </c>
      <c r="I27" s="295">
        <f t="shared" si="1"/>
        <v>218.3</v>
      </c>
      <c r="J27" s="321"/>
    </row>
    <row r="28" spans="1:16">
      <c r="A28" s="268" t="s">
        <v>246</v>
      </c>
      <c r="B28" s="268" t="s">
        <v>184</v>
      </c>
      <c r="C28" s="268" t="s">
        <v>196</v>
      </c>
      <c r="D28" s="268" t="s">
        <v>249</v>
      </c>
      <c r="E28" s="268" t="s">
        <v>187</v>
      </c>
      <c r="F28" s="285"/>
      <c r="G28" s="273">
        <v>261.8</v>
      </c>
      <c r="H28" s="273">
        <f t="shared" si="0"/>
        <v>47.124000000000002</v>
      </c>
      <c r="I28" s="295">
        <f t="shared" si="1"/>
        <v>308.92400000000004</v>
      </c>
      <c r="J28" s="321"/>
    </row>
    <row r="29" spans="1:16">
      <c r="A29" s="278" t="s">
        <v>246</v>
      </c>
      <c r="B29" s="268" t="s">
        <v>184</v>
      </c>
      <c r="C29" s="278" t="s">
        <v>202</v>
      </c>
      <c r="D29" s="268" t="s">
        <v>250</v>
      </c>
      <c r="E29" s="268" t="s">
        <v>187</v>
      </c>
      <c r="F29" s="285"/>
      <c r="G29" s="273">
        <v>41.76</v>
      </c>
      <c r="H29" s="273">
        <f t="shared" si="0"/>
        <v>7.516799999999999</v>
      </c>
      <c r="I29" s="295">
        <f t="shared" si="1"/>
        <v>49.276799999999994</v>
      </c>
      <c r="J29" s="321"/>
    </row>
    <row r="30" spans="1:16">
      <c r="A30" s="278" t="s">
        <v>246</v>
      </c>
      <c r="B30" s="268" t="s">
        <v>184</v>
      </c>
      <c r="C30" s="278" t="s">
        <v>208</v>
      </c>
      <c r="D30" s="268" t="s">
        <v>251</v>
      </c>
      <c r="E30" s="268" t="s">
        <v>187</v>
      </c>
      <c r="F30" s="285"/>
      <c r="G30" s="273">
        <v>21.91</v>
      </c>
      <c r="H30" s="273">
        <f t="shared" si="0"/>
        <v>3.9438</v>
      </c>
      <c r="I30" s="295">
        <f t="shared" si="1"/>
        <v>25.8538</v>
      </c>
      <c r="J30" s="321"/>
    </row>
    <row r="31" spans="1:16">
      <c r="A31" s="278" t="s">
        <v>246</v>
      </c>
      <c r="B31" s="268" t="s">
        <v>184</v>
      </c>
      <c r="C31" s="278" t="s">
        <v>212</v>
      </c>
      <c r="D31" s="268" t="s">
        <v>252</v>
      </c>
      <c r="E31" s="268" t="s">
        <v>187</v>
      </c>
      <c r="F31" s="285"/>
      <c r="G31" s="273">
        <v>13.21</v>
      </c>
      <c r="H31" s="273">
        <f t="shared" si="0"/>
        <v>2.3778000000000001</v>
      </c>
      <c r="I31" s="295">
        <f t="shared" si="1"/>
        <v>15.587800000000001</v>
      </c>
      <c r="J31" s="321"/>
    </row>
    <row r="32" spans="1:16">
      <c r="A32" s="278" t="s">
        <v>246</v>
      </c>
      <c r="B32" s="268" t="s">
        <v>184</v>
      </c>
      <c r="C32" s="278" t="s">
        <v>216</v>
      </c>
      <c r="D32" s="268" t="s">
        <v>253</v>
      </c>
      <c r="E32" s="268" t="s">
        <v>187</v>
      </c>
      <c r="F32" s="285"/>
      <c r="G32" s="273">
        <v>10.23</v>
      </c>
      <c r="H32" s="273">
        <f t="shared" si="0"/>
        <v>1.8413999999999999</v>
      </c>
      <c r="I32" s="295">
        <f t="shared" si="1"/>
        <v>12.071400000000001</v>
      </c>
      <c r="J32" s="321"/>
    </row>
    <row r="33" spans="1:10">
      <c r="A33" s="268" t="s">
        <v>254</v>
      </c>
      <c r="B33" s="268" t="s">
        <v>184</v>
      </c>
      <c r="C33" s="268" t="s">
        <v>185</v>
      </c>
      <c r="D33" s="268" t="s">
        <v>255</v>
      </c>
      <c r="E33" s="268" t="s">
        <v>187</v>
      </c>
      <c r="F33" s="285"/>
      <c r="G33" s="273">
        <v>261.8</v>
      </c>
      <c r="H33" s="273">
        <f t="shared" si="0"/>
        <v>47.124000000000002</v>
      </c>
      <c r="I33" s="295">
        <f t="shared" ref="I33:I75" si="2">SUM(G33:H33)</f>
        <v>308.92400000000004</v>
      </c>
      <c r="J33" s="321"/>
    </row>
    <row r="34" spans="1:10">
      <c r="A34" s="268" t="s">
        <v>254</v>
      </c>
      <c r="B34" s="268" t="s">
        <v>184</v>
      </c>
      <c r="C34" s="268" t="s">
        <v>191</v>
      </c>
      <c r="D34" s="268" t="s">
        <v>256</v>
      </c>
      <c r="E34" s="268" t="s">
        <v>187</v>
      </c>
      <c r="F34" s="285"/>
      <c r="G34" s="273">
        <v>177.1</v>
      </c>
      <c r="H34" s="273">
        <f t="shared" si="0"/>
        <v>31.877999999999997</v>
      </c>
      <c r="I34" s="295">
        <f t="shared" si="2"/>
        <v>208.97799999999998</v>
      </c>
      <c r="J34" s="321"/>
    </row>
    <row r="35" spans="1:10">
      <c r="A35" s="268" t="s">
        <v>254</v>
      </c>
      <c r="B35" s="268" t="s">
        <v>184</v>
      </c>
      <c r="C35" s="268" t="s">
        <v>196</v>
      </c>
      <c r="D35" s="268" t="s">
        <v>257</v>
      </c>
      <c r="E35" s="268" t="s">
        <v>187</v>
      </c>
      <c r="F35" s="285"/>
      <c r="G35" s="273">
        <v>55.44</v>
      </c>
      <c r="H35" s="273">
        <f t="shared" si="0"/>
        <v>9.9791999999999987</v>
      </c>
      <c r="I35" s="295">
        <f t="shared" si="2"/>
        <v>65.419199999999989</v>
      </c>
      <c r="J35" s="321"/>
    </row>
    <row r="36" spans="1:10">
      <c r="A36" s="268" t="s">
        <v>254</v>
      </c>
      <c r="B36" s="268" t="s">
        <v>184</v>
      </c>
      <c r="C36" s="268" t="s">
        <v>202</v>
      </c>
      <c r="D36" s="268" t="s">
        <v>258</v>
      </c>
      <c r="E36" s="268" t="s">
        <v>187</v>
      </c>
      <c r="F36" s="285"/>
      <c r="G36" s="273">
        <v>40.04</v>
      </c>
      <c r="H36" s="273">
        <f t="shared" si="0"/>
        <v>7.2071999999999994</v>
      </c>
      <c r="I36" s="295">
        <f t="shared" si="2"/>
        <v>47.247199999999999</v>
      </c>
      <c r="J36" s="321"/>
    </row>
    <row r="37" spans="1:10">
      <c r="A37" s="268" t="s">
        <v>254</v>
      </c>
      <c r="B37" s="268" t="s">
        <v>184</v>
      </c>
      <c r="C37" s="268" t="s">
        <v>208</v>
      </c>
      <c r="D37" s="268" t="s">
        <v>259</v>
      </c>
      <c r="E37" s="268" t="s">
        <v>187</v>
      </c>
      <c r="F37" s="285"/>
      <c r="G37" s="273">
        <v>11.24</v>
      </c>
      <c r="H37" s="273">
        <f t="shared" si="0"/>
        <v>2.0232000000000001</v>
      </c>
      <c r="I37" s="295">
        <f t="shared" si="2"/>
        <v>13.263200000000001</v>
      </c>
      <c r="J37" s="321"/>
    </row>
    <row r="38" spans="1:10">
      <c r="A38" s="268" t="s">
        <v>254</v>
      </c>
      <c r="B38" s="268" t="s">
        <v>184</v>
      </c>
      <c r="C38" s="268" t="s">
        <v>212</v>
      </c>
      <c r="D38" s="268" t="s">
        <v>260</v>
      </c>
      <c r="E38" s="268" t="s">
        <v>187</v>
      </c>
      <c r="F38" s="285"/>
      <c r="G38" s="273">
        <v>6.31</v>
      </c>
      <c r="H38" s="273">
        <f t="shared" si="0"/>
        <v>1.1357999999999999</v>
      </c>
      <c r="I38" s="295">
        <f t="shared" si="2"/>
        <v>7.4457999999999993</v>
      </c>
      <c r="J38" s="321"/>
    </row>
    <row r="39" spans="1:10">
      <c r="A39" s="268" t="s">
        <v>254</v>
      </c>
      <c r="B39" s="268" t="s">
        <v>184</v>
      </c>
      <c r="C39" s="268" t="s">
        <v>216</v>
      </c>
      <c r="D39" s="268" t="s">
        <v>261</v>
      </c>
      <c r="E39" s="268" t="s">
        <v>187</v>
      </c>
      <c r="F39" s="285"/>
      <c r="G39" s="273">
        <v>4.47</v>
      </c>
      <c r="H39" s="273">
        <f t="shared" si="0"/>
        <v>0.80459999999999987</v>
      </c>
      <c r="I39" s="295">
        <f t="shared" si="2"/>
        <v>5.2745999999999995</v>
      </c>
      <c r="J39" s="321"/>
    </row>
    <row r="40" spans="1:10">
      <c r="A40" s="268" t="s">
        <v>183</v>
      </c>
      <c r="B40" s="268" t="s">
        <v>193</v>
      </c>
      <c r="C40" s="268" t="s">
        <v>185</v>
      </c>
      <c r="D40" s="268" t="s">
        <v>262</v>
      </c>
      <c r="E40" s="268" t="s">
        <v>187</v>
      </c>
      <c r="F40" s="285"/>
      <c r="G40" s="273">
        <v>2138.8000000000002</v>
      </c>
      <c r="H40" s="273">
        <f>G40*0.18</f>
        <v>384.98400000000004</v>
      </c>
      <c r="I40" s="295">
        <f t="shared" si="2"/>
        <v>2523.7840000000001</v>
      </c>
    </row>
    <row r="41" spans="1:10">
      <c r="A41" s="268" t="s">
        <v>183</v>
      </c>
      <c r="B41" s="268" t="s">
        <v>193</v>
      </c>
      <c r="C41" s="268" t="s">
        <v>191</v>
      </c>
      <c r="D41" s="268" t="s">
        <v>263</v>
      </c>
      <c r="E41" s="268" t="s">
        <v>187</v>
      </c>
      <c r="F41" s="285"/>
      <c r="G41" s="273">
        <v>1232.1600000000001</v>
      </c>
      <c r="H41" s="273">
        <f>G41*0.18</f>
        <v>221.78880000000001</v>
      </c>
      <c r="I41" s="295">
        <f t="shared" si="2"/>
        <v>1453.9488000000001</v>
      </c>
    </row>
    <row r="42" spans="1:10">
      <c r="A42" s="278" t="s">
        <v>183</v>
      </c>
      <c r="B42" s="268" t="s">
        <v>193</v>
      </c>
      <c r="C42" s="278" t="s">
        <v>196</v>
      </c>
      <c r="D42" s="268" t="s">
        <v>264</v>
      </c>
      <c r="E42" s="268" t="s">
        <v>187</v>
      </c>
      <c r="F42" s="285"/>
      <c r="G42" s="273">
        <v>733.43</v>
      </c>
      <c r="H42" s="273">
        <f t="shared" ref="H42:H105" si="3">G42*0.18</f>
        <v>132.01739999999998</v>
      </c>
      <c r="I42" s="295">
        <f t="shared" si="2"/>
        <v>865.4473999999999</v>
      </c>
    </row>
    <row r="43" spans="1:10">
      <c r="A43" s="278" t="s">
        <v>183</v>
      </c>
      <c r="B43" s="268" t="s">
        <v>193</v>
      </c>
      <c r="C43" s="278" t="s">
        <v>202</v>
      </c>
      <c r="D43" s="268" t="s">
        <v>265</v>
      </c>
      <c r="E43" s="268" t="s">
        <v>187</v>
      </c>
      <c r="F43" s="285"/>
      <c r="G43" s="273">
        <v>497.67</v>
      </c>
      <c r="H43" s="273">
        <f t="shared" si="3"/>
        <v>89.580600000000004</v>
      </c>
      <c r="I43" s="295">
        <f t="shared" si="2"/>
        <v>587.25060000000008</v>
      </c>
    </row>
    <row r="44" spans="1:10">
      <c r="A44" s="278" t="s">
        <v>183</v>
      </c>
      <c r="B44" s="268" t="s">
        <v>193</v>
      </c>
      <c r="C44" s="278" t="s">
        <v>208</v>
      </c>
      <c r="D44" s="268" t="s">
        <v>266</v>
      </c>
      <c r="E44" s="268" t="s">
        <v>187</v>
      </c>
      <c r="F44" s="285"/>
      <c r="G44" s="273">
        <v>432.69</v>
      </c>
      <c r="H44" s="273">
        <f t="shared" si="3"/>
        <v>77.884199999999993</v>
      </c>
      <c r="I44" s="295">
        <f t="shared" si="2"/>
        <v>510.57420000000002</v>
      </c>
    </row>
    <row r="45" spans="1:10">
      <c r="A45" s="278" t="s">
        <v>183</v>
      </c>
      <c r="B45" s="268" t="s">
        <v>193</v>
      </c>
      <c r="C45" s="278" t="s">
        <v>212</v>
      </c>
      <c r="D45" s="268" t="s">
        <v>169</v>
      </c>
      <c r="E45" s="268" t="s">
        <v>187</v>
      </c>
      <c r="F45" s="285">
        <v>44271</v>
      </c>
      <c r="G45" s="273">
        <v>300</v>
      </c>
      <c r="H45" s="273">
        <f t="shared" si="3"/>
        <v>54</v>
      </c>
      <c r="I45" s="295">
        <f t="shared" si="2"/>
        <v>354</v>
      </c>
    </row>
    <row r="46" spans="1:10">
      <c r="A46" s="278" t="s">
        <v>183</v>
      </c>
      <c r="B46" s="268" t="s">
        <v>193</v>
      </c>
      <c r="C46" s="278" t="s">
        <v>216</v>
      </c>
      <c r="D46" s="268" t="s">
        <v>267</v>
      </c>
      <c r="E46" s="268" t="s">
        <v>187</v>
      </c>
      <c r="F46" s="285"/>
      <c r="G46" s="273">
        <v>140.02000000000001</v>
      </c>
      <c r="H46" s="273">
        <f t="shared" si="3"/>
        <v>25.203600000000002</v>
      </c>
      <c r="I46" s="295">
        <f t="shared" si="2"/>
        <v>165.2236</v>
      </c>
    </row>
    <row r="47" spans="1:10">
      <c r="A47" s="268" t="s">
        <v>220</v>
      </c>
      <c r="B47" s="268" t="s">
        <v>193</v>
      </c>
      <c r="C47" s="268" t="s">
        <v>185</v>
      </c>
      <c r="D47" s="268" t="s">
        <v>268</v>
      </c>
      <c r="E47" s="268" t="s">
        <v>187</v>
      </c>
      <c r="F47" s="285"/>
      <c r="G47" s="273">
        <v>380</v>
      </c>
      <c r="H47" s="273">
        <f t="shared" si="3"/>
        <v>68.399999999999991</v>
      </c>
      <c r="I47" s="295">
        <f t="shared" si="2"/>
        <v>448.4</v>
      </c>
    </row>
    <row r="48" spans="1:10">
      <c r="A48" s="268" t="s">
        <v>220</v>
      </c>
      <c r="B48" s="268" t="s">
        <v>193</v>
      </c>
      <c r="C48" s="268" t="s">
        <v>191</v>
      </c>
      <c r="D48" s="268" t="s">
        <v>269</v>
      </c>
      <c r="E48" s="268" t="s">
        <v>187</v>
      </c>
      <c r="F48" s="285"/>
      <c r="G48" s="273">
        <v>255</v>
      </c>
      <c r="H48" s="273">
        <f t="shared" si="3"/>
        <v>45.9</v>
      </c>
      <c r="I48" s="295">
        <f t="shared" si="2"/>
        <v>300.89999999999998</v>
      </c>
    </row>
    <row r="49" spans="1:9">
      <c r="A49" s="268" t="s">
        <v>220</v>
      </c>
      <c r="B49" s="268" t="s">
        <v>193</v>
      </c>
      <c r="C49" s="268" t="s">
        <v>196</v>
      </c>
      <c r="D49" s="268" t="s">
        <v>270</v>
      </c>
      <c r="E49" s="268" t="s">
        <v>187</v>
      </c>
      <c r="F49" s="285"/>
      <c r="G49" s="273">
        <v>73.41</v>
      </c>
      <c r="H49" s="273">
        <f t="shared" si="3"/>
        <v>13.213799999999999</v>
      </c>
      <c r="I49" s="295">
        <f t="shared" si="2"/>
        <v>86.623799999999989</v>
      </c>
    </row>
    <row r="50" spans="1:9">
      <c r="A50" s="278" t="s">
        <v>220</v>
      </c>
      <c r="B50" s="268" t="s">
        <v>193</v>
      </c>
      <c r="C50" s="278" t="s">
        <v>202</v>
      </c>
      <c r="D50" s="268" t="s">
        <v>271</v>
      </c>
      <c r="E50" s="268" t="s">
        <v>187</v>
      </c>
      <c r="F50" s="285"/>
      <c r="G50" s="273">
        <v>70.08</v>
      </c>
      <c r="H50" s="273">
        <f t="shared" si="3"/>
        <v>12.6144</v>
      </c>
      <c r="I50" s="295">
        <f t="shared" si="2"/>
        <v>82.694400000000002</v>
      </c>
    </row>
    <row r="51" spans="1:9">
      <c r="A51" s="268" t="s">
        <v>220</v>
      </c>
      <c r="B51" s="268" t="s">
        <v>193</v>
      </c>
      <c r="C51" s="268" t="s">
        <v>208</v>
      </c>
      <c r="D51" s="268" t="s">
        <v>272</v>
      </c>
      <c r="E51" s="268" t="s">
        <v>187</v>
      </c>
      <c r="F51" s="285"/>
      <c r="G51" s="273">
        <v>28.59</v>
      </c>
      <c r="H51" s="273">
        <f t="shared" si="3"/>
        <v>5.1461999999999994</v>
      </c>
      <c r="I51" s="295">
        <f t="shared" si="2"/>
        <v>33.736199999999997</v>
      </c>
    </row>
    <row r="52" spans="1:9">
      <c r="A52" s="278" t="s">
        <v>220</v>
      </c>
      <c r="B52" s="268" t="s">
        <v>193</v>
      </c>
      <c r="C52" s="278" t="s">
        <v>212</v>
      </c>
      <c r="D52" s="268" t="s">
        <v>154</v>
      </c>
      <c r="E52" s="268" t="s">
        <v>187</v>
      </c>
      <c r="F52" s="285"/>
      <c r="G52" s="273">
        <v>19.07</v>
      </c>
      <c r="H52" s="273">
        <f t="shared" si="3"/>
        <v>3.4325999999999999</v>
      </c>
      <c r="I52" s="295">
        <f t="shared" si="2"/>
        <v>22.502600000000001</v>
      </c>
    </row>
    <row r="53" spans="1:9">
      <c r="A53" s="278" t="s">
        <v>220</v>
      </c>
      <c r="B53" s="268" t="s">
        <v>193</v>
      </c>
      <c r="C53" s="278" t="s">
        <v>216</v>
      </c>
      <c r="D53" s="268" t="s">
        <v>273</v>
      </c>
      <c r="E53" s="268" t="s">
        <v>187</v>
      </c>
      <c r="F53" s="285"/>
      <c r="G53" s="273">
        <v>14.71</v>
      </c>
      <c r="H53" s="273">
        <f t="shared" si="3"/>
        <v>2.6478000000000002</v>
      </c>
      <c r="I53" s="295">
        <f t="shared" si="2"/>
        <v>17.357800000000001</v>
      </c>
    </row>
    <row r="54" spans="1:9">
      <c r="A54" s="268" t="s">
        <v>274</v>
      </c>
      <c r="B54" s="268" t="s">
        <v>193</v>
      </c>
      <c r="C54" s="268" t="s">
        <v>185</v>
      </c>
      <c r="D54" s="268" t="s">
        <v>275</v>
      </c>
      <c r="E54" s="268" t="s">
        <v>187</v>
      </c>
      <c r="F54" s="285"/>
      <c r="G54" s="273">
        <v>380.76</v>
      </c>
      <c r="H54" s="273">
        <f t="shared" si="3"/>
        <v>68.536799999999999</v>
      </c>
      <c r="I54" s="295">
        <f t="shared" si="2"/>
        <v>449.29679999999996</v>
      </c>
    </row>
    <row r="55" spans="1:9">
      <c r="A55" s="268" t="s">
        <v>274</v>
      </c>
      <c r="B55" s="268" t="s">
        <v>193</v>
      </c>
      <c r="C55" s="268" t="s">
        <v>191</v>
      </c>
      <c r="D55" s="268" t="s">
        <v>276</v>
      </c>
      <c r="E55" s="268" t="s">
        <v>187</v>
      </c>
      <c r="F55" s="285"/>
      <c r="G55" s="273">
        <v>255</v>
      </c>
      <c r="H55" s="273">
        <f t="shared" si="3"/>
        <v>45.9</v>
      </c>
      <c r="I55" s="295">
        <f t="shared" si="2"/>
        <v>300.89999999999998</v>
      </c>
    </row>
    <row r="56" spans="1:9">
      <c r="A56" s="278" t="s">
        <v>274</v>
      </c>
      <c r="B56" s="268" t="s">
        <v>193</v>
      </c>
      <c r="C56" s="278" t="s">
        <v>196</v>
      </c>
      <c r="D56" s="268" t="s">
        <v>277</v>
      </c>
      <c r="E56" s="268" t="s">
        <v>187</v>
      </c>
      <c r="F56" s="285"/>
      <c r="G56" s="273">
        <v>95.29</v>
      </c>
      <c r="H56" s="273">
        <f t="shared" si="3"/>
        <v>17.152200000000001</v>
      </c>
      <c r="I56" s="295">
        <f t="shared" si="2"/>
        <v>112.44220000000001</v>
      </c>
    </row>
    <row r="57" spans="1:9">
      <c r="A57" s="278" t="s">
        <v>274</v>
      </c>
      <c r="B57" s="268" t="s">
        <v>193</v>
      </c>
      <c r="C57" s="278" t="s">
        <v>202</v>
      </c>
      <c r="D57" s="268" t="s">
        <v>278</v>
      </c>
      <c r="E57" s="268" t="s">
        <v>187</v>
      </c>
      <c r="F57" s="285"/>
      <c r="G57" s="273">
        <v>72.290000000000006</v>
      </c>
      <c r="H57" s="273">
        <f t="shared" si="3"/>
        <v>13.0122</v>
      </c>
      <c r="I57" s="295">
        <f t="shared" si="2"/>
        <v>85.302199999999999</v>
      </c>
    </row>
    <row r="58" spans="1:9">
      <c r="A58" s="278" t="s">
        <v>274</v>
      </c>
      <c r="B58" s="268" t="s">
        <v>193</v>
      </c>
      <c r="C58" s="278" t="s">
        <v>208</v>
      </c>
      <c r="D58" s="268" t="s">
        <v>279</v>
      </c>
      <c r="E58" s="268" t="s">
        <v>187</v>
      </c>
      <c r="F58" s="285"/>
      <c r="G58" s="273">
        <v>31.4</v>
      </c>
      <c r="H58" s="273">
        <f t="shared" si="3"/>
        <v>5.6519999999999992</v>
      </c>
      <c r="I58" s="295">
        <f t="shared" si="2"/>
        <v>37.052</v>
      </c>
    </row>
    <row r="59" spans="1:9">
      <c r="A59" s="278" t="s">
        <v>274</v>
      </c>
      <c r="B59" s="268" t="s">
        <v>193</v>
      </c>
      <c r="C59" s="278" t="s">
        <v>212</v>
      </c>
      <c r="D59" s="268" t="s">
        <v>280</v>
      </c>
      <c r="E59" s="268" t="s">
        <v>187</v>
      </c>
      <c r="F59" s="285"/>
      <c r="G59" s="273">
        <v>21.59</v>
      </c>
      <c r="H59" s="273">
        <f t="shared" si="3"/>
        <v>3.8861999999999997</v>
      </c>
      <c r="I59" s="295">
        <f t="shared" si="2"/>
        <v>25.476199999999999</v>
      </c>
    </row>
    <row r="60" spans="1:9">
      <c r="A60" s="278" t="s">
        <v>274</v>
      </c>
      <c r="B60" s="268" t="s">
        <v>193</v>
      </c>
      <c r="C60" s="278" t="s">
        <v>216</v>
      </c>
      <c r="D60" s="268" t="s">
        <v>281</v>
      </c>
      <c r="E60" s="268" t="s">
        <v>187</v>
      </c>
      <c r="F60" s="285"/>
      <c r="G60" s="273">
        <v>12.69</v>
      </c>
      <c r="H60" s="273">
        <f t="shared" si="3"/>
        <v>2.2841999999999998</v>
      </c>
      <c r="I60" s="295">
        <f t="shared" si="2"/>
        <v>14.9742</v>
      </c>
    </row>
    <row r="61" spans="1:9">
      <c r="A61" s="268" t="s">
        <v>254</v>
      </c>
      <c r="B61" s="268" t="s">
        <v>193</v>
      </c>
      <c r="C61" s="268" t="s">
        <v>185</v>
      </c>
      <c r="D61" s="268" t="s">
        <v>282</v>
      </c>
      <c r="E61" s="268" t="s">
        <v>187</v>
      </c>
      <c r="F61" s="285"/>
      <c r="G61" s="273">
        <v>1041.26</v>
      </c>
      <c r="H61" s="273">
        <f t="shared" si="3"/>
        <v>187.42679999999999</v>
      </c>
      <c r="I61" s="295">
        <f t="shared" si="2"/>
        <v>1228.6867999999999</v>
      </c>
    </row>
    <row r="62" spans="1:9">
      <c r="A62" s="268" t="s">
        <v>254</v>
      </c>
      <c r="B62" s="268" t="s">
        <v>193</v>
      </c>
      <c r="C62" s="268" t="s">
        <v>191</v>
      </c>
      <c r="D62" s="268" t="s">
        <v>283</v>
      </c>
      <c r="E62" s="268" t="s">
        <v>187</v>
      </c>
      <c r="F62" s="285"/>
      <c r="G62" s="273">
        <v>869.19</v>
      </c>
      <c r="H62" s="273">
        <f t="shared" si="3"/>
        <v>156.45420000000001</v>
      </c>
      <c r="I62" s="295">
        <f t="shared" si="2"/>
        <v>1025.6442000000002</v>
      </c>
    </row>
    <row r="63" spans="1:9">
      <c r="A63" s="268" t="s">
        <v>254</v>
      </c>
      <c r="B63" s="268" t="s">
        <v>193</v>
      </c>
      <c r="C63" s="268" t="s">
        <v>196</v>
      </c>
      <c r="D63" s="268" t="s">
        <v>284</v>
      </c>
      <c r="E63" s="268" t="s">
        <v>187</v>
      </c>
      <c r="F63" s="285"/>
      <c r="G63" s="273">
        <v>221.76</v>
      </c>
      <c r="H63" s="273">
        <f t="shared" si="3"/>
        <v>39.916799999999995</v>
      </c>
      <c r="I63" s="295">
        <f t="shared" si="2"/>
        <v>261.67679999999996</v>
      </c>
    </row>
    <row r="64" spans="1:9">
      <c r="A64" s="278" t="s">
        <v>254</v>
      </c>
      <c r="B64" s="268" t="s">
        <v>193</v>
      </c>
      <c r="C64" s="278" t="s">
        <v>202</v>
      </c>
      <c r="D64" s="268" t="s">
        <v>285</v>
      </c>
      <c r="E64" s="268" t="s">
        <v>187</v>
      </c>
      <c r="F64" s="285"/>
      <c r="G64" s="273">
        <v>125.98</v>
      </c>
      <c r="H64" s="273">
        <f>G64*0.18</f>
        <v>22.676400000000001</v>
      </c>
      <c r="I64" s="295">
        <f t="shared" si="2"/>
        <v>148.65640000000002</v>
      </c>
    </row>
    <row r="65" spans="1:9">
      <c r="A65" s="268" t="s">
        <v>254</v>
      </c>
      <c r="B65" s="268" t="s">
        <v>193</v>
      </c>
      <c r="C65" s="268" t="s">
        <v>208</v>
      </c>
      <c r="D65" s="268" t="s">
        <v>286</v>
      </c>
      <c r="E65" s="268" t="s">
        <v>187</v>
      </c>
      <c r="F65" s="285"/>
      <c r="G65" s="273">
        <v>57.94</v>
      </c>
      <c r="H65" s="273">
        <f t="shared" si="3"/>
        <v>10.4292</v>
      </c>
      <c r="I65" s="295">
        <f t="shared" si="2"/>
        <v>68.369199999999992</v>
      </c>
    </row>
    <row r="66" spans="1:9">
      <c r="A66" s="268" t="s">
        <v>254</v>
      </c>
      <c r="B66" s="268" t="s">
        <v>193</v>
      </c>
      <c r="C66" s="268" t="s">
        <v>212</v>
      </c>
      <c r="D66" s="268" t="s">
        <v>287</v>
      </c>
      <c r="E66" s="268" t="s">
        <v>187</v>
      </c>
      <c r="F66" s="285"/>
      <c r="G66" s="273">
        <v>25.52</v>
      </c>
      <c r="H66" s="273">
        <f t="shared" si="3"/>
        <v>4.5935999999999995</v>
      </c>
      <c r="I66" s="295">
        <f t="shared" si="2"/>
        <v>30.113599999999998</v>
      </c>
    </row>
    <row r="67" spans="1:9">
      <c r="A67" s="268" t="s">
        <v>254</v>
      </c>
      <c r="B67" s="268" t="s">
        <v>193</v>
      </c>
      <c r="C67" s="268" t="s">
        <v>216</v>
      </c>
      <c r="D67" s="268" t="s">
        <v>288</v>
      </c>
      <c r="E67" s="268" t="s">
        <v>187</v>
      </c>
      <c r="F67" s="285"/>
      <c r="G67" s="273">
        <v>15.92</v>
      </c>
      <c r="H67" s="273">
        <f t="shared" si="3"/>
        <v>2.8655999999999997</v>
      </c>
      <c r="I67" s="295">
        <f t="shared" si="2"/>
        <v>18.785599999999999</v>
      </c>
    </row>
    <row r="68" spans="1:9">
      <c r="A68" s="268" t="s">
        <v>289</v>
      </c>
      <c r="B68" s="268" t="s">
        <v>193</v>
      </c>
      <c r="C68" s="268" t="s">
        <v>185</v>
      </c>
      <c r="D68" s="268" t="s">
        <v>290</v>
      </c>
      <c r="E68" s="268" t="s">
        <v>187</v>
      </c>
      <c r="F68" s="285"/>
      <c r="G68" s="273">
        <v>73.489999999999995</v>
      </c>
      <c r="H68" s="273">
        <f t="shared" si="3"/>
        <v>13.228199999999999</v>
      </c>
      <c r="I68" s="295">
        <f t="shared" si="2"/>
        <v>86.718199999999996</v>
      </c>
    </row>
    <row r="69" spans="1:9">
      <c r="A69" s="268" t="s">
        <v>289</v>
      </c>
      <c r="B69" s="268" t="s">
        <v>193</v>
      </c>
      <c r="C69" s="268" t="s">
        <v>191</v>
      </c>
      <c r="D69" s="268" t="s">
        <v>291</v>
      </c>
      <c r="E69" s="268" t="s">
        <v>187</v>
      </c>
      <c r="F69" s="285"/>
      <c r="G69" s="273">
        <v>0</v>
      </c>
      <c r="H69" s="273">
        <f t="shared" si="3"/>
        <v>0</v>
      </c>
      <c r="I69" s="295">
        <f t="shared" si="2"/>
        <v>0</v>
      </c>
    </row>
    <row r="70" spans="1:9">
      <c r="A70" s="268" t="s">
        <v>289</v>
      </c>
      <c r="B70" s="268" t="s">
        <v>193</v>
      </c>
      <c r="C70" s="268" t="s">
        <v>196</v>
      </c>
      <c r="D70" s="268" t="s">
        <v>292</v>
      </c>
      <c r="E70" s="268" t="s">
        <v>187</v>
      </c>
      <c r="F70" s="285"/>
      <c r="G70" s="273">
        <v>10.82</v>
      </c>
      <c r="H70" s="273">
        <f t="shared" si="3"/>
        <v>1.9476</v>
      </c>
      <c r="I70" s="295">
        <f t="shared" si="2"/>
        <v>12.7676</v>
      </c>
    </row>
    <row r="71" spans="1:9">
      <c r="A71" s="268" t="s">
        <v>289</v>
      </c>
      <c r="B71" s="268" t="s">
        <v>193</v>
      </c>
      <c r="C71" s="268" t="s">
        <v>202</v>
      </c>
      <c r="D71" s="268" t="s">
        <v>293</v>
      </c>
      <c r="E71" s="268" t="s">
        <v>187</v>
      </c>
      <c r="F71" s="285"/>
      <c r="G71" s="273">
        <v>11.96</v>
      </c>
      <c r="H71" s="273">
        <f t="shared" si="3"/>
        <v>2.1528</v>
      </c>
      <c r="I71" s="295">
        <f t="shared" si="2"/>
        <v>14.1128</v>
      </c>
    </row>
    <row r="72" spans="1:9">
      <c r="A72" s="278" t="s">
        <v>289</v>
      </c>
      <c r="B72" s="268" t="s">
        <v>193</v>
      </c>
      <c r="C72" s="278" t="s">
        <v>208</v>
      </c>
      <c r="D72" s="268" t="s">
        <v>294</v>
      </c>
      <c r="E72" s="268" t="s">
        <v>187</v>
      </c>
      <c r="F72" s="285"/>
      <c r="G72" s="273">
        <v>7.1</v>
      </c>
      <c r="H72" s="273">
        <f t="shared" si="3"/>
        <v>1.2779999999999998</v>
      </c>
      <c r="I72" s="295">
        <f t="shared" si="2"/>
        <v>8.3780000000000001</v>
      </c>
    </row>
    <row r="73" spans="1:9">
      <c r="A73" s="278" t="s">
        <v>289</v>
      </c>
      <c r="B73" s="268" t="s">
        <v>193</v>
      </c>
      <c r="C73" s="278" t="s">
        <v>212</v>
      </c>
      <c r="D73" s="268" t="s">
        <v>155</v>
      </c>
      <c r="E73" s="268" t="s">
        <v>187</v>
      </c>
      <c r="F73" s="285"/>
      <c r="G73" s="273">
        <v>5.0199999999999996</v>
      </c>
      <c r="H73" s="273">
        <f t="shared" si="3"/>
        <v>0.90359999999999985</v>
      </c>
      <c r="I73" s="295">
        <f t="shared" si="2"/>
        <v>5.9235999999999995</v>
      </c>
    </row>
    <row r="74" spans="1:9">
      <c r="A74" s="278" t="s">
        <v>289</v>
      </c>
      <c r="B74" s="268" t="s">
        <v>193</v>
      </c>
      <c r="C74" s="278" t="s">
        <v>216</v>
      </c>
      <c r="D74" s="268" t="s">
        <v>295</v>
      </c>
      <c r="E74" s="268" t="s">
        <v>187</v>
      </c>
      <c r="F74" s="285"/>
      <c r="G74" s="273">
        <v>3.93</v>
      </c>
      <c r="H74" s="273">
        <f t="shared" si="3"/>
        <v>0.70740000000000003</v>
      </c>
      <c r="I74" s="295">
        <f t="shared" si="2"/>
        <v>4.6374000000000004</v>
      </c>
    </row>
    <row r="75" spans="1:9">
      <c r="A75" s="268" t="s">
        <v>296</v>
      </c>
      <c r="B75" s="268" t="s">
        <v>193</v>
      </c>
      <c r="C75" s="268" t="s">
        <v>185</v>
      </c>
      <c r="D75" s="268" t="s">
        <v>297</v>
      </c>
      <c r="E75" s="268" t="s">
        <v>187</v>
      </c>
      <c r="F75" s="285"/>
      <c r="G75" s="273">
        <v>71.209999999999994</v>
      </c>
      <c r="H75" s="273">
        <f t="shared" si="3"/>
        <v>12.817799999999998</v>
      </c>
      <c r="I75" s="295">
        <f t="shared" si="2"/>
        <v>84.027799999999985</v>
      </c>
    </row>
    <row r="76" spans="1:9">
      <c r="A76" s="278" t="s">
        <v>296</v>
      </c>
      <c r="B76" s="268" t="s">
        <v>193</v>
      </c>
      <c r="C76" s="278" t="s">
        <v>191</v>
      </c>
      <c r="D76" s="268" t="s">
        <v>298</v>
      </c>
      <c r="E76" s="268" t="s">
        <v>187</v>
      </c>
      <c r="F76" s="285"/>
      <c r="G76" s="273">
        <v>58.63</v>
      </c>
      <c r="H76" s="273">
        <f t="shared" si="3"/>
        <v>10.5534</v>
      </c>
      <c r="I76" s="295">
        <f t="shared" ref="I76:I81" si="4">SUM(G76:H76)</f>
        <v>69.183400000000006</v>
      </c>
    </row>
    <row r="77" spans="1:9">
      <c r="A77" s="278" t="s">
        <v>296</v>
      </c>
      <c r="B77" s="268" t="s">
        <v>193</v>
      </c>
      <c r="C77" s="278" t="s">
        <v>196</v>
      </c>
      <c r="D77" s="268" t="s">
        <v>299</v>
      </c>
      <c r="E77" s="268" t="s">
        <v>187</v>
      </c>
      <c r="F77" s="285">
        <v>44271</v>
      </c>
      <c r="G77" s="273">
        <v>52.52</v>
      </c>
      <c r="H77" s="273">
        <f t="shared" si="3"/>
        <v>9.4535999999999998</v>
      </c>
      <c r="I77" s="295">
        <f t="shared" si="4"/>
        <v>61.973600000000005</v>
      </c>
    </row>
    <row r="78" spans="1:9">
      <c r="A78" s="278" t="s">
        <v>296</v>
      </c>
      <c r="B78" s="268" t="s">
        <v>193</v>
      </c>
      <c r="C78" s="278" t="s">
        <v>202</v>
      </c>
      <c r="D78" s="268" t="s">
        <v>300</v>
      </c>
      <c r="E78" s="268" t="s">
        <v>187</v>
      </c>
      <c r="F78" s="285"/>
      <c r="G78" s="273">
        <v>34.46</v>
      </c>
      <c r="H78" s="273">
        <f t="shared" si="3"/>
        <v>6.2027999999999999</v>
      </c>
      <c r="I78" s="295">
        <f t="shared" si="4"/>
        <v>40.662800000000004</v>
      </c>
    </row>
    <row r="79" spans="1:9">
      <c r="A79" s="278" t="s">
        <v>296</v>
      </c>
      <c r="B79" s="268" t="s">
        <v>193</v>
      </c>
      <c r="C79" s="278" t="s">
        <v>208</v>
      </c>
      <c r="D79" s="268" t="s">
        <v>301</v>
      </c>
      <c r="E79" s="268" t="s">
        <v>187</v>
      </c>
      <c r="F79" s="285"/>
      <c r="G79" s="273">
        <v>26.24</v>
      </c>
      <c r="H79" s="273">
        <f t="shared" si="3"/>
        <v>4.7231999999999994</v>
      </c>
      <c r="I79" s="295">
        <f t="shared" si="4"/>
        <v>30.963199999999997</v>
      </c>
    </row>
    <row r="80" spans="1:9">
      <c r="A80" s="278" t="s">
        <v>296</v>
      </c>
      <c r="B80" s="268" t="s">
        <v>193</v>
      </c>
      <c r="C80" s="278" t="s">
        <v>212</v>
      </c>
      <c r="D80" s="268" t="s">
        <v>302</v>
      </c>
      <c r="E80" s="268" t="s">
        <v>187</v>
      </c>
      <c r="F80" s="285"/>
      <c r="G80" s="273">
        <v>23.34</v>
      </c>
      <c r="H80" s="273">
        <f t="shared" si="3"/>
        <v>4.2012</v>
      </c>
      <c r="I80" s="295">
        <f t="shared" si="4"/>
        <v>27.5412</v>
      </c>
    </row>
    <row r="81" spans="1:9">
      <c r="A81" s="278" t="s">
        <v>296</v>
      </c>
      <c r="B81" s="268" t="s">
        <v>193</v>
      </c>
      <c r="C81" s="278" t="s">
        <v>216</v>
      </c>
      <c r="D81" s="268" t="s">
        <v>303</v>
      </c>
      <c r="E81" s="268" t="s">
        <v>187</v>
      </c>
      <c r="F81" s="285"/>
      <c r="G81" s="273">
        <v>17.05</v>
      </c>
      <c r="H81" s="273">
        <f t="shared" si="3"/>
        <v>3.069</v>
      </c>
      <c r="I81" s="295">
        <f t="shared" si="4"/>
        <v>20.119</v>
      </c>
    </row>
    <row r="82" spans="1:9">
      <c r="A82" s="268" t="s">
        <v>183</v>
      </c>
      <c r="B82" s="268" t="s">
        <v>198</v>
      </c>
      <c r="C82" s="268" t="s">
        <v>185</v>
      </c>
      <c r="D82" s="268" t="s">
        <v>304</v>
      </c>
      <c r="E82" s="268" t="s">
        <v>187</v>
      </c>
      <c r="F82" s="285"/>
      <c r="G82" s="273">
        <v>5405.4</v>
      </c>
      <c r="H82" s="273">
        <f t="shared" si="3"/>
        <v>972.97199999999987</v>
      </c>
      <c r="I82" s="295">
        <f>SUM(G82:H82)</f>
        <v>6378.3719999999994</v>
      </c>
    </row>
    <row r="83" spans="1:9">
      <c r="A83" s="278" t="s">
        <v>183</v>
      </c>
      <c r="B83" s="268" t="s">
        <v>198</v>
      </c>
      <c r="C83" s="278" t="s">
        <v>191</v>
      </c>
      <c r="D83" s="268" t="s">
        <v>305</v>
      </c>
      <c r="E83" s="268" t="s">
        <v>187</v>
      </c>
      <c r="F83" s="285"/>
      <c r="G83" s="273">
        <v>3902.1</v>
      </c>
      <c r="H83" s="273">
        <f t="shared" si="3"/>
        <v>702.37799999999993</v>
      </c>
      <c r="I83" s="295">
        <f t="shared" ref="I83:I95" si="5">SUM(G83:H83)</f>
        <v>4604.4780000000001</v>
      </c>
    </row>
    <row r="84" spans="1:9">
      <c r="A84" s="278" t="s">
        <v>183</v>
      </c>
      <c r="B84" s="268" t="s">
        <v>198</v>
      </c>
      <c r="C84" s="278" t="s">
        <v>196</v>
      </c>
      <c r="D84" s="268" t="s">
        <v>306</v>
      </c>
      <c r="E84" s="268" t="s">
        <v>187</v>
      </c>
      <c r="F84" s="285"/>
      <c r="G84" s="273">
        <v>1216.22</v>
      </c>
      <c r="H84" s="273">
        <f t="shared" si="3"/>
        <v>218.9196</v>
      </c>
      <c r="I84" s="295">
        <f t="shared" si="5"/>
        <v>1435.1396</v>
      </c>
    </row>
    <row r="85" spans="1:9">
      <c r="A85" s="278" t="s">
        <v>183</v>
      </c>
      <c r="B85" s="268" t="s">
        <v>198</v>
      </c>
      <c r="C85" s="278" t="s">
        <v>202</v>
      </c>
      <c r="D85" s="268" t="s">
        <v>307</v>
      </c>
      <c r="E85" s="268" t="s">
        <v>187</v>
      </c>
      <c r="F85" s="285"/>
      <c r="G85" s="273">
        <v>989.63</v>
      </c>
      <c r="H85" s="273">
        <f t="shared" si="3"/>
        <v>178.13339999999999</v>
      </c>
      <c r="I85" s="295">
        <f t="shared" si="5"/>
        <v>1167.7634</v>
      </c>
    </row>
    <row r="86" spans="1:9">
      <c r="A86" s="278" t="s">
        <v>183</v>
      </c>
      <c r="B86" s="268" t="s">
        <v>198</v>
      </c>
      <c r="C86" s="278" t="s">
        <v>208</v>
      </c>
      <c r="D86" s="268" t="s">
        <v>308</v>
      </c>
      <c r="E86" s="268" t="s">
        <v>187</v>
      </c>
      <c r="F86" s="285"/>
      <c r="G86" s="273">
        <v>608</v>
      </c>
      <c r="H86" s="273">
        <f t="shared" si="3"/>
        <v>109.44</v>
      </c>
      <c r="I86" s="295">
        <f t="shared" si="5"/>
        <v>717.44</v>
      </c>
    </row>
    <row r="87" spans="1:9">
      <c r="A87" s="278" t="s">
        <v>183</v>
      </c>
      <c r="B87" s="268" t="s">
        <v>198</v>
      </c>
      <c r="C87" s="278" t="s">
        <v>212</v>
      </c>
      <c r="D87" s="268" t="s">
        <v>309</v>
      </c>
      <c r="E87" s="268" t="s">
        <v>187</v>
      </c>
      <c r="F87" s="285"/>
      <c r="G87" s="273">
        <v>513.98</v>
      </c>
      <c r="H87" s="273">
        <f t="shared" si="3"/>
        <v>92.516400000000004</v>
      </c>
      <c r="I87" s="295">
        <f t="shared" si="5"/>
        <v>606.49639999999999</v>
      </c>
    </row>
    <row r="88" spans="1:9">
      <c r="A88" s="278" t="s">
        <v>183</v>
      </c>
      <c r="B88" s="268" t="s">
        <v>198</v>
      </c>
      <c r="C88" s="278" t="s">
        <v>216</v>
      </c>
      <c r="D88" s="268" t="s">
        <v>310</v>
      </c>
      <c r="E88" s="268" t="s">
        <v>187</v>
      </c>
      <c r="F88" s="285"/>
      <c r="G88" s="273">
        <v>414.63</v>
      </c>
      <c r="H88" s="273">
        <f t="shared" si="3"/>
        <v>74.633399999999995</v>
      </c>
      <c r="I88" s="295">
        <f t="shared" si="5"/>
        <v>489.26339999999999</v>
      </c>
    </row>
    <row r="89" spans="1:9">
      <c r="A89" s="268" t="s">
        <v>220</v>
      </c>
      <c r="B89" s="268" t="s">
        <v>198</v>
      </c>
      <c r="C89" s="268" t="s">
        <v>185</v>
      </c>
      <c r="D89" s="268" t="s">
        <v>311</v>
      </c>
      <c r="E89" s="268" t="s">
        <v>187</v>
      </c>
      <c r="F89" s="285"/>
      <c r="G89" s="273">
        <v>631.29</v>
      </c>
      <c r="H89" s="273">
        <f t="shared" si="3"/>
        <v>113.63219999999998</v>
      </c>
      <c r="I89" s="295">
        <f t="shared" si="5"/>
        <v>744.92219999999998</v>
      </c>
    </row>
    <row r="90" spans="1:9">
      <c r="A90" s="278" t="s">
        <v>220</v>
      </c>
      <c r="B90" s="268" t="s">
        <v>198</v>
      </c>
      <c r="C90" s="278" t="s">
        <v>191</v>
      </c>
      <c r="D90" s="268" t="s">
        <v>312</v>
      </c>
      <c r="E90" s="268" t="s">
        <v>187</v>
      </c>
      <c r="F90" s="285"/>
      <c r="G90" s="273">
        <v>398.48</v>
      </c>
      <c r="H90" s="273">
        <f>G90*0.18</f>
        <v>71.726399999999998</v>
      </c>
      <c r="I90" s="295">
        <f>SUM(G90:H90)</f>
        <v>470.20640000000003</v>
      </c>
    </row>
    <row r="91" spans="1:9">
      <c r="A91" s="268" t="s">
        <v>220</v>
      </c>
      <c r="B91" s="268" t="s">
        <v>198</v>
      </c>
      <c r="C91" s="268" t="s">
        <v>196</v>
      </c>
      <c r="D91" s="268" t="s">
        <v>313</v>
      </c>
      <c r="E91" s="268" t="s">
        <v>187</v>
      </c>
      <c r="F91" s="285"/>
      <c r="G91" s="273">
        <v>150.15</v>
      </c>
      <c r="H91" s="273">
        <f t="shared" si="3"/>
        <v>27.027000000000001</v>
      </c>
      <c r="I91" s="295">
        <f t="shared" si="5"/>
        <v>177.17700000000002</v>
      </c>
    </row>
    <row r="92" spans="1:9">
      <c r="A92" s="278" t="s">
        <v>220</v>
      </c>
      <c r="B92" s="268" t="s">
        <v>198</v>
      </c>
      <c r="C92" s="278" t="s">
        <v>202</v>
      </c>
      <c r="D92" s="268" t="s">
        <v>314</v>
      </c>
      <c r="E92" s="268" t="s">
        <v>187</v>
      </c>
      <c r="F92" s="285"/>
      <c r="G92" s="273">
        <v>84.08</v>
      </c>
      <c r="H92" s="273">
        <f>G92*0.18</f>
        <v>15.134399999999999</v>
      </c>
      <c r="I92" s="295">
        <f>SUM(G92:H92)</f>
        <v>99.214399999999998</v>
      </c>
    </row>
    <row r="93" spans="1:9">
      <c r="A93" s="268" t="s">
        <v>220</v>
      </c>
      <c r="B93" s="268" t="s">
        <v>198</v>
      </c>
      <c r="C93" s="268" t="s">
        <v>208</v>
      </c>
      <c r="D93" s="268" t="s">
        <v>315</v>
      </c>
      <c r="E93" s="268" t="s">
        <v>187</v>
      </c>
      <c r="F93" s="285"/>
      <c r="G93" s="273">
        <v>46.28</v>
      </c>
      <c r="H93" s="273">
        <f t="shared" si="3"/>
        <v>8.3303999999999991</v>
      </c>
      <c r="I93" s="295">
        <f t="shared" si="5"/>
        <v>54.610399999999998</v>
      </c>
    </row>
    <row r="94" spans="1:9">
      <c r="A94" s="278" t="s">
        <v>220</v>
      </c>
      <c r="B94" s="268" t="s">
        <v>198</v>
      </c>
      <c r="C94" s="278" t="s">
        <v>212</v>
      </c>
      <c r="D94" s="268" t="s">
        <v>156</v>
      </c>
      <c r="E94" s="268" t="s">
        <v>187</v>
      </c>
      <c r="F94" s="285"/>
      <c r="G94" s="273">
        <v>25</v>
      </c>
      <c r="H94" s="273">
        <f>G94*0.18</f>
        <v>4.5</v>
      </c>
      <c r="I94" s="295">
        <f>SUM(G94:H94)</f>
        <v>29.5</v>
      </c>
    </row>
    <row r="95" spans="1:9">
      <c r="A95" s="268" t="s">
        <v>220</v>
      </c>
      <c r="B95" s="268" t="s">
        <v>198</v>
      </c>
      <c r="C95" s="268" t="s">
        <v>216</v>
      </c>
      <c r="D95" s="268" t="s">
        <v>316</v>
      </c>
      <c r="E95" s="268" t="s">
        <v>187</v>
      </c>
      <c r="F95" s="285"/>
      <c r="G95" s="273">
        <v>24.84</v>
      </c>
      <c r="H95" s="273">
        <f t="shared" si="3"/>
        <v>4.4711999999999996</v>
      </c>
      <c r="I95" s="295">
        <f t="shared" si="5"/>
        <v>29.311199999999999</v>
      </c>
    </row>
    <row r="96" spans="1:9">
      <c r="A96" s="221" t="s">
        <v>317</v>
      </c>
      <c r="B96" s="221" t="s">
        <v>198</v>
      </c>
      <c r="C96" s="221" t="s">
        <v>185</v>
      </c>
      <c r="D96" s="221" t="s">
        <v>318</v>
      </c>
      <c r="E96" s="304"/>
      <c r="F96" s="282"/>
      <c r="G96" s="290">
        <v>0</v>
      </c>
      <c r="H96" s="290">
        <f t="shared" si="3"/>
        <v>0</v>
      </c>
      <c r="I96" s="291">
        <f>SUM(G96:H96)</f>
        <v>0</v>
      </c>
    </row>
    <row r="97" spans="1:9">
      <c r="A97" s="278" t="s">
        <v>317</v>
      </c>
      <c r="B97" s="268" t="s">
        <v>198</v>
      </c>
      <c r="C97" s="278" t="s">
        <v>191</v>
      </c>
      <c r="D97" s="268" t="s">
        <v>319</v>
      </c>
      <c r="E97" s="268" t="s">
        <v>187</v>
      </c>
      <c r="F97" s="285"/>
      <c r="G97" s="273">
        <v>646.79999999999995</v>
      </c>
      <c r="H97" s="273">
        <f t="shared" si="3"/>
        <v>116.42399999999999</v>
      </c>
      <c r="I97" s="295">
        <f t="shared" ref="I97:I117" si="6">SUM(G97:H97)</f>
        <v>763.22399999999993</v>
      </c>
    </row>
    <row r="98" spans="1:9">
      <c r="A98" s="278" t="s">
        <v>317</v>
      </c>
      <c r="B98" s="268" t="s">
        <v>198</v>
      </c>
      <c r="C98" s="278" t="s">
        <v>196</v>
      </c>
      <c r="D98" s="268" t="s">
        <v>320</v>
      </c>
      <c r="E98" s="268" t="s">
        <v>187</v>
      </c>
      <c r="F98" s="285"/>
      <c r="G98" s="273">
        <v>332.31</v>
      </c>
      <c r="H98" s="273">
        <f t="shared" si="3"/>
        <v>59.815799999999996</v>
      </c>
      <c r="I98" s="295">
        <f t="shared" si="6"/>
        <v>392.12580000000003</v>
      </c>
    </row>
    <row r="99" spans="1:9">
      <c r="A99" s="278" t="s">
        <v>317</v>
      </c>
      <c r="B99" s="268" t="s">
        <v>198</v>
      </c>
      <c r="C99" s="278" t="s">
        <v>202</v>
      </c>
      <c r="D99" s="268" t="s">
        <v>321</v>
      </c>
      <c r="E99" s="268" t="s">
        <v>187</v>
      </c>
      <c r="F99" s="285"/>
      <c r="G99" s="273">
        <v>189.42</v>
      </c>
      <c r="H99" s="273">
        <f t="shared" si="3"/>
        <v>34.095599999999997</v>
      </c>
      <c r="I99" s="295">
        <f t="shared" si="6"/>
        <v>223.51559999999998</v>
      </c>
    </row>
    <row r="100" spans="1:9">
      <c r="A100" s="278" t="s">
        <v>317</v>
      </c>
      <c r="B100" s="268" t="s">
        <v>198</v>
      </c>
      <c r="C100" s="278" t="s">
        <v>208</v>
      </c>
      <c r="D100" s="268" t="s">
        <v>322</v>
      </c>
      <c r="E100" s="268" t="s">
        <v>187</v>
      </c>
      <c r="F100" s="285"/>
      <c r="G100" s="273">
        <v>103.95</v>
      </c>
      <c r="H100" s="273">
        <f t="shared" si="3"/>
        <v>18.710999999999999</v>
      </c>
      <c r="I100" s="295">
        <f t="shared" si="6"/>
        <v>122.661</v>
      </c>
    </row>
    <row r="101" spans="1:9">
      <c r="A101" s="278" t="s">
        <v>317</v>
      </c>
      <c r="B101" s="268" t="s">
        <v>198</v>
      </c>
      <c r="C101" s="278" t="s">
        <v>212</v>
      </c>
      <c r="D101" s="268" t="s">
        <v>323</v>
      </c>
      <c r="E101" s="268" t="s">
        <v>187</v>
      </c>
      <c r="F101" s="285"/>
      <c r="G101" s="273">
        <v>112.96</v>
      </c>
      <c r="H101" s="273">
        <f t="shared" si="3"/>
        <v>20.332799999999999</v>
      </c>
      <c r="I101" s="295">
        <f t="shared" si="6"/>
        <v>133.2928</v>
      </c>
    </row>
    <row r="102" spans="1:9">
      <c r="A102" s="278" t="s">
        <v>317</v>
      </c>
      <c r="B102" s="268" t="s">
        <v>198</v>
      </c>
      <c r="C102" s="278" t="s">
        <v>216</v>
      </c>
      <c r="D102" s="268" t="s">
        <v>324</v>
      </c>
      <c r="E102" s="268" t="s">
        <v>187</v>
      </c>
      <c r="F102" s="285"/>
      <c r="G102" s="273">
        <v>72.349999999999994</v>
      </c>
      <c r="H102" s="273">
        <f t="shared" si="3"/>
        <v>13.022999999999998</v>
      </c>
      <c r="I102" s="295">
        <f t="shared" si="6"/>
        <v>85.37299999999999</v>
      </c>
    </row>
    <row r="103" spans="1:9">
      <c r="A103" s="221" t="s">
        <v>254</v>
      </c>
      <c r="B103" s="221" t="s">
        <v>198</v>
      </c>
      <c r="C103" s="221" t="s">
        <v>185</v>
      </c>
      <c r="D103" s="221" t="s">
        <v>325</v>
      </c>
      <c r="E103" s="221"/>
      <c r="F103" s="282"/>
      <c r="G103" s="290">
        <v>0</v>
      </c>
      <c r="H103" s="290">
        <f t="shared" si="3"/>
        <v>0</v>
      </c>
      <c r="I103" s="291">
        <f t="shared" si="6"/>
        <v>0</v>
      </c>
    </row>
    <row r="104" spans="1:9">
      <c r="A104" s="221" t="s">
        <v>254</v>
      </c>
      <c r="B104" s="221" t="s">
        <v>198</v>
      </c>
      <c r="C104" s="221" t="s">
        <v>191</v>
      </c>
      <c r="D104" s="221" t="s">
        <v>326</v>
      </c>
      <c r="E104" s="221"/>
      <c r="F104" s="282"/>
      <c r="G104" s="290">
        <v>0</v>
      </c>
      <c r="H104" s="290">
        <f t="shared" si="3"/>
        <v>0</v>
      </c>
      <c r="I104" s="291">
        <f t="shared" si="6"/>
        <v>0</v>
      </c>
    </row>
    <row r="105" spans="1:9">
      <c r="A105" s="278" t="s">
        <v>254</v>
      </c>
      <c r="B105" s="268" t="s">
        <v>198</v>
      </c>
      <c r="C105" s="278" t="s">
        <v>196</v>
      </c>
      <c r="D105" s="268" t="s">
        <v>327</v>
      </c>
      <c r="E105" s="268" t="s">
        <v>187</v>
      </c>
      <c r="F105" s="285"/>
      <c r="G105" s="273">
        <v>452.86</v>
      </c>
      <c r="H105" s="273">
        <f t="shared" si="3"/>
        <v>81.514799999999994</v>
      </c>
      <c r="I105" s="295">
        <f t="shared" si="6"/>
        <v>534.37480000000005</v>
      </c>
    </row>
    <row r="106" spans="1:9">
      <c r="A106" s="221" t="s">
        <v>254</v>
      </c>
      <c r="B106" s="221" t="s">
        <v>198</v>
      </c>
      <c r="C106" s="221" t="s">
        <v>202</v>
      </c>
      <c r="D106" s="221" t="s">
        <v>328</v>
      </c>
      <c r="E106" s="221"/>
      <c r="F106" s="282"/>
      <c r="G106" s="290">
        <v>0</v>
      </c>
      <c r="H106" s="290">
        <f t="shared" ref="H106:H116" si="7">G106*0.18</f>
        <v>0</v>
      </c>
      <c r="I106" s="291">
        <f t="shared" si="6"/>
        <v>0</v>
      </c>
    </row>
    <row r="107" spans="1:9">
      <c r="A107" s="278" t="s">
        <v>254</v>
      </c>
      <c r="B107" s="268" t="s">
        <v>198</v>
      </c>
      <c r="C107" s="278" t="s">
        <v>208</v>
      </c>
      <c r="D107" s="268" t="s">
        <v>329</v>
      </c>
      <c r="E107" s="268" t="s">
        <v>187</v>
      </c>
      <c r="F107" s="285"/>
      <c r="G107" s="273">
        <v>121.28</v>
      </c>
      <c r="H107" s="273">
        <f t="shared" si="7"/>
        <v>21.830400000000001</v>
      </c>
      <c r="I107" s="295">
        <f t="shared" si="6"/>
        <v>143.1104</v>
      </c>
    </row>
    <row r="108" spans="1:9">
      <c r="A108" s="221" t="s">
        <v>254</v>
      </c>
      <c r="B108" s="221" t="s">
        <v>198</v>
      </c>
      <c r="C108" s="221" t="s">
        <v>212</v>
      </c>
      <c r="D108" s="221" t="s">
        <v>330</v>
      </c>
      <c r="E108" s="221"/>
      <c r="F108" s="282"/>
      <c r="G108" s="290">
        <v>0</v>
      </c>
      <c r="H108" s="290">
        <f t="shared" si="7"/>
        <v>0</v>
      </c>
      <c r="I108" s="291">
        <f t="shared" si="6"/>
        <v>0</v>
      </c>
    </row>
    <row r="109" spans="1:9">
      <c r="A109" s="221" t="s">
        <v>254</v>
      </c>
      <c r="B109" s="221" t="s">
        <v>198</v>
      </c>
      <c r="C109" s="221" t="s">
        <v>216</v>
      </c>
      <c r="D109" s="221" t="s">
        <v>331</v>
      </c>
      <c r="E109" s="221"/>
      <c r="F109" s="282"/>
      <c r="G109" s="290">
        <v>0</v>
      </c>
      <c r="H109" s="290">
        <f t="shared" si="7"/>
        <v>0</v>
      </c>
      <c r="I109" s="291">
        <f t="shared" si="6"/>
        <v>0</v>
      </c>
    </row>
    <row r="110" spans="1:9">
      <c r="A110" s="268" t="s">
        <v>183</v>
      </c>
      <c r="B110" s="268" t="s">
        <v>204</v>
      </c>
      <c r="C110" s="268" t="s">
        <v>185</v>
      </c>
      <c r="D110" s="268" t="s">
        <v>332</v>
      </c>
      <c r="E110" s="268" t="s">
        <v>187</v>
      </c>
      <c r="F110" s="285"/>
      <c r="G110" s="273">
        <v>565.84</v>
      </c>
      <c r="H110" s="273">
        <f t="shared" si="7"/>
        <v>101.85120000000001</v>
      </c>
      <c r="I110" s="295">
        <f t="shared" si="6"/>
        <v>667.69119999999998</v>
      </c>
    </row>
    <row r="111" spans="1:9">
      <c r="A111" s="268" t="s">
        <v>183</v>
      </c>
      <c r="B111" s="268" t="s">
        <v>204</v>
      </c>
      <c r="C111" s="268" t="s">
        <v>191</v>
      </c>
      <c r="D111" s="268" t="s">
        <v>333</v>
      </c>
      <c r="E111" s="268" t="s">
        <v>187</v>
      </c>
      <c r="F111" s="285"/>
      <c r="G111" s="273">
        <v>506.99</v>
      </c>
      <c r="H111" s="273">
        <f t="shared" si="7"/>
        <v>91.258200000000002</v>
      </c>
      <c r="I111" s="295">
        <f t="shared" si="6"/>
        <v>598.2482</v>
      </c>
    </row>
    <row r="112" spans="1:9">
      <c r="A112" s="278" t="s">
        <v>183</v>
      </c>
      <c r="B112" s="268" t="s">
        <v>204</v>
      </c>
      <c r="C112" s="278" t="s">
        <v>196</v>
      </c>
      <c r="D112" s="268" t="s">
        <v>334</v>
      </c>
      <c r="E112" s="268" t="s">
        <v>187</v>
      </c>
      <c r="F112" s="285"/>
      <c r="G112" s="273">
        <v>170</v>
      </c>
      <c r="H112" s="273">
        <f t="shared" si="7"/>
        <v>30.599999999999998</v>
      </c>
      <c r="I112" s="295">
        <f t="shared" si="6"/>
        <v>200.6</v>
      </c>
    </row>
    <row r="113" spans="1:9">
      <c r="A113" s="278" t="s">
        <v>183</v>
      </c>
      <c r="B113" s="268" t="s">
        <v>204</v>
      </c>
      <c r="C113" s="278" t="s">
        <v>202</v>
      </c>
      <c r="D113" s="268" t="s">
        <v>335</v>
      </c>
      <c r="E113" s="268" t="s">
        <v>187</v>
      </c>
      <c r="F113" s="285"/>
      <c r="G113" s="273">
        <v>110.88</v>
      </c>
      <c r="H113" s="273">
        <f t="shared" si="7"/>
        <v>19.958399999999997</v>
      </c>
      <c r="I113" s="295">
        <f t="shared" si="6"/>
        <v>130.83839999999998</v>
      </c>
    </row>
    <row r="114" spans="1:9">
      <c r="A114" s="278" t="s">
        <v>183</v>
      </c>
      <c r="B114" s="268" t="s">
        <v>204</v>
      </c>
      <c r="C114" s="278" t="s">
        <v>208</v>
      </c>
      <c r="D114" s="268" t="s">
        <v>336</v>
      </c>
      <c r="E114" s="268" t="s">
        <v>187</v>
      </c>
      <c r="F114" s="285"/>
      <c r="G114" s="273">
        <v>73.260000000000005</v>
      </c>
      <c r="H114" s="273">
        <f t="shared" si="7"/>
        <v>13.1868</v>
      </c>
      <c r="I114" s="295">
        <f t="shared" si="6"/>
        <v>86.44680000000001</v>
      </c>
    </row>
    <row r="115" spans="1:9">
      <c r="A115" s="278" t="s">
        <v>183</v>
      </c>
      <c r="B115" s="268" t="s">
        <v>204</v>
      </c>
      <c r="C115" s="278" t="s">
        <v>212</v>
      </c>
      <c r="D115" s="268" t="s">
        <v>170</v>
      </c>
      <c r="E115" s="268" t="s">
        <v>187</v>
      </c>
      <c r="F115" s="285"/>
      <c r="G115" s="273">
        <v>44.07</v>
      </c>
      <c r="H115" s="273">
        <f t="shared" si="7"/>
        <v>7.9325999999999999</v>
      </c>
      <c r="I115" s="295">
        <f t="shared" si="6"/>
        <v>52.002600000000001</v>
      </c>
    </row>
    <row r="116" spans="1:9">
      <c r="A116" s="278" t="s">
        <v>183</v>
      </c>
      <c r="B116" s="268" t="s">
        <v>204</v>
      </c>
      <c r="C116" s="278" t="s">
        <v>216</v>
      </c>
      <c r="D116" s="268" t="s">
        <v>337</v>
      </c>
      <c r="E116" s="268" t="s">
        <v>187</v>
      </c>
      <c r="F116" s="285"/>
      <c r="G116" s="273">
        <v>31.51</v>
      </c>
      <c r="H116" s="273">
        <f t="shared" si="7"/>
        <v>5.6718000000000002</v>
      </c>
      <c r="I116" s="295">
        <f t="shared" si="6"/>
        <v>37.181800000000003</v>
      </c>
    </row>
    <row r="117" spans="1:9">
      <c r="A117" s="221" t="s">
        <v>317</v>
      </c>
      <c r="B117" s="221" t="s">
        <v>204</v>
      </c>
      <c r="C117" s="221" t="s">
        <v>185</v>
      </c>
      <c r="D117" s="221" t="s">
        <v>338</v>
      </c>
      <c r="E117" s="221"/>
      <c r="F117" s="282"/>
      <c r="G117" s="290">
        <v>0</v>
      </c>
      <c r="H117" s="290">
        <f>G117*0.18</f>
        <v>0</v>
      </c>
      <c r="I117" s="291">
        <f t="shared" si="6"/>
        <v>0</v>
      </c>
    </row>
    <row r="118" spans="1:9">
      <c r="A118" s="278" t="s">
        <v>317</v>
      </c>
      <c r="B118" s="268" t="s">
        <v>204</v>
      </c>
      <c r="C118" s="278" t="s">
        <v>191</v>
      </c>
      <c r="D118" s="268" t="s">
        <v>339</v>
      </c>
      <c r="E118" s="268" t="s">
        <v>187</v>
      </c>
      <c r="F118" s="285"/>
      <c r="G118" s="273">
        <v>796.1</v>
      </c>
      <c r="H118" s="273">
        <f t="shared" ref="H118:H124" si="8">G118*0.18</f>
        <v>143.298</v>
      </c>
      <c r="I118" s="295">
        <f t="shared" ref="I118" si="9">SUM(G118:H118)</f>
        <v>939.39800000000002</v>
      </c>
    </row>
    <row r="119" spans="1:9">
      <c r="A119" s="278" t="s">
        <v>317</v>
      </c>
      <c r="B119" s="268" t="s">
        <v>204</v>
      </c>
      <c r="C119" s="278" t="s">
        <v>196</v>
      </c>
      <c r="D119" s="268" t="s">
        <v>340</v>
      </c>
      <c r="E119" s="268" t="s">
        <v>187</v>
      </c>
      <c r="F119" s="285"/>
      <c r="G119" s="273">
        <v>277.45</v>
      </c>
      <c r="H119" s="273">
        <f t="shared" si="8"/>
        <v>49.940999999999995</v>
      </c>
      <c r="I119" s="295">
        <f>SUM(G119:H119)</f>
        <v>327.39099999999996</v>
      </c>
    </row>
    <row r="120" spans="1:9">
      <c r="A120" s="278" t="s">
        <v>317</v>
      </c>
      <c r="B120" s="268" t="s">
        <v>204</v>
      </c>
      <c r="C120" s="278" t="s">
        <v>196</v>
      </c>
      <c r="D120" s="268" t="s">
        <v>902</v>
      </c>
      <c r="E120" s="268" t="s">
        <v>187</v>
      </c>
      <c r="F120" s="285"/>
      <c r="G120" s="273">
        <v>278.45</v>
      </c>
      <c r="H120" s="273">
        <f t="shared" ref="H120" si="10">G120*0.18</f>
        <v>50.120999999999995</v>
      </c>
      <c r="I120" s="295">
        <f>SUM(G120:H120)</f>
        <v>328.57099999999997</v>
      </c>
    </row>
    <row r="121" spans="1:9">
      <c r="A121" s="278" t="s">
        <v>317</v>
      </c>
      <c r="B121" s="268" t="s">
        <v>204</v>
      </c>
      <c r="C121" s="278" t="s">
        <v>202</v>
      </c>
      <c r="D121" s="268" t="s">
        <v>341</v>
      </c>
      <c r="E121" s="268" t="s">
        <v>187</v>
      </c>
      <c r="F121" s="285"/>
      <c r="G121" s="273">
        <v>225.17</v>
      </c>
      <c r="H121" s="273">
        <f t="shared" si="8"/>
        <v>40.5306</v>
      </c>
      <c r="I121" s="295">
        <f t="shared" ref="I121:I139" si="11">SUM(G121:H121)</f>
        <v>265.70060000000001</v>
      </c>
    </row>
    <row r="122" spans="1:9">
      <c r="A122" s="278" t="s">
        <v>317</v>
      </c>
      <c r="B122" s="268" t="s">
        <v>204</v>
      </c>
      <c r="C122" s="278" t="s">
        <v>208</v>
      </c>
      <c r="D122" s="268" t="s">
        <v>342</v>
      </c>
      <c r="E122" s="268" t="s">
        <v>187</v>
      </c>
      <c r="F122" s="285"/>
      <c r="G122" s="273">
        <v>105.96</v>
      </c>
      <c r="H122" s="273">
        <f t="shared" si="8"/>
        <v>19.072799999999997</v>
      </c>
      <c r="I122" s="295">
        <f t="shared" si="11"/>
        <v>125.03279999999999</v>
      </c>
    </row>
    <row r="123" spans="1:9">
      <c r="A123" s="278" t="s">
        <v>317</v>
      </c>
      <c r="B123" s="268" t="s">
        <v>204</v>
      </c>
      <c r="C123" s="278" t="s">
        <v>212</v>
      </c>
      <c r="D123" s="268" t="s">
        <v>157</v>
      </c>
      <c r="E123" s="268" t="s">
        <v>187</v>
      </c>
      <c r="F123" s="285"/>
      <c r="G123" s="273">
        <v>70.02</v>
      </c>
      <c r="H123" s="273">
        <f t="shared" si="8"/>
        <v>12.603599999999998</v>
      </c>
      <c r="I123" s="295">
        <f t="shared" si="11"/>
        <v>82.623599999999996</v>
      </c>
    </row>
    <row r="124" spans="1:9">
      <c r="A124" s="278" t="s">
        <v>317</v>
      </c>
      <c r="B124" s="268" t="s">
        <v>204</v>
      </c>
      <c r="C124" s="278" t="s">
        <v>216</v>
      </c>
      <c r="D124" s="268" t="s">
        <v>343</v>
      </c>
      <c r="E124" s="268" t="s">
        <v>187</v>
      </c>
      <c r="F124" s="285"/>
      <c r="G124" s="273">
        <v>44.98</v>
      </c>
      <c r="H124" s="273">
        <f t="shared" si="8"/>
        <v>8.0963999999999992</v>
      </c>
      <c r="I124" s="295">
        <f t="shared" si="11"/>
        <v>53.076399999999992</v>
      </c>
    </row>
    <row r="125" spans="1:9">
      <c r="A125" s="268" t="s">
        <v>344</v>
      </c>
      <c r="B125" s="268" t="s">
        <v>188</v>
      </c>
      <c r="C125" s="268" t="s">
        <v>212</v>
      </c>
      <c r="D125" s="297" t="s">
        <v>345</v>
      </c>
      <c r="E125" s="268" t="s">
        <v>187</v>
      </c>
      <c r="F125" s="298"/>
      <c r="G125" s="273">
        <v>44.18</v>
      </c>
      <c r="H125" s="273">
        <v>5.2506000000000004</v>
      </c>
      <c r="I125" s="295">
        <f t="shared" si="11"/>
        <v>49.430599999999998</v>
      </c>
    </row>
    <row r="126" spans="1:9">
      <c r="A126" s="268" t="s">
        <v>344</v>
      </c>
      <c r="B126" s="268" t="s">
        <v>188</v>
      </c>
      <c r="C126" s="268" t="s">
        <v>216</v>
      </c>
      <c r="D126" s="297" t="s">
        <v>346</v>
      </c>
      <c r="E126" s="268" t="s">
        <v>187</v>
      </c>
      <c r="F126" s="298"/>
      <c r="G126" s="273">
        <v>44.87</v>
      </c>
      <c r="H126" s="273">
        <v>5.2506000000000004</v>
      </c>
      <c r="I126" s="295">
        <f t="shared" si="11"/>
        <v>50.120599999999996</v>
      </c>
    </row>
    <row r="127" spans="1:9">
      <c r="A127" s="268" t="s">
        <v>344</v>
      </c>
      <c r="B127" s="299" t="s">
        <v>194</v>
      </c>
      <c r="C127" s="268" t="s">
        <v>212</v>
      </c>
      <c r="D127" s="297" t="s">
        <v>347</v>
      </c>
      <c r="E127" s="268" t="s">
        <v>187</v>
      </c>
      <c r="F127" s="298"/>
      <c r="G127" s="273">
        <v>49.59</v>
      </c>
      <c r="H127" s="273">
        <v>7.6482000000000001</v>
      </c>
      <c r="I127" s="295">
        <f t="shared" si="11"/>
        <v>57.238200000000006</v>
      </c>
    </row>
    <row r="128" spans="1:9">
      <c r="A128" s="268" t="s">
        <v>344</v>
      </c>
      <c r="B128" s="299" t="s">
        <v>194</v>
      </c>
      <c r="C128" s="268" t="s">
        <v>216</v>
      </c>
      <c r="D128" s="297" t="s">
        <v>348</v>
      </c>
      <c r="E128" s="268" t="s">
        <v>187</v>
      </c>
      <c r="F128" s="298"/>
      <c r="G128" s="273">
        <v>50.17</v>
      </c>
      <c r="H128" s="273">
        <v>7.1999999999999993</v>
      </c>
      <c r="I128" s="295">
        <f t="shared" si="11"/>
        <v>57.370000000000005</v>
      </c>
    </row>
    <row r="129" spans="1:9">
      <c r="A129" s="317" t="s">
        <v>344</v>
      </c>
      <c r="B129" s="300" t="s">
        <v>199</v>
      </c>
      <c r="C129" s="317" t="s">
        <v>212</v>
      </c>
      <c r="D129" s="317" t="s">
        <v>349</v>
      </c>
      <c r="E129" s="317"/>
      <c r="F129" s="287"/>
      <c r="G129" s="140">
        <v>219.7</v>
      </c>
      <c r="H129" s="140">
        <v>33.514199999999995</v>
      </c>
      <c r="I129" s="295">
        <f t="shared" si="11"/>
        <v>253.21419999999998</v>
      </c>
    </row>
    <row r="130" spans="1:9">
      <c r="A130" s="317" t="s">
        <v>344</v>
      </c>
      <c r="B130" s="317" t="s">
        <v>199</v>
      </c>
      <c r="C130" s="317" t="s">
        <v>216</v>
      </c>
      <c r="D130" s="317" t="s">
        <v>350</v>
      </c>
      <c r="E130" s="317"/>
      <c r="F130" s="287"/>
      <c r="G130" s="140">
        <v>165.95</v>
      </c>
      <c r="H130" s="140">
        <v>25.311599999999999</v>
      </c>
      <c r="I130" s="295">
        <f t="shared" si="11"/>
        <v>191.26159999999999</v>
      </c>
    </row>
    <row r="131" spans="1:9">
      <c r="A131" s="299" t="s">
        <v>344</v>
      </c>
      <c r="B131" s="299" t="s">
        <v>205</v>
      </c>
      <c r="C131" s="268" t="s">
        <v>208</v>
      </c>
      <c r="D131" s="268" t="s">
        <v>351</v>
      </c>
      <c r="E131" s="268" t="s">
        <v>187</v>
      </c>
      <c r="F131" s="285"/>
      <c r="G131" s="273">
        <v>134.16999999999999</v>
      </c>
      <c r="H131" s="273">
        <v>24.150599999999997</v>
      </c>
      <c r="I131" s="295">
        <f t="shared" si="11"/>
        <v>158.32059999999998</v>
      </c>
    </row>
    <row r="132" spans="1:9">
      <c r="A132" s="299" t="s">
        <v>344</v>
      </c>
      <c r="B132" s="299" t="s">
        <v>205</v>
      </c>
      <c r="C132" s="268" t="s">
        <v>212</v>
      </c>
      <c r="D132" s="268" t="s">
        <v>352</v>
      </c>
      <c r="E132" s="268" t="s">
        <v>187</v>
      </c>
      <c r="F132" s="285"/>
      <c r="G132" s="273">
        <v>134.16999999999999</v>
      </c>
      <c r="H132" s="273">
        <v>24.150599999999997</v>
      </c>
      <c r="I132" s="295">
        <f t="shared" si="11"/>
        <v>158.32059999999998</v>
      </c>
    </row>
    <row r="133" spans="1:9">
      <c r="A133" s="299" t="s">
        <v>344</v>
      </c>
      <c r="B133" s="299" t="s">
        <v>205</v>
      </c>
      <c r="C133" s="268" t="s">
        <v>216</v>
      </c>
      <c r="D133" s="268" t="s">
        <v>353</v>
      </c>
      <c r="E133" s="268" t="s">
        <v>187</v>
      </c>
      <c r="F133" s="285"/>
      <c r="G133" s="273">
        <v>134.16999999999999</v>
      </c>
      <c r="H133" s="273">
        <v>24.150599999999997</v>
      </c>
      <c r="I133" s="295">
        <f t="shared" si="11"/>
        <v>158.32059999999998</v>
      </c>
    </row>
    <row r="134" spans="1:9">
      <c r="A134" s="299"/>
      <c r="B134" s="299"/>
      <c r="C134" s="268"/>
      <c r="D134" s="268" t="s">
        <v>757</v>
      </c>
      <c r="E134" s="268" t="s">
        <v>187</v>
      </c>
      <c r="F134" s="285"/>
      <c r="G134" s="273">
        <v>576.27</v>
      </c>
      <c r="H134" s="273">
        <v>24.150599999999997</v>
      </c>
      <c r="I134" s="295">
        <f t="shared" si="11"/>
        <v>600.42059999999992</v>
      </c>
    </row>
    <row r="135" spans="1:9">
      <c r="A135" s="299"/>
      <c r="B135" s="299"/>
      <c r="C135" s="268"/>
      <c r="D135" s="268" t="s">
        <v>869</v>
      </c>
      <c r="E135" s="268" t="s">
        <v>187</v>
      </c>
      <c r="F135" s="285"/>
      <c r="G135" s="273">
        <v>650</v>
      </c>
      <c r="H135" s="273">
        <v>24.150599999999997</v>
      </c>
      <c r="I135" s="295">
        <f t="shared" si="11"/>
        <v>674.15059999999994</v>
      </c>
    </row>
    <row r="136" spans="1:9">
      <c r="A136" s="299" t="s">
        <v>344</v>
      </c>
      <c r="B136" s="268" t="s">
        <v>188</v>
      </c>
      <c r="C136" s="268"/>
      <c r="D136" s="297" t="s">
        <v>354</v>
      </c>
      <c r="E136" s="268" t="s">
        <v>187</v>
      </c>
      <c r="F136" s="298"/>
      <c r="G136" s="273">
        <v>23.54</v>
      </c>
      <c r="H136" s="273">
        <f t="shared" ref="H136:H185" si="12">G136*0.18</f>
        <v>4.2371999999999996</v>
      </c>
      <c r="I136" s="295">
        <f t="shared" si="11"/>
        <v>27.777200000000001</v>
      </c>
    </row>
    <row r="137" spans="1:9">
      <c r="A137" s="299" t="s">
        <v>344</v>
      </c>
      <c r="B137" s="299" t="s">
        <v>194</v>
      </c>
      <c r="C137" s="268"/>
      <c r="D137" s="268" t="s">
        <v>355</v>
      </c>
      <c r="E137" s="268" t="s">
        <v>187</v>
      </c>
      <c r="F137" s="285"/>
      <c r="G137" s="273">
        <v>23.54</v>
      </c>
      <c r="H137" s="273">
        <f t="shared" si="12"/>
        <v>4.2371999999999996</v>
      </c>
      <c r="I137" s="295">
        <f t="shared" si="11"/>
        <v>27.777200000000001</v>
      </c>
    </row>
    <row r="138" spans="1:9">
      <c r="A138" s="299" t="s">
        <v>344</v>
      </c>
      <c r="B138" s="299" t="s">
        <v>199</v>
      </c>
      <c r="C138" s="268"/>
      <c r="D138" s="268" t="s">
        <v>356</v>
      </c>
      <c r="E138" s="268" t="s">
        <v>187</v>
      </c>
      <c r="F138" s="285"/>
      <c r="G138" s="273">
        <v>106</v>
      </c>
      <c r="H138" s="273">
        <f t="shared" si="12"/>
        <v>19.079999999999998</v>
      </c>
      <c r="I138" s="295">
        <f t="shared" si="11"/>
        <v>125.08</v>
      </c>
    </row>
    <row r="139" spans="1:9">
      <c r="A139" s="299" t="s">
        <v>344</v>
      </c>
      <c r="B139" s="299" t="s">
        <v>205</v>
      </c>
      <c r="C139" s="268"/>
      <c r="D139" s="268" t="s">
        <v>357</v>
      </c>
      <c r="E139" s="268" t="s">
        <v>187</v>
      </c>
      <c r="F139" s="285"/>
      <c r="G139" s="273">
        <v>28.43</v>
      </c>
      <c r="H139" s="273">
        <f t="shared" si="12"/>
        <v>5.1173999999999999</v>
      </c>
      <c r="I139" s="295">
        <f t="shared" si="11"/>
        <v>33.547399999999996</v>
      </c>
    </row>
    <row r="140" spans="1:9">
      <c r="A140" s="299" t="s">
        <v>344</v>
      </c>
      <c r="B140" s="267"/>
      <c r="C140" s="278"/>
      <c r="D140" s="268" t="s">
        <v>162</v>
      </c>
      <c r="E140" s="268" t="s">
        <v>358</v>
      </c>
      <c r="F140" s="285">
        <v>44214</v>
      </c>
      <c r="G140" s="273">
        <v>330.51</v>
      </c>
      <c r="H140" s="273">
        <f t="shared" si="12"/>
        <v>59.491799999999998</v>
      </c>
      <c r="I140" s="295">
        <f t="shared" ref="I140:I171" si="13">SUM(G140:H140)</f>
        <v>390.0018</v>
      </c>
    </row>
    <row r="141" spans="1:9">
      <c r="A141" s="299"/>
      <c r="B141" s="267"/>
      <c r="C141" s="278"/>
      <c r="D141" s="303" t="s">
        <v>165</v>
      </c>
      <c r="E141" s="268" t="s">
        <v>359</v>
      </c>
      <c r="F141" s="285">
        <v>44214</v>
      </c>
      <c r="G141" s="273">
        <v>145</v>
      </c>
      <c r="H141" s="273">
        <f t="shared" si="12"/>
        <v>26.099999999999998</v>
      </c>
      <c r="I141" s="295">
        <f t="shared" si="13"/>
        <v>171.1</v>
      </c>
    </row>
    <row r="142" spans="1:9">
      <c r="A142" s="299"/>
      <c r="B142" s="267"/>
      <c r="C142" s="278"/>
      <c r="D142" s="268" t="s">
        <v>912</v>
      </c>
      <c r="E142" s="268"/>
      <c r="F142" s="285"/>
      <c r="G142" s="273">
        <v>250</v>
      </c>
      <c r="H142" s="273">
        <f t="shared" ref="H142" si="14">G142*0.18</f>
        <v>45</v>
      </c>
      <c r="I142" s="295">
        <f t="shared" ref="I142" si="15">SUM(G142:H142)</f>
        <v>295</v>
      </c>
    </row>
    <row r="143" spans="1:9">
      <c r="A143" s="299" t="s">
        <v>344</v>
      </c>
      <c r="B143" s="267"/>
      <c r="C143" s="278"/>
      <c r="D143" s="268" t="s">
        <v>158</v>
      </c>
      <c r="E143" s="268" t="s">
        <v>187</v>
      </c>
      <c r="F143" s="285">
        <v>44215</v>
      </c>
      <c r="G143" s="273">
        <v>185</v>
      </c>
      <c r="H143" s="273">
        <f t="shared" si="12"/>
        <v>33.299999999999997</v>
      </c>
      <c r="I143" s="295">
        <f t="shared" si="13"/>
        <v>218.3</v>
      </c>
    </row>
    <row r="144" spans="1:9">
      <c r="A144" s="299" t="s">
        <v>344</v>
      </c>
      <c r="B144" s="267"/>
      <c r="C144" s="278"/>
      <c r="D144" s="268" t="s">
        <v>907</v>
      </c>
      <c r="E144" s="268" t="s">
        <v>187</v>
      </c>
      <c r="F144" s="285">
        <v>44215</v>
      </c>
      <c r="G144" s="273">
        <v>75</v>
      </c>
      <c r="H144" s="273">
        <f t="shared" si="12"/>
        <v>13.5</v>
      </c>
      <c r="I144" s="295">
        <f t="shared" si="13"/>
        <v>88.5</v>
      </c>
    </row>
    <row r="145" spans="1:9">
      <c r="A145" s="299" t="s">
        <v>344</v>
      </c>
      <c r="B145" s="267"/>
      <c r="C145" s="278"/>
      <c r="D145" s="268" t="s">
        <v>159</v>
      </c>
      <c r="E145" s="268" t="s">
        <v>187</v>
      </c>
      <c r="F145" s="285">
        <v>44215</v>
      </c>
      <c r="G145" s="273">
        <v>68</v>
      </c>
      <c r="H145" s="273">
        <f t="shared" si="12"/>
        <v>12.24</v>
      </c>
      <c r="I145" s="295">
        <f t="shared" si="13"/>
        <v>80.239999999999995</v>
      </c>
    </row>
    <row r="146" spans="1:9">
      <c r="A146" s="299" t="s">
        <v>344</v>
      </c>
      <c r="B146" s="267"/>
      <c r="C146" s="278"/>
      <c r="D146" s="268" t="s">
        <v>908</v>
      </c>
      <c r="E146" s="268" t="s">
        <v>187</v>
      </c>
      <c r="F146" s="285">
        <v>44215</v>
      </c>
      <c r="G146" s="273">
        <v>191</v>
      </c>
      <c r="H146" s="273">
        <f t="shared" si="12"/>
        <v>34.379999999999995</v>
      </c>
      <c r="I146" s="295">
        <f t="shared" si="13"/>
        <v>225.38</v>
      </c>
    </row>
    <row r="147" spans="1:9">
      <c r="A147" s="299"/>
      <c r="B147" s="267"/>
      <c r="C147" s="278"/>
      <c r="D147" s="268" t="s">
        <v>745</v>
      </c>
      <c r="E147" s="268" t="s">
        <v>746</v>
      </c>
      <c r="F147" s="285"/>
      <c r="G147" s="273">
        <v>1745.94</v>
      </c>
      <c r="H147" s="273">
        <f t="shared" si="12"/>
        <v>314.26920000000001</v>
      </c>
      <c r="I147" s="295">
        <f t="shared" si="13"/>
        <v>2060.2092000000002</v>
      </c>
    </row>
    <row r="148" spans="1:9">
      <c r="A148" s="299"/>
      <c r="B148" s="267"/>
      <c r="C148" s="278"/>
      <c r="D148" s="268" t="s">
        <v>741</v>
      </c>
      <c r="E148" s="268" t="s">
        <v>187</v>
      </c>
      <c r="F148" s="285"/>
      <c r="G148" s="273">
        <v>346</v>
      </c>
      <c r="H148" s="273">
        <f t="shared" si="12"/>
        <v>62.28</v>
      </c>
      <c r="I148" s="295">
        <f t="shared" si="13"/>
        <v>408.28</v>
      </c>
    </row>
    <row r="149" spans="1:9">
      <c r="A149" s="299" t="s">
        <v>344</v>
      </c>
      <c r="B149" s="267"/>
      <c r="C149" s="278"/>
      <c r="D149" s="268" t="s">
        <v>750</v>
      </c>
      <c r="E149" s="268" t="s">
        <v>437</v>
      </c>
      <c r="F149" s="285">
        <v>44221</v>
      </c>
      <c r="G149" s="273">
        <v>1600</v>
      </c>
      <c r="H149" s="273">
        <f t="shared" si="12"/>
        <v>288</v>
      </c>
      <c r="I149" s="295">
        <f t="shared" si="13"/>
        <v>1888</v>
      </c>
    </row>
    <row r="150" spans="1:9" ht="16">
      <c r="A150" s="299" t="s">
        <v>344</v>
      </c>
      <c r="B150" s="267"/>
      <c r="C150" s="278"/>
      <c r="D150" s="272" t="s">
        <v>751</v>
      </c>
      <c r="E150" s="268" t="s">
        <v>437</v>
      </c>
      <c r="F150" s="285">
        <v>44223</v>
      </c>
      <c r="G150" s="273">
        <v>995</v>
      </c>
      <c r="H150" s="273">
        <f t="shared" si="12"/>
        <v>179.1</v>
      </c>
      <c r="I150" s="295">
        <f t="shared" si="13"/>
        <v>1174.0999999999999</v>
      </c>
    </row>
    <row r="151" spans="1:9">
      <c r="A151" s="268" t="s">
        <v>181</v>
      </c>
      <c r="B151" s="268"/>
      <c r="C151" s="268">
        <v>12</v>
      </c>
      <c r="D151" s="268" t="s">
        <v>189</v>
      </c>
      <c r="E151" s="268" t="s">
        <v>187</v>
      </c>
      <c r="F151" s="285"/>
      <c r="G151" s="273">
        <v>7.3</v>
      </c>
      <c r="H151" s="273">
        <f t="shared" si="12"/>
        <v>1.3139999999999998</v>
      </c>
      <c r="I151" s="295">
        <f t="shared" si="13"/>
        <v>8.613999999999999</v>
      </c>
    </row>
    <row r="152" spans="1:9">
      <c r="A152" s="268" t="s">
        <v>181</v>
      </c>
      <c r="B152" s="268"/>
      <c r="C152" s="268">
        <v>10</v>
      </c>
      <c r="D152" s="268" t="s">
        <v>153</v>
      </c>
      <c r="E152" s="268" t="s">
        <v>187</v>
      </c>
      <c r="F152" s="285"/>
      <c r="G152" s="273">
        <v>11.89</v>
      </c>
      <c r="H152" s="273">
        <f t="shared" si="12"/>
        <v>2.1402000000000001</v>
      </c>
      <c r="I152" s="295">
        <f t="shared" si="13"/>
        <v>14.030200000000001</v>
      </c>
    </row>
    <row r="153" spans="1:9">
      <c r="A153" s="268" t="s">
        <v>181</v>
      </c>
      <c r="B153" s="268"/>
      <c r="C153" s="268">
        <v>8</v>
      </c>
      <c r="D153" s="268" t="s">
        <v>200</v>
      </c>
      <c r="E153" s="268" t="s">
        <v>187</v>
      </c>
      <c r="F153" s="285"/>
      <c r="G153" s="273">
        <v>23.07</v>
      </c>
      <c r="H153" s="273">
        <f t="shared" si="12"/>
        <v>4.1525999999999996</v>
      </c>
      <c r="I153" s="295">
        <f t="shared" si="13"/>
        <v>27.2226</v>
      </c>
    </row>
    <row r="154" spans="1:9">
      <c r="A154" s="268" t="s">
        <v>181</v>
      </c>
      <c r="B154" s="268"/>
      <c r="C154" s="268">
        <v>6</v>
      </c>
      <c r="D154" s="268" t="s">
        <v>206</v>
      </c>
      <c r="E154" s="268" t="s">
        <v>187</v>
      </c>
      <c r="F154" s="285"/>
      <c r="G154" s="273">
        <v>28.76</v>
      </c>
      <c r="H154" s="273">
        <f t="shared" si="12"/>
        <v>5.1768000000000001</v>
      </c>
      <c r="I154" s="295">
        <f t="shared" si="13"/>
        <v>33.936800000000005</v>
      </c>
    </row>
    <row r="155" spans="1:9">
      <c r="A155" s="268" t="s">
        <v>181</v>
      </c>
      <c r="B155" s="268"/>
      <c r="C155" s="268">
        <v>4</v>
      </c>
      <c r="D155" s="268" t="s">
        <v>210</v>
      </c>
      <c r="E155" s="268" t="s">
        <v>187</v>
      </c>
      <c r="F155" s="285"/>
      <c r="G155" s="273">
        <v>49.56</v>
      </c>
      <c r="H155" s="273">
        <f t="shared" si="12"/>
        <v>8.9207999999999998</v>
      </c>
      <c r="I155" s="295">
        <f t="shared" si="13"/>
        <v>58.480800000000002</v>
      </c>
    </row>
    <row r="156" spans="1:9">
      <c r="A156" s="268" t="s">
        <v>181</v>
      </c>
      <c r="B156" s="268"/>
      <c r="C156" s="268">
        <v>2</v>
      </c>
      <c r="D156" s="268" t="s">
        <v>214</v>
      </c>
      <c r="E156" s="268" t="s">
        <v>187</v>
      </c>
      <c r="F156" s="285"/>
      <c r="G156" s="273">
        <v>74.75</v>
      </c>
      <c r="H156" s="273">
        <f t="shared" si="12"/>
        <v>13.455</v>
      </c>
      <c r="I156" s="295">
        <f t="shared" si="13"/>
        <v>88.204999999999998</v>
      </c>
    </row>
    <row r="157" spans="1:9">
      <c r="A157" s="268" t="s">
        <v>181</v>
      </c>
      <c r="B157" s="268"/>
      <c r="C157" s="268" t="s">
        <v>360</v>
      </c>
      <c r="D157" s="268" t="s">
        <v>218</v>
      </c>
      <c r="E157" s="268" t="s">
        <v>187</v>
      </c>
      <c r="F157" s="285">
        <v>44271</v>
      </c>
      <c r="G157" s="273">
        <v>147</v>
      </c>
      <c r="H157" s="273">
        <f t="shared" si="12"/>
        <v>26.459999999999997</v>
      </c>
      <c r="I157" s="295">
        <f t="shared" si="13"/>
        <v>173.46</v>
      </c>
    </row>
    <row r="158" spans="1:9">
      <c r="A158" s="268" t="s">
        <v>181</v>
      </c>
      <c r="B158" s="268"/>
      <c r="C158" s="268" t="s">
        <v>361</v>
      </c>
      <c r="D158" s="268" t="s">
        <v>222</v>
      </c>
      <c r="E158" s="268" t="s">
        <v>187</v>
      </c>
      <c r="F158" s="285"/>
      <c r="G158" s="273">
        <v>133.85</v>
      </c>
      <c r="H158" s="273">
        <f t="shared" si="12"/>
        <v>24.092999999999996</v>
      </c>
      <c r="I158" s="295">
        <f t="shared" si="13"/>
        <v>157.94299999999998</v>
      </c>
    </row>
    <row r="159" spans="1:9">
      <c r="A159" s="268" t="s">
        <v>181</v>
      </c>
      <c r="B159" s="268"/>
      <c r="C159" s="268" t="s">
        <v>362</v>
      </c>
      <c r="D159" s="268" t="s">
        <v>225</v>
      </c>
      <c r="E159" s="268" t="s">
        <v>187</v>
      </c>
      <c r="F159" s="285"/>
      <c r="G159" s="273">
        <v>180.96</v>
      </c>
      <c r="H159" s="273">
        <f t="shared" si="12"/>
        <v>32.572800000000001</v>
      </c>
      <c r="I159" s="295">
        <f t="shared" si="13"/>
        <v>213.53280000000001</v>
      </c>
    </row>
    <row r="160" spans="1:9">
      <c r="A160" s="268" t="s">
        <v>181</v>
      </c>
      <c r="B160" s="268"/>
      <c r="C160" s="268" t="s">
        <v>363</v>
      </c>
      <c r="D160" s="268" t="s">
        <v>228</v>
      </c>
      <c r="E160" s="268" t="s">
        <v>187</v>
      </c>
      <c r="F160" s="285"/>
      <c r="G160" s="273">
        <v>226.2</v>
      </c>
      <c r="H160" s="273">
        <f t="shared" si="12"/>
        <v>40.715999999999994</v>
      </c>
      <c r="I160" s="295">
        <f t="shared" si="13"/>
        <v>266.916</v>
      </c>
    </row>
    <row r="161" spans="1:9">
      <c r="A161" s="221" t="s">
        <v>182</v>
      </c>
      <c r="B161" s="221"/>
      <c r="C161" s="221" t="s">
        <v>364</v>
      </c>
      <c r="D161" s="221" t="s">
        <v>190</v>
      </c>
      <c r="E161" s="221"/>
      <c r="F161" s="282"/>
      <c r="G161" s="290">
        <v>5.53</v>
      </c>
      <c r="H161" s="290">
        <f t="shared" si="12"/>
        <v>0.99540000000000006</v>
      </c>
      <c r="I161" s="291">
        <f t="shared" si="13"/>
        <v>6.5254000000000003</v>
      </c>
    </row>
    <row r="162" spans="1:9">
      <c r="A162" s="221" t="s">
        <v>182</v>
      </c>
      <c r="B162" s="221"/>
      <c r="C162" s="221" t="s">
        <v>365</v>
      </c>
      <c r="D162" s="221" t="s">
        <v>195</v>
      </c>
      <c r="E162" s="221"/>
      <c r="F162" s="282"/>
      <c r="G162" s="290">
        <v>9.0399999999999991</v>
      </c>
      <c r="H162" s="290">
        <f t="shared" si="12"/>
        <v>1.6271999999999998</v>
      </c>
      <c r="I162" s="291">
        <f t="shared" si="13"/>
        <v>10.667199999999999</v>
      </c>
    </row>
    <row r="163" spans="1:9">
      <c r="A163" s="221" t="s">
        <v>182</v>
      </c>
      <c r="B163" s="221"/>
      <c r="C163" s="221" t="s">
        <v>366</v>
      </c>
      <c r="D163" s="221" t="s">
        <v>201</v>
      </c>
      <c r="E163" s="221"/>
      <c r="F163" s="282"/>
      <c r="G163" s="290">
        <v>14.63</v>
      </c>
      <c r="H163" s="290">
        <f t="shared" si="12"/>
        <v>2.6334</v>
      </c>
      <c r="I163" s="291">
        <f t="shared" si="13"/>
        <v>17.263400000000001</v>
      </c>
    </row>
    <row r="164" spans="1:9">
      <c r="A164" s="221" t="s">
        <v>182</v>
      </c>
      <c r="B164" s="221"/>
      <c r="C164" s="221" t="s">
        <v>367</v>
      </c>
      <c r="D164" s="221" t="s">
        <v>207</v>
      </c>
      <c r="E164" s="221"/>
      <c r="F164" s="282"/>
      <c r="G164" s="290">
        <v>25.33</v>
      </c>
      <c r="H164" s="290">
        <f t="shared" si="12"/>
        <v>4.5593999999999992</v>
      </c>
      <c r="I164" s="291">
        <f t="shared" si="13"/>
        <v>29.889399999999998</v>
      </c>
    </row>
    <row r="165" spans="1:9">
      <c r="A165" s="278" t="s">
        <v>182</v>
      </c>
      <c r="B165" s="268"/>
      <c r="C165" s="278" t="s">
        <v>368</v>
      </c>
      <c r="D165" s="268" t="s">
        <v>211</v>
      </c>
      <c r="E165" s="268" t="s">
        <v>187</v>
      </c>
      <c r="F165" s="285"/>
      <c r="G165" s="273">
        <v>33.049999999999997</v>
      </c>
      <c r="H165" s="273">
        <f t="shared" si="12"/>
        <v>5.948999999999999</v>
      </c>
      <c r="I165" s="295">
        <f t="shared" si="13"/>
        <v>38.998999999999995</v>
      </c>
    </row>
    <row r="166" spans="1:9">
      <c r="A166" s="278" t="s">
        <v>182</v>
      </c>
      <c r="B166" s="268"/>
      <c r="C166" s="278" t="s">
        <v>369</v>
      </c>
      <c r="D166" s="268" t="s">
        <v>215</v>
      </c>
      <c r="E166" s="268" t="s">
        <v>187</v>
      </c>
      <c r="F166" s="285"/>
      <c r="G166" s="273">
        <v>53</v>
      </c>
      <c r="H166" s="273">
        <f t="shared" si="12"/>
        <v>9.5399999999999991</v>
      </c>
      <c r="I166" s="295">
        <f t="shared" si="13"/>
        <v>62.54</v>
      </c>
    </row>
    <row r="167" spans="1:9">
      <c r="A167" s="278" t="s">
        <v>182</v>
      </c>
      <c r="B167" s="268"/>
      <c r="C167" s="278" t="s">
        <v>370</v>
      </c>
      <c r="D167" s="268" t="s">
        <v>219</v>
      </c>
      <c r="E167" s="268" t="s">
        <v>187</v>
      </c>
      <c r="F167" s="285"/>
      <c r="G167" s="273">
        <v>76.23</v>
      </c>
      <c r="H167" s="273">
        <f t="shared" si="12"/>
        <v>13.721400000000001</v>
      </c>
      <c r="I167" s="295">
        <f t="shared" si="13"/>
        <v>89.951400000000007</v>
      </c>
    </row>
    <row r="168" spans="1:9">
      <c r="A168" s="278" t="s">
        <v>182</v>
      </c>
      <c r="B168" s="268"/>
      <c r="C168" s="278" t="s">
        <v>371</v>
      </c>
      <c r="D168" s="268" t="s">
        <v>223</v>
      </c>
      <c r="E168" s="268" t="s">
        <v>187</v>
      </c>
      <c r="F168" s="285"/>
      <c r="G168" s="273">
        <v>109.59</v>
      </c>
      <c r="H168" s="273">
        <f t="shared" si="12"/>
        <v>19.726199999999999</v>
      </c>
      <c r="I168" s="295">
        <f t="shared" si="13"/>
        <v>129.31620000000001</v>
      </c>
    </row>
    <row r="169" spans="1:9">
      <c r="A169" s="278" t="s">
        <v>182</v>
      </c>
      <c r="B169" s="268"/>
      <c r="C169" s="278" t="s">
        <v>372</v>
      </c>
      <c r="D169" s="268" t="s">
        <v>226</v>
      </c>
      <c r="E169" s="268" t="s">
        <v>187</v>
      </c>
      <c r="F169" s="285"/>
      <c r="G169" s="273">
        <v>145</v>
      </c>
      <c r="H169" s="273">
        <f t="shared" si="12"/>
        <v>26.099999999999998</v>
      </c>
      <c r="I169" s="295">
        <f t="shared" si="13"/>
        <v>171.1</v>
      </c>
    </row>
    <row r="170" spans="1:9">
      <c r="A170" s="278" t="s">
        <v>182</v>
      </c>
      <c r="B170" s="268"/>
      <c r="C170" s="278" t="s">
        <v>373</v>
      </c>
      <c r="D170" s="268" t="s">
        <v>229</v>
      </c>
      <c r="E170" s="268" t="s">
        <v>187</v>
      </c>
      <c r="F170" s="285"/>
      <c r="G170" s="273">
        <v>195</v>
      </c>
      <c r="H170" s="273">
        <f t="shared" si="12"/>
        <v>35.1</v>
      </c>
      <c r="I170" s="295">
        <f t="shared" si="13"/>
        <v>230.1</v>
      </c>
    </row>
    <row r="171" spans="1:9">
      <c r="A171" s="278" t="s">
        <v>182</v>
      </c>
      <c r="B171" s="268"/>
      <c r="C171" s="278" t="s">
        <v>374</v>
      </c>
      <c r="D171" s="268" t="s">
        <v>231</v>
      </c>
      <c r="E171" s="268" t="s">
        <v>187</v>
      </c>
      <c r="F171" s="285"/>
      <c r="G171" s="273">
        <v>235</v>
      </c>
      <c r="H171" s="273">
        <f t="shared" si="12"/>
        <v>42.3</v>
      </c>
      <c r="I171" s="295">
        <f t="shared" si="13"/>
        <v>277.3</v>
      </c>
    </row>
    <row r="172" spans="1:9">
      <c r="A172" s="221" t="s">
        <v>182</v>
      </c>
      <c r="B172" s="221"/>
      <c r="C172" s="221" t="s">
        <v>375</v>
      </c>
      <c r="D172" s="221" t="s">
        <v>233</v>
      </c>
      <c r="E172" s="221"/>
      <c r="F172" s="282"/>
      <c r="G172" s="290">
        <v>0</v>
      </c>
      <c r="H172" s="290">
        <f t="shared" si="12"/>
        <v>0</v>
      </c>
      <c r="I172" s="291">
        <f>SUM(G172:H172)</f>
        <v>0</v>
      </c>
    </row>
    <row r="173" spans="1:9">
      <c r="A173" s="221" t="s">
        <v>182</v>
      </c>
      <c r="B173" s="221"/>
      <c r="C173" s="221" t="s">
        <v>376</v>
      </c>
      <c r="D173" s="221" t="s">
        <v>235</v>
      </c>
      <c r="E173" s="221"/>
      <c r="F173" s="282"/>
      <c r="G173" s="290">
        <v>0</v>
      </c>
      <c r="H173" s="290">
        <f t="shared" si="12"/>
        <v>0</v>
      </c>
      <c r="I173" s="291">
        <f t="shared" ref="I173:I185" si="16">SUM(G173:H173)</f>
        <v>0</v>
      </c>
    </row>
    <row r="174" spans="1:9">
      <c r="A174" s="219" t="s">
        <v>182</v>
      </c>
      <c r="B174" s="217"/>
      <c r="C174" s="219" t="s">
        <v>377</v>
      </c>
      <c r="D174" s="217" t="s">
        <v>237</v>
      </c>
      <c r="E174" s="217"/>
      <c r="F174" s="283"/>
      <c r="G174" s="292">
        <v>396.26</v>
      </c>
      <c r="H174" s="292">
        <f t="shared" si="12"/>
        <v>71.326799999999992</v>
      </c>
      <c r="I174" s="293">
        <f t="shared" si="16"/>
        <v>467.58679999999998</v>
      </c>
    </row>
    <row r="175" spans="1:9">
      <c r="A175" s="268" t="s">
        <v>182</v>
      </c>
      <c r="B175" s="268"/>
      <c r="C175" s="268" t="s">
        <v>372</v>
      </c>
      <c r="D175" s="268" t="s">
        <v>906</v>
      </c>
      <c r="E175" s="268" t="s">
        <v>187</v>
      </c>
      <c r="F175" s="285"/>
      <c r="G175" s="273">
        <v>41.12</v>
      </c>
      <c r="H175" s="273">
        <f t="shared" ref="H175:H177" si="17">G175*0.18</f>
        <v>7.4015999999999993</v>
      </c>
      <c r="I175" s="273">
        <f t="shared" ref="I175:I177" si="18">SUM(G175:H175)</f>
        <v>48.521599999999999</v>
      </c>
    </row>
    <row r="176" spans="1:9">
      <c r="A176" s="268" t="s">
        <v>182</v>
      </c>
      <c r="B176" s="268"/>
      <c r="C176" s="268" t="s">
        <v>373</v>
      </c>
      <c r="D176" s="268"/>
      <c r="E176" s="268" t="s">
        <v>187</v>
      </c>
      <c r="F176" s="285"/>
      <c r="G176" s="273"/>
      <c r="H176" s="273">
        <f t="shared" si="17"/>
        <v>0</v>
      </c>
      <c r="I176" s="273">
        <f t="shared" si="18"/>
        <v>0</v>
      </c>
    </row>
    <row r="177" spans="1:9">
      <c r="A177" s="268" t="s">
        <v>182</v>
      </c>
      <c r="B177" s="268"/>
      <c r="C177" s="268" t="s">
        <v>374</v>
      </c>
      <c r="D177" s="268"/>
      <c r="E177" s="268" t="s">
        <v>187</v>
      </c>
      <c r="F177" s="285"/>
      <c r="G177" s="273"/>
      <c r="H177" s="273">
        <f t="shared" si="17"/>
        <v>0</v>
      </c>
      <c r="I177" s="273">
        <f t="shared" si="18"/>
        <v>0</v>
      </c>
    </row>
    <row r="178" spans="1:9">
      <c r="A178" s="268" t="s">
        <v>915</v>
      </c>
      <c r="B178" s="267"/>
      <c r="C178" s="268" t="s">
        <v>916</v>
      </c>
      <c r="D178" s="268" t="s">
        <v>758</v>
      </c>
      <c r="E178" s="268"/>
      <c r="F178" s="285"/>
      <c r="G178" s="273">
        <v>60.42</v>
      </c>
      <c r="H178" s="273">
        <f t="shared" ref="H178" si="19">G178*0.18</f>
        <v>10.8756</v>
      </c>
      <c r="I178" s="273">
        <f t="shared" ref="I178" si="20">SUM(G178:H178)</f>
        <v>71.295600000000007</v>
      </c>
    </row>
    <row r="179" spans="1:9">
      <c r="A179" s="268" t="s">
        <v>915</v>
      </c>
      <c r="B179" s="267"/>
      <c r="C179" s="268" t="s">
        <v>916</v>
      </c>
      <c r="D179" s="268" t="s">
        <v>910</v>
      </c>
      <c r="E179" s="268"/>
      <c r="F179" s="285"/>
      <c r="G179" s="273">
        <v>66.849999999999994</v>
      </c>
      <c r="H179" s="273">
        <f t="shared" ref="H179" si="21">G179*0.18</f>
        <v>12.032999999999998</v>
      </c>
      <c r="I179" s="273">
        <f t="shared" ref="I179" si="22">SUM(G179:H179)</f>
        <v>78.882999999999996</v>
      </c>
    </row>
    <row r="180" spans="1:9">
      <c r="A180" s="268" t="s">
        <v>915</v>
      </c>
      <c r="B180" s="267"/>
      <c r="C180" s="268" t="s">
        <v>916</v>
      </c>
      <c r="D180" s="268" t="s">
        <v>760</v>
      </c>
      <c r="E180" s="268"/>
      <c r="F180" s="285"/>
      <c r="G180" s="273">
        <f>89.11*1.2</f>
        <v>106.932</v>
      </c>
      <c r="H180" s="273">
        <f t="shared" ref="H180" si="23">G180*0.18</f>
        <v>19.24776</v>
      </c>
      <c r="I180" s="273">
        <f t="shared" ref="I180" si="24">SUM(G180:H180)</f>
        <v>126.17976</v>
      </c>
    </row>
    <row r="181" spans="1:9" s="433" customFormat="1">
      <c r="A181" s="268" t="s">
        <v>915</v>
      </c>
      <c r="B181" s="432"/>
      <c r="C181" s="267" t="s">
        <v>917</v>
      </c>
      <c r="D181" s="267" t="s">
        <v>775</v>
      </c>
      <c r="E181" s="268"/>
      <c r="F181" s="285"/>
      <c r="G181" s="273">
        <v>890</v>
      </c>
      <c r="H181" s="273">
        <f>G181*0.18</f>
        <v>160.19999999999999</v>
      </c>
      <c r="I181" s="273">
        <f>SUM(G181:H181)</f>
        <v>1050.2</v>
      </c>
    </row>
    <row r="182" spans="1:9" s="433" customFormat="1">
      <c r="A182" s="268" t="s">
        <v>915</v>
      </c>
      <c r="B182" s="432"/>
      <c r="C182" s="267" t="s">
        <v>917</v>
      </c>
      <c r="D182" s="267" t="s">
        <v>776</v>
      </c>
      <c r="E182" s="268"/>
      <c r="F182" s="285"/>
      <c r="G182" s="273">
        <v>400</v>
      </c>
      <c r="H182" s="273">
        <f>G182*0.18</f>
        <v>72</v>
      </c>
      <c r="I182" s="273">
        <f>SUM(G182:H182)</f>
        <v>472</v>
      </c>
    </row>
    <row r="183" spans="1:9">
      <c r="A183" s="268"/>
      <c r="B183" s="268"/>
      <c r="C183" s="268"/>
      <c r="D183" s="268"/>
      <c r="E183" s="268"/>
      <c r="F183" s="285"/>
      <c r="G183" s="273"/>
      <c r="H183" s="273"/>
      <c r="I183" s="273"/>
    </row>
    <row r="184" spans="1:9">
      <c r="A184" s="317" t="s">
        <v>378</v>
      </c>
      <c r="B184" s="317" t="s">
        <v>379</v>
      </c>
      <c r="C184" s="317" t="s">
        <v>380</v>
      </c>
      <c r="D184" s="317" t="s">
        <v>381</v>
      </c>
      <c r="E184" s="317"/>
      <c r="F184" s="287"/>
      <c r="G184" s="140">
        <v>775.51</v>
      </c>
      <c r="H184" s="140">
        <f t="shared" si="12"/>
        <v>139.59180000000001</v>
      </c>
      <c r="I184" s="301">
        <f t="shared" si="16"/>
        <v>915.10180000000003</v>
      </c>
    </row>
    <row r="185" spans="1:9">
      <c r="A185" s="268" t="s">
        <v>378</v>
      </c>
      <c r="B185" s="268" t="s">
        <v>382</v>
      </c>
      <c r="C185" s="268" t="s">
        <v>380</v>
      </c>
      <c r="D185" s="268" t="s">
        <v>383</v>
      </c>
      <c r="E185" s="268"/>
      <c r="F185" s="285"/>
      <c r="G185" s="273">
        <f>377.41+59.52</f>
        <v>436.93</v>
      </c>
      <c r="H185" s="273">
        <f t="shared" si="12"/>
        <v>78.647400000000005</v>
      </c>
      <c r="I185" s="295">
        <f t="shared" si="16"/>
        <v>515.57740000000001</v>
      </c>
    </row>
    <row r="186" spans="1:9">
      <c r="A186" s="268" t="s">
        <v>378</v>
      </c>
      <c r="B186" s="268" t="s">
        <v>382</v>
      </c>
      <c r="C186" s="268" t="s">
        <v>384</v>
      </c>
      <c r="D186" s="268" t="s">
        <v>385</v>
      </c>
      <c r="E186" s="268"/>
      <c r="F186" s="285"/>
      <c r="G186" s="273">
        <v>1903.52</v>
      </c>
      <c r="H186" s="273">
        <f>G186*0.18</f>
        <v>342.6336</v>
      </c>
      <c r="I186" s="295">
        <f>SUM(G186:H186)</f>
        <v>2246.1536000000001</v>
      </c>
    </row>
    <row r="187" spans="1:9">
      <c r="A187" s="9" t="s">
        <v>378</v>
      </c>
      <c r="B187" s="9" t="s">
        <v>382</v>
      </c>
      <c r="C187" s="317" t="s">
        <v>386</v>
      </c>
      <c r="D187" s="163" t="s">
        <v>387</v>
      </c>
      <c r="E187" s="163"/>
      <c r="F187" s="286"/>
      <c r="G187" s="290">
        <v>0</v>
      </c>
      <c r="H187" s="290">
        <f>G187*0.18</f>
        <v>0</v>
      </c>
      <c r="I187" s="291">
        <f>SUM(G187:H187)</f>
        <v>0</v>
      </c>
    </row>
    <row r="188" spans="1:9">
      <c r="A188" s="267" t="s">
        <v>378</v>
      </c>
      <c r="B188" s="267" t="s">
        <v>388</v>
      </c>
      <c r="C188" s="268" t="s">
        <v>380</v>
      </c>
      <c r="D188" s="297" t="s">
        <v>389</v>
      </c>
      <c r="E188" s="268"/>
      <c r="F188" s="298"/>
      <c r="G188" s="273">
        <v>123.58</v>
      </c>
      <c r="H188" s="273">
        <f t="shared" ref="H188:H190" si="25">G188*0.18</f>
        <v>22.244399999999999</v>
      </c>
      <c r="I188" s="273">
        <f t="shared" ref="I188:I190" si="26">SUM(G188:H188)</f>
        <v>145.8244</v>
      </c>
    </row>
    <row r="189" spans="1:9">
      <c r="A189" s="267" t="s">
        <v>378</v>
      </c>
      <c r="B189" s="267" t="s">
        <v>388</v>
      </c>
      <c r="C189" s="268" t="s">
        <v>384</v>
      </c>
      <c r="D189" s="267" t="s">
        <v>390</v>
      </c>
      <c r="E189" s="268"/>
      <c r="F189" s="285"/>
      <c r="G189" s="273">
        <v>895.99</v>
      </c>
      <c r="H189" s="273">
        <f t="shared" si="25"/>
        <v>161.2782</v>
      </c>
      <c r="I189" s="273">
        <f t="shared" si="26"/>
        <v>1057.2682</v>
      </c>
    </row>
    <row r="190" spans="1:9">
      <c r="A190" s="267" t="s">
        <v>378</v>
      </c>
      <c r="B190" s="267" t="s">
        <v>388</v>
      </c>
      <c r="C190" s="268" t="s">
        <v>386</v>
      </c>
      <c r="D190" s="297" t="s">
        <v>391</v>
      </c>
      <c r="E190" s="268"/>
      <c r="F190" s="298"/>
      <c r="G190" s="273">
        <v>175</v>
      </c>
      <c r="H190" s="273">
        <f t="shared" si="25"/>
        <v>31.5</v>
      </c>
      <c r="I190" s="273">
        <f t="shared" si="26"/>
        <v>206.5</v>
      </c>
    </row>
    <row r="191" spans="1:9">
      <c r="A191" s="267" t="s">
        <v>378</v>
      </c>
      <c r="B191" s="267" t="s">
        <v>382</v>
      </c>
      <c r="C191" s="278" t="s">
        <v>392</v>
      </c>
      <c r="D191" s="268" t="s">
        <v>393</v>
      </c>
      <c r="E191" s="268"/>
      <c r="F191" s="285"/>
      <c r="G191" s="273">
        <v>75</v>
      </c>
      <c r="H191" s="273">
        <f>G191*0.18</f>
        <v>13.5</v>
      </c>
      <c r="I191" s="273">
        <f>SUM(G191:H191)</f>
        <v>88.5</v>
      </c>
    </row>
    <row r="192" spans="1:9">
      <c r="A192" s="9" t="s">
        <v>378</v>
      </c>
      <c r="B192" s="9" t="s">
        <v>382</v>
      </c>
      <c r="C192" s="134"/>
      <c r="D192" s="317"/>
      <c r="E192" s="317"/>
      <c r="F192" s="287"/>
      <c r="G192" s="140"/>
      <c r="H192" s="140"/>
      <c r="I192" s="301"/>
    </row>
    <row r="193" spans="1:14">
      <c r="A193" s="9" t="s">
        <v>378</v>
      </c>
      <c r="B193" s="9" t="s">
        <v>382</v>
      </c>
      <c r="C193" s="134"/>
      <c r="D193" s="317"/>
      <c r="E193" s="317"/>
      <c r="F193" s="287"/>
      <c r="G193" s="140"/>
      <c r="H193" s="140"/>
      <c r="I193" s="301"/>
    </row>
    <row r="194" spans="1:14">
      <c r="A194" s="9" t="s">
        <v>378</v>
      </c>
      <c r="B194" s="9" t="s">
        <v>388</v>
      </c>
      <c r="C194" s="134" t="s">
        <v>394</v>
      </c>
      <c r="D194" s="317" t="s">
        <v>395</v>
      </c>
      <c r="E194" s="317"/>
      <c r="F194" s="287"/>
      <c r="G194" s="140">
        <v>30</v>
      </c>
      <c r="H194" s="140">
        <f>G194*0.18</f>
        <v>5.3999999999999995</v>
      </c>
      <c r="I194" s="140">
        <f>SUM(G194:H194)</f>
        <v>35.4</v>
      </c>
    </row>
    <row r="195" spans="1:14">
      <c r="A195" s="9" t="s">
        <v>378</v>
      </c>
      <c r="B195" s="9" t="s">
        <v>388</v>
      </c>
      <c r="C195" s="134" t="s">
        <v>396</v>
      </c>
      <c r="D195" s="9" t="s">
        <v>397</v>
      </c>
      <c r="E195" s="317"/>
      <c r="F195" s="287"/>
      <c r="G195" s="140">
        <v>126</v>
      </c>
      <c r="H195" s="140">
        <f>G195*0.18</f>
        <v>22.68</v>
      </c>
      <c r="I195" s="140">
        <f>SUM(G195:H195)</f>
        <v>148.68</v>
      </c>
    </row>
    <row r="196" spans="1:14">
      <c r="A196" s="9" t="s">
        <v>378</v>
      </c>
      <c r="B196" s="9" t="s">
        <v>388</v>
      </c>
      <c r="C196" s="134" t="s">
        <v>398</v>
      </c>
      <c r="D196" s="317" t="s">
        <v>399</v>
      </c>
      <c r="E196" s="317"/>
      <c r="F196" s="287"/>
      <c r="G196" s="140">
        <v>91.24</v>
      </c>
      <c r="H196" s="140">
        <f>G196*0.18</f>
        <v>16.423199999999998</v>
      </c>
      <c r="I196" s="140">
        <f>SUM(G196:H196)</f>
        <v>107.66319999999999</v>
      </c>
    </row>
    <row r="197" spans="1:14">
      <c r="A197" s="9" t="s">
        <v>378</v>
      </c>
      <c r="B197" s="9" t="s">
        <v>388</v>
      </c>
      <c r="C197" s="134" t="s">
        <v>392</v>
      </c>
      <c r="D197" s="317" t="s">
        <v>400</v>
      </c>
      <c r="E197" s="317"/>
      <c r="F197" s="287"/>
      <c r="G197" s="140">
        <v>61.84</v>
      </c>
      <c r="H197" s="140">
        <f>G197*0.18</f>
        <v>11.1312</v>
      </c>
      <c r="I197" s="140">
        <f>SUM(G197:H197)</f>
        <v>72.97120000000001</v>
      </c>
    </row>
    <row r="198" spans="1:14">
      <c r="A198" s="322"/>
      <c r="B198" s="9"/>
      <c r="C198" s="134"/>
      <c r="D198" s="317"/>
      <c r="E198" s="317"/>
      <c r="F198" s="287"/>
      <c r="G198" s="140"/>
      <c r="H198" s="140"/>
      <c r="I198" s="301"/>
    </row>
    <row r="199" spans="1:14">
      <c r="A199" s="162" t="s">
        <v>401</v>
      </c>
      <c r="B199" s="162" t="s">
        <v>379</v>
      </c>
      <c r="C199" s="218" t="s">
        <v>402</v>
      </c>
      <c r="D199" s="218" t="s">
        <v>403</v>
      </c>
      <c r="E199" s="218"/>
      <c r="F199" s="284"/>
      <c r="G199" s="294">
        <v>923.14</v>
      </c>
      <c r="H199" s="294">
        <f>G199*0.18</f>
        <v>166.1652</v>
      </c>
      <c r="I199" s="294">
        <f>SUM(G199:H199)</f>
        <v>1089.3052</v>
      </c>
    </row>
    <row r="200" spans="1:14">
      <c r="A200" s="220" t="s">
        <v>401</v>
      </c>
      <c r="B200" s="220" t="s">
        <v>379</v>
      </c>
      <c r="C200" s="221" t="s">
        <v>404</v>
      </c>
      <c r="D200" s="221" t="s">
        <v>405</v>
      </c>
      <c r="E200" s="221"/>
      <c r="F200" s="282"/>
      <c r="G200" s="290">
        <v>0</v>
      </c>
      <c r="H200" s="290">
        <f t="shared" ref="H200:H209" si="27">G200*0.18</f>
        <v>0</v>
      </c>
      <c r="I200" s="291">
        <f t="shared" ref="I200:I209" si="28">SUM(G200:H200)</f>
        <v>0</v>
      </c>
    </row>
    <row r="201" spans="1:14">
      <c r="A201" s="220" t="s">
        <v>401</v>
      </c>
      <c r="B201" s="220" t="s">
        <v>379</v>
      </c>
      <c r="C201" s="221" t="s">
        <v>406</v>
      </c>
      <c r="D201" s="221" t="s">
        <v>407</v>
      </c>
      <c r="E201" s="221"/>
      <c r="F201" s="282"/>
      <c r="G201" s="290">
        <v>0</v>
      </c>
      <c r="H201" s="290">
        <f t="shared" si="27"/>
        <v>0</v>
      </c>
      <c r="I201" s="291">
        <f t="shared" si="28"/>
        <v>0</v>
      </c>
    </row>
    <row r="202" spans="1:14">
      <c r="A202" s="220" t="s">
        <v>401</v>
      </c>
      <c r="B202" s="220" t="s">
        <v>379</v>
      </c>
      <c r="C202" s="221" t="s">
        <v>408</v>
      </c>
      <c r="D202" s="221" t="s">
        <v>409</v>
      </c>
      <c r="E202" s="221"/>
      <c r="F202" s="282"/>
      <c r="G202" s="290">
        <v>0</v>
      </c>
      <c r="H202" s="290">
        <f t="shared" si="27"/>
        <v>0</v>
      </c>
      <c r="I202" s="291">
        <f t="shared" si="28"/>
        <v>0</v>
      </c>
    </row>
    <row r="203" spans="1:14">
      <c r="A203" s="267" t="s">
        <v>401</v>
      </c>
      <c r="B203" s="267" t="s">
        <v>382</v>
      </c>
      <c r="C203" s="268" t="s">
        <v>402</v>
      </c>
      <c r="D203" s="268" t="s">
        <v>410</v>
      </c>
      <c r="E203" s="268"/>
      <c r="F203" s="285"/>
      <c r="G203" s="273">
        <v>306.87</v>
      </c>
      <c r="H203" s="273">
        <f>G203*0.18</f>
        <v>55.236599999999996</v>
      </c>
      <c r="I203" s="273">
        <f>SUM(G203:H203)</f>
        <v>362.10660000000001</v>
      </c>
    </row>
    <row r="204" spans="1:14">
      <c r="A204" s="267" t="s">
        <v>401</v>
      </c>
      <c r="B204" s="267" t="s">
        <v>382</v>
      </c>
      <c r="C204" s="268" t="s">
        <v>404</v>
      </c>
      <c r="D204" s="268" t="s">
        <v>411</v>
      </c>
      <c r="E204" s="268"/>
      <c r="F204" s="285"/>
      <c r="G204" s="273">
        <v>479.21999999999997</v>
      </c>
      <c r="H204" s="273">
        <f t="shared" si="27"/>
        <v>86.259599999999992</v>
      </c>
      <c r="I204" s="295">
        <f t="shared" si="28"/>
        <v>565.4796</v>
      </c>
    </row>
    <row r="205" spans="1:14">
      <c r="A205" s="267" t="s">
        <v>401</v>
      </c>
      <c r="B205" s="267" t="s">
        <v>382</v>
      </c>
      <c r="C205" s="268" t="s">
        <v>406</v>
      </c>
      <c r="D205" s="268" t="s">
        <v>412</v>
      </c>
      <c r="E205" s="268"/>
      <c r="F205" s="285"/>
      <c r="G205" s="273">
        <v>651.56999999999994</v>
      </c>
      <c r="H205" s="273">
        <f t="shared" si="27"/>
        <v>117.28259999999999</v>
      </c>
      <c r="I205" s="295">
        <f t="shared" si="28"/>
        <v>768.85259999999994</v>
      </c>
    </row>
    <row r="206" spans="1:14">
      <c r="A206" s="267" t="s">
        <v>401</v>
      </c>
      <c r="B206" s="267" t="s">
        <v>382</v>
      </c>
      <c r="C206" s="268" t="s">
        <v>408</v>
      </c>
      <c r="D206" s="268" t="s">
        <v>413</v>
      </c>
      <c r="E206" s="268"/>
      <c r="F206" s="285"/>
      <c r="G206" s="273">
        <v>324.63</v>
      </c>
      <c r="H206" s="273">
        <f t="shared" si="27"/>
        <v>58.433399999999999</v>
      </c>
      <c r="I206" s="295">
        <f t="shared" si="28"/>
        <v>383.0634</v>
      </c>
    </row>
    <row r="207" spans="1:14">
      <c r="A207" s="162" t="s">
        <v>401</v>
      </c>
      <c r="B207" s="162" t="s">
        <v>388</v>
      </c>
      <c r="C207" s="218" t="s">
        <v>402</v>
      </c>
      <c r="D207" s="218" t="s">
        <v>414</v>
      </c>
      <c r="E207" s="218"/>
      <c r="F207" s="284"/>
      <c r="G207" s="294">
        <v>218.3</v>
      </c>
      <c r="H207" s="294">
        <f>G207*0.18</f>
        <v>39.294000000000004</v>
      </c>
      <c r="I207" s="294">
        <f>SUM(G207:H207)</f>
        <v>257.59399999999999</v>
      </c>
      <c r="K207" s="317" t="s">
        <v>415</v>
      </c>
      <c r="L207" s="10">
        <v>923.14</v>
      </c>
      <c r="M207" s="10">
        <f>L207*0.18</f>
        <v>166.1652</v>
      </c>
      <c r="N207" s="10">
        <f>SUM(L207:M207)</f>
        <v>1089.3052</v>
      </c>
    </row>
    <row r="208" spans="1:14">
      <c r="A208" s="220" t="s">
        <v>401</v>
      </c>
      <c r="B208" s="220" t="s">
        <v>388</v>
      </c>
      <c r="C208" s="221" t="s">
        <v>404</v>
      </c>
      <c r="D208" s="221" t="s">
        <v>416</v>
      </c>
      <c r="E208" s="221"/>
      <c r="F208" s="282"/>
      <c r="G208" s="290">
        <v>0</v>
      </c>
      <c r="H208" s="290">
        <f t="shared" si="27"/>
        <v>0</v>
      </c>
      <c r="I208" s="291">
        <f t="shared" si="28"/>
        <v>0</v>
      </c>
      <c r="K208" s="317" t="s">
        <v>417</v>
      </c>
      <c r="L208" s="10">
        <v>363.03999999999996</v>
      </c>
      <c r="M208" s="10">
        <f>L208*0.18</f>
        <v>65.347199999999987</v>
      </c>
      <c r="N208" s="10">
        <f>SUM(L208:M208)</f>
        <v>428.38719999999995</v>
      </c>
    </row>
    <row r="209" spans="1:14">
      <c r="A209" s="220" t="s">
        <v>401</v>
      </c>
      <c r="B209" s="220" t="s">
        <v>388</v>
      </c>
      <c r="C209" s="221" t="s">
        <v>406</v>
      </c>
      <c r="D209" s="221" t="s">
        <v>418</v>
      </c>
      <c r="E209" s="221"/>
      <c r="F209" s="282"/>
      <c r="G209" s="290">
        <v>0</v>
      </c>
      <c r="H209" s="290">
        <f t="shared" si="27"/>
        <v>0</v>
      </c>
      <c r="I209" s="291">
        <f t="shared" si="28"/>
        <v>0</v>
      </c>
      <c r="K209" s="163" t="s">
        <v>419</v>
      </c>
      <c r="L209" s="10">
        <v>326.61</v>
      </c>
      <c r="M209" s="10">
        <f>L209*0.18</f>
        <v>58.7898</v>
      </c>
      <c r="N209" s="10">
        <f>SUM(L209:M209)</f>
        <v>385.39980000000003</v>
      </c>
    </row>
    <row r="210" spans="1:14">
      <c r="A210" s="162" t="s">
        <v>401</v>
      </c>
      <c r="B210" s="162" t="s">
        <v>388</v>
      </c>
      <c r="C210" s="222" t="s">
        <v>408</v>
      </c>
      <c r="D210" s="218" t="s">
        <v>420</v>
      </c>
      <c r="E210" s="218"/>
      <c r="F210" s="284"/>
      <c r="G210" s="294">
        <v>326.61</v>
      </c>
      <c r="H210" s="294">
        <f>G210*0.18</f>
        <v>58.7898</v>
      </c>
      <c r="I210" s="294">
        <f>SUM(G210:H210)</f>
        <v>385.39980000000003</v>
      </c>
      <c r="K210" s="163" t="s">
        <v>421</v>
      </c>
      <c r="L210" s="10">
        <v>218.3</v>
      </c>
      <c r="M210" s="10">
        <f>L210*0.18</f>
        <v>39.294000000000004</v>
      </c>
      <c r="N210" s="10">
        <f>SUM(L210:M210)</f>
        <v>257.59399999999999</v>
      </c>
    </row>
    <row r="211" spans="1:14">
      <c r="A211" s="277"/>
      <c r="B211" s="267"/>
      <c r="C211" s="278"/>
      <c r="D211" s="268" t="s">
        <v>759</v>
      </c>
      <c r="E211" s="268"/>
      <c r="F211" s="285"/>
      <c r="G211" s="273">
        <v>16.04</v>
      </c>
      <c r="H211" s="273">
        <f t="shared" ref="H211" si="29">G211*0.18</f>
        <v>2.8871999999999995</v>
      </c>
      <c r="I211" s="273">
        <f t="shared" ref="I211" si="30">SUM(G211:H211)</f>
        <v>18.927199999999999</v>
      </c>
    </row>
    <row r="212" spans="1:14">
      <c r="A212" s="277"/>
      <c r="B212" s="267"/>
      <c r="C212" s="278"/>
      <c r="D212" s="268" t="s">
        <v>756</v>
      </c>
      <c r="E212" s="268"/>
      <c r="F212" s="285"/>
      <c r="G212" s="273">
        <v>0.7</v>
      </c>
      <c r="H212" s="273">
        <f t="shared" ref="H212" si="31">G212*0.18</f>
        <v>0.126</v>
      </c>
      <c r="I212" s="273">
        <f t="shared" ref="I212" si="32">SUM(G212:H212)</f>
        <v>0.82599999999999996</v>
      </c>
    </row>
    <row r="213" spans="1:14">
      <c r="A213" s="277"/>
      <c r="B213" s="267"/>
      <c r="C213" s="278"/>
      <c r="D213" s="268" t="s">
        <v>755</v>
      </c>
      <c r="E213" s="268"/>
      <c r="F213" s="285"/>
      <c r="G213" s="273">
        <v>1</v>
      </c>
      <c r="H213" s="273">
        <f t="shared" ref="H213" si="33">G213*0.18</f>
        <v>0.18</v>
      </c>
      <c r="I213" s="273">
        <f t="shared" ref="I213" si="34">SUM(G213:H213)</f>
        <v>1.18</v>
      </c>
    </row>
    <row r="214" spans="1:14">
      <c r="A214" s="277"/>
      <c r="B214" s="267"/>
      <c r="C214" s="278"/>
      <c r="D214" s="268" t="s">
        <v>754</v>
      </c>
      <c r="E214" s="268"/>
      <c r="F214" s="285"/>
      <c r="G214" s="273">
        <v>94.32</v>
      </c>
      <c r="H214" s="273">
        <f t="shared" ref="H214" si="35">G214*0.18</f>
        <v>16.977599999999999</v>
      </c>
      <c r="I214" s="273">
        <f t="shared" ref="I214" si="36">SUM(G214:H214)</f>
        <v>111.29759999999999</v>
      </c>
    </row>
    <row r="215" spans="1:14">
      <c r="A215" s="277" t="s">
        <v>139</v>
      </c>
      <c r="B215" s="267" t="s">
        <v>274</v>
      </c>
      <c r="C215" s="278"/>
      <c r="D215" s="268" t="s">
        <v>422</v>
      </c>
      <c r="E215" s="268"/>
      <c r="F215" s="285"/>
      <c r="G215" s="273">
        <v>8.3800000000000008</v>
      </c>
      <c r="H215" s="273">
        <f t="shared" ref="H215:H224" si="37">G215*0.18</f>
        <v>1.5084000000000002</v>
      </c>
      <c r="I215" s="273">
        <f t="shared" ref="I215:I224" si="38">SUM(G215:H215)</f>
        <v>9.8884000000000007</v>
      </c>
    </row>
    <row r="216" spans="1:14">
      <c r="A216" s="277" t="s">
        <v>139</v>
      </c>
      <c r="B216" s="267" t="s">
        <v>423</v>
      </c>
      <c r="C216" s="278"/>
      <c r="D216" s="268" t="s">
        <v>748</v>
      </c>
      <c r="E216" s="268"/>
      <c r="F216" s="285">
        <v>44271</v>
      </c>
      <c r="G216" s="273">
        <v>6.5</v>
      </c>
      <c r="H216" s="273">
        <f t="shared" si="37"/>
        <v>1.17</v>
      </c>
      <c r="I216" s="273">
        <f t="shared" si="38"/>
        <v>7.67</v>
      </c>
    </row>
    <row r="217" spans="1:14">
      <c r="A217" s="322" t="s">
        <v>139</v>
      </c>
      <c r="B217" s="9" t="s">
        <v>423</v>
      </c>
      <c r="C217" s="134"/>
      <c r="D217" s="317" t="s">
        <v>424</v>
      </c>
      <c r="E217" s="317"/>
      <c r="F217" s="287"/>
      <c r="G217" s="140">
        <v>1</v>
      </c>
      <c r="H217" s="140">
        <f t="shared" si="37"/>
        <v>0.18</v>
      </c>
      <c r="I217" s="140">
        <f t="shared" si="38"/>
        <v>1.18</v>
      </c>
    </row>
    <row r="218" spans="1:14" s="323" customFormat="1">
      <c r="A218" s="277" t="s">
        <v>139</v>
      </c>
      <c r="B218" s="267" t="s">
        <v>423</v>
      </c>
      <c r="C218" s="278"/>
      <c r="D218" s="268" t="s">
        <v>163</v>
      </c>
      <c r="E218" s="268" t="s">
        <v>425</v>
      </c>
      <c r="F218" s="285">
        <v>44215</v>
      </c>
      <c r="G218" s="273">
        <v>3.14</v>
      </c>
      <c r="H218" s="273">
        <f t="shared" si="37"/>
        <v>0.56520000000000004</v>
      </c>
      <c r="I218" s="273">
        <f t="shared" si="38"/>
        <v>3.7052</v>
      </c>
    </row>
    <row r="219" spans="1:14">
      <c r="A219" s="322" t="s">
        <v>139</v>
      </c>
      <c r="B219" s="9"/>
      <c r="C219" s="134"/>
      <c r="D219" s="317" t="s">
        <v>747</v>
      </c>
      <c r="E219" s="317"/>
      <c r="F219" s="287"/>
      <c r="G219" s="273">
        <v>61.85</v>
      </c>
      <c r="H219" s="273">
        <f t="shared" si="37"/>
        <v>11.132999999999999</v>
      </c>
      <c r="I219" s="273">
        <f t="shared" si="38"/>
        <v>72.983000000000004</v>
      </c>
    </row>
    <row r="220" spans="1:14">
      <c r="A220" s="277" t="s">
        <v>139</v>
      </c>
      <c r="B220" s="267" t="s">
        <v>426</v>
      </c>
      <c r="C220" s="278"/>
      <c r="D220" s="268" t="s">
        <v>168</v>
      </c>
      <c r="E220" s="268" t="s">
        <v>425</v>
      </c>
      <c r="F220" s="285"/>
      <c r="G220" s="273">
        <v>1</v>
      </c>
      <c r="H220" s="273">
        <f t="shared" si="37"/>
        <v>0.18</v>
      </c>
      <c r="I220" s="273">
        <f t="shared" si="38"/>
        <v>1.18</v>
      </c>
    </row>
    <row r="221" spans="1:14">
      <c r="A221" s="277"/>
      <c r="B221" s="267"/>
      <c r="C221" s="278"/>
      <c r="D221" s="268" t="s">
        <v>911</v>
      </c>
      <c r="E221" s="268" t="s">
        <v>425</v>
      </c>
      <c r="F221" s="285"/>
      <c r="G221" s="273">
        <v>2</v>
      </c>
      <c r="H221" s="273">
        <f t="shared" ref="H221" si="39">G221*0.18</f>
        <v>0.36</v>
      </c>
      <c r="I221" s="273">
        <f t="shared" ref="I221" si="40">SUM(G221:H221)</f>
        <v>2.36</v>
      </c>
    </row>
    <row r="222" spans="1:14">
      <c r="A222" s="322" t="s">
        <v>139</v>
      </c>
      <c r="B222" s="9" t="s">
        <v>426</v>
      </c>
      <c r="C222" s="134"/>
      <c r="D222" s="3" t="s">
        <v>427</v>
      </c>
      <c r="F222" s="289">
        <v>44271</v>
      </c>
      <c r="G222" s="140">
        <v>19.5</v>
      </c>
      <c r="H222" s="140">
        <f t="shared" si="37"/>
        <v>3.51</v>
      </c>
      <c r="I222" s="140">
        <f t="shared" si="38"/>
        <v>23.009999999999998</v>
      </c>
    </row>
    <row r="223" spans="1:14">
      <c r="A223" s="277" t="s">
        <v>139</v>
      </c>
      <c r="B223" s="267"/>
      <c r="C223" s="278"/>
      <c r="D223" s="268" t="s">
        <v>164</v>
      </c>
      <c r="E223" s="268" t="s">
        <v>425</v>
      </c>
      <c r="F223" s="285"/>
      <c r="G223" s="273">
        <v>2</v>
      </c>
      <c r="H223" s="273">
        <f t="shared" si="37"/>
        <v>0.36</v>
      </c>
      <c r="I223" s="273">
        <f t="shared" si="38"/>
        <v>2.36</v>
      </c>
    </row>
    <row r="224" spans="1:14">
      <c r="A224" s="277" t="s">
        <v>139</v>
      </c>
      <c r="B224" s="267" t="s">
        <v>428</v>
      </c>
      <c r="C224" s="278"/>
      <c r="D224" s="268" t="s">
        <v>749</v>
      </c>
      <c r="E224" s="268"/>
      <c r="F224" s="285"/>
      <c r="G224" s="273">
        <v>2</v>
      </c>
      <c r="H224" s="273">
        <f t="shared" si="37"/>
        <v>0.36</v>
      </c>
      <c r="I224" s="273">
        <f t="shared" si="38"/>
        <v>2.36</v>
      </c>
    </row>
    <row r="225" spans="1:9">
      <c r="A225" s="277"/>
      <c r="B225" s="267"/>
      <c r="C225" s="278"/>
      <c r="D225" s="268" t="s">
        <v>429</v>
      </c>
      <c r="E225" s="268"/>
      <c r="F225" s="285"/>
      <c r="G225" s="273">
        <v>1750</v>
      </c>
      <c r="H225" s="273">
        <f t="shared" ref="H225:H230" si="41">G225*0.18</f>
        <v>315</v>
      </c>
      <c r="I225" s="273">
        <f t="shared" ref="I225:I230" si="42">SUM(G225:H225)</f>
        <v>2065</v>
      </c>
    </row>
    <row r="226" spans="1:9">
      <c r="A226" s="277"/>
      <c r="B226" s="267"/>
      <c r="C226" s="278"/>
      <c r="D226" s="268" t="s">
        <v>430</v>
      </c>
      <c r="E226" s="268"/>
      <c r="F226" s="285"/>
      <c r="G226" s="273">
        <v>1400</v>
      </c>
      <c r="H226" s="273">
        <f t="shared" si="41"/>
        <v>252</v>
      </c>
      <c r="I226" s="273">
        <f t="shared" si="42"/>
        <v>1652</v>
      </c>
    </row>
    <row r="227" spans="1:9">
      <c r="A227" s="277"/>
      <c r="B227" s="267"/>
      <c r="C227" s="278"/>
      <c r="D227" s="268" t="s">
        <v>166</v>
      </c>
      <c r="E227" s="268" t="s">
        <v>431</v>
      </c>
      <c r="F227" s="285">
        <v>44214</v>
      </c>
      <c r="G227" s="273">
        <v>185</v>
      </c>
      <c r="H227" s="273">
        <f t="shared" si="41"/>
        <v>33.299999999999997</v>
      </c>
      <c r="I227" s="273">
        <f t="shared" si="42"/>
        <v>218.3</v>
      </c>
    </row>
    <row r="228" spans="1:9">
      <c r="A228" s="277"/>
      <c r="B228" s="267"/>
      <c r="C228" s="278"/>
      <c r="D228" s="268" t="s">
        <v>167</v>
      </c>
      <c r="E228" s="268" t="s">
        <v>431</v>
      </c>
      <c r="F228" s="285">
        <v>44214</v>
      </c>
      <c r="G228" s="273">
        <v>120</v>
      </c>
      <c r="H228" s="273">
        <f t="shared" si="41"/>
        <v>21.599999999999998</v>
      </c>
      <c r="I228" s="295">
        <f t="shared" si="42"/>
        <v>141.6</v>
      </c>
    </row>
    <row r="229" spans="1:9">
      <c r="A229" s="277"/>
      <c r="B229" s="267"/>
      <c r="C229" s="278"/>
      <c r="D229" s="268" t="s">
        <v>432</v>
      </c>
      <c r="E229" s="268" t="s">
        <v>431</v>
      </c>
      <c r="F229" s="285">
        <v>44214</v>
      </c>
      <c r="G229" s="273">
        <v>750</v>
      </c>
      <c r="H229" s="273">
        <f t="shared" si="41"/>
        <v>135</v>
      </c>
      <c r="I229" s="273">
        <f t="shared" si="42"/>
        <v>885</v>
      </c>
    </row>
    <row r="230" spans="1:9">
      <c r="A230" s="267" t="s">
        <v>433</v>
      </c>
      <c r="B230" s="267"/>
      <c r="C230" s="268"/>
      <c r="D230" s="268" t="s">
        <v>434</v>
      </c>
      <c r="E230" s="268"/>
      <c r="F230" s="285"/>
      <c r="G230" s="273">
        <v>30</v>
      </c>
      <c r="H230" s="273">
        <f t="shared" si="41"/>
        <v>5.3999999999999995</v>
      </c>
      <c r="I230" s="295">
        <f t="shared" si="42"/>
        <v>35.4</v>
      </c>
    </row>
    <row r="231" spans="1:9">
      <c r="A231" s="277"/>
      <c r="B231" s="267"/>
      <c r="C231" s="278"/>
      <c r="D231" s="268" t="s">
        <v>435</v>
      </c>
      <c r="E231" s="268" t="s">
        <v>436</v>
      </c>
      <c r="F231" s="285">
        <v>44211</v>
      </c>
      <c r="G231" s="273">
        <v>8035</v>
      </c>
      <c r="H231" s="273">
        <f>G231*0.18</f>
        <v>1446.3</v>
      </c>
      <c r="I231" s="295">
        <f>SUM(G231:H231)</f>
        <v>9481.2999999999993</v>
      </c>
    </row>
    <row r="232" spans="1:9">
      <c r="A232" s="277"/>
      <c r="B232" s="267"/>
      <c r="C232" s="278"/>
      <c r="D232" s="268" t="s">
        <v>752</v>
      </c>
      <c r="E232" s="268" t="s">
        <v>436</v>
      </c>
      <c r="F232" s="285">
        <v>44222</v>
      </c>
      <c r="G232" s="273">
        <v>69.62</v>
      </c>
      <c r="H232" s="273">
        <f t="shared" ref="H232:H233" si="43">G232*0.18</f>
        <v>12.531600000000001</v>
      </c>
      <c r="I232" s="295">
        <f t="shared" ref="I232:I233" si="44">SUM(G232:H232)</f>
        <v>82.151600000000002</v>
      </c>
    </row>
    <row r="233" spans="1:9">
      <c r="A233" s="277"/>
      <c r="B233" s="267"/>
      <c r="C233" s="278"/>
      <c r="D233" s="268" t="s">
        <v>753</v>
      </c>
      <c r="E233" s="268" t="s">
        <v>436</v>
      </c>
      <c r="F233" s="285">
        <v>44222</v>
      </c>
      <c r="G233" s="273">
        <v>12.76</v>
      </c>
      <c r="H233" s="273">
        <f t="shared" si="43"/>
        <v>2.2967999999999997</v>
      </c>
      <c r="I233" s="295">
        <f t="shared" si="44"/>
        <v>15.056799999999999</v>
      </c>
    </row>
    <row r="234" spans="1:9">
      <c r="A234" s="277"/>
      <c r="B234" s="267"/>
      <c r="C234" s="278"/>
      <c r="D234" s="268" t="s">
        <v>160</v>
      </c>
      <c r="E234" s="268" t="s">
        <v>437</v>
      </c>
      <c r="F234" s="285">
        <v>44214</v>
      </c>
      <c r="G234" s="273">
        <v>1500</v>
      </c>
      <c r="H234" s="273">
        <f>G234*0.18</f>
        <v>270</v>
      </c>
      <c r="I234" s="295">
        <f>SUM(G234:H234)</f>
        <v>1770</v>
      </c>
    </row>
    <row r="235" spans="1:9">
      <c r="A235" s="277"/>
      <c r="B235" s="267"/>
      <c r="C235" s="278"/>
      <c r="D235" s="268" t="s">
        <v>161</v>
      </c>
      <c r="E235" s="268" t="s">
        <v>437</v>
      </c>
      <c r="F235" s="285">
        <v>44214</v>
      </c>
      <c r="G235" s="273">
        <v>750</v>
      </c>
      <c r="H235" s="273">
        <f>G235*0.18</f>
        <v>135</v>
      </c>
      <c r="I235" s="295">
        <f>SUM(G235:H235)</f>
        <v>885</v>
      </c>
    </row>
    <row r="236" spans="1:9">
      <c r="A236" s="322"/>
      <c r="B236" s="9"/>
      <c r="C236" s="134"/>
      <c r="D236" s="315" t="s">
        <v>438</v>
      </c>
      <c r="E236" s="315" t="s">
        <v>437</v>
      </c>
      <c r="F236" s="285">
        <v>44222</v>
      </c>
      <c r="G236" s="273">
        <v>7500</v>
      </c>
      <c r="H236" s="273">
        <f t="shared" ref="H236:H240" si="45">G236*0.18</f>
        <v>1350</v>
      </c>
      <c r="I236" s="295">
        <f t="shared" ref="I236:I240" si="46">SUM(G236:H236)</f>
        <v>8850</v>
      </c>
    </row>
    <row r="237" spans="1:9">
      <c r="A237" s="322"/>
      <c r="B237" s="9"/>
      <c r="C237" s="134"/>
      <c r="D237" s="315" t="s">
        <v>439</v>
      </c>
      <c r="E237" s="315" t="s">
        <v>440</v>
      </c>
      <c r="F237" s="285">
        <v>44222</v>
      </c>
      <c r="G237" s="273">
        <v>1840</v>
      </c>
      <c r="H237" s="273">
        <f t="shared" si="45"/>
        <v>331.2</v>
      </c>
      <c r="I237" s="295">
        <f t="shared" si="46"/>
        <v>2171.1999999999998</v>
      </c>
    </row>
    <row r="238" spans="1:9">
      <c r="A238" s="322"/>
      <c r="B238" s="9"/>
      <c r="C238" s="134"/>
      <c r="D238" s="315" t="s">
        <v>441</v>
      </c>
      <c r="E238" s="315" t="s">
        <v>442</v>
      </c>
      <c r="F238" s="285">
        <v>44222</v>
      </c>
      <c r="G238" s="273">
        <v>19750</v>
      </c>
      <c r="H238" s="273">
        <f t="shared" si="45"/>
        <v>3555</v>
      </c>
      <c r="I238" s="295">
        <f t="shared" si="46"/>
        <v>23305</v>
      </c>
    </row>
    <row r="239" spans="1:9">
      <c r="A239" s="277"/>
      <c r="B239" s="267"/>
      <c r="C239" s="278"/>
      <c r="D239" s="268" t="s">
        <v>742</v>
      </c>
      <c r="E239" s="268" t="s">
        <v>743</v>
      </c>
      <c r="F239" s="285">
        <v>44223</v>
      </c>
      <c r="G239" s="273">
        <v>4075.87</v>
      </c>
      <c r="H239" s="273">
        <f t="shared" si="45"/>
        <v>733.65659999999991</v>
      </c>
      <c r="I239" s="295">
        <f t="shared" si="46"/>
        <v>4809.5266000000001</v>
      </c>
    </row>
    <row r="240" spans="1:9">
      <c r="A240" s="277"/>
      <c r="B240" s="267"/>
      <c r="C240" s="278"/>
      <c r="D240" s="268" t="s">
        <v>744</v>
      </c>
      <c r="E240" s="268" t="s">
        <v>743</v>
      </c>
      <c r="F240" s="285">
        <v>44223</v>
      </c>
      <c r="G240" s="273">
        <v>1821.3</v>
      </c>
      <c r="H240" s="273">
        <f t="shared" si="45"/>
        <v>327.834</v>
      </c>
      <c r="I240" s="295">
        <f t="shared" si="46"/>
        <v>2149.134</v>
      </c>
    </row>
    <row r="244" spans="1:9">
      <c r="A244" s="277"/>
      <c r="B244" s="267"/>
      <c r="C244" s="278"/>
      <c r="D244" s="268" t="s">
        <v>870</v>
      </c>
      <c r="E244" s="268"/>
      <c r="F244" s="285"/>
      <c r="G244" s="273">
        <v>50</v>
      </c>
      <c r="H244" s="273">
        <f t="shared" ref="H244" si="47">G244*0.18</f>
        <v>9</v>
      </c>
      <c r="I244" s="273">
        <f t="shared" ref="I244" si="48">SUM(G244:H244)</f>
        <v>59</v>
      </c>
    </row>
    <row r="245" spans="1:9">
      <c r="A245" s="267" t="s">
        <v>443</v>
      </c>
      <c r="B245" s="267"/>
      <c r="C245" s="268" t="s">
        <v>185</v>
      </c>
      <c r="D245" s="268" t="s">
        <v>444</v>
      </c>
      <c r="E245" s="268"/>
      <c r="F245" s="285"/>
      <c r="G245" s="273">
        <v>1392.41</v>
      </c>
      <c r="H245" s="273">
        <f t="shared" ref="H245:H254" si="49">G245*0.18</f>
        <v>250.63380000000001</v>
      </c>
      <c r="I245" s="295">
        <f t="shared" ref="I245:I254" si="50">SUM(G245:H245)</f>
        <v>1643.0438000000001</v>
      </c>
    </row>
    <row r="246" spans="1:9">
      <c r="A246" s="267" t="s">
        <v>443</v>
      </c>
      <c r="B246" s="267"/>
      <c r="C246" s="278" t="s">
        <v>191</v>
      </c>
      <c r="D246" s="268" t="s">
        <v>445</v>
      </c>
      <c r="E246" s="268"/>
      <c r="F246" s="285"/>
      <c r="G246" s="273">
        <v>1500.58</v>
      </c>
      <c r="H246" s="273">
        <f t="shared" si="49"/>
        <v>270.1044</v>
      </c>
      <c r="I246" s="295">
        <f t="shared" si="50"/>
        <v>1770.6843999999999</v>
      </c>
    </row>
    <row r="247" spans="1:9">
      <c r="A247" s="267" t="s">
        <v>443</v>
      </c>
      <c r="B247" s="267"/>
      <c r="C247" s="278" t="s">
        <v>196</v>
      </c>
      <c r="D247" s="268" t="s">
        <v>446</v>
      </c>
      <c r="E247" s="268"/>
      <c r="F247" s="285"/>
      <c r="G247" s="273">
        <v>278.12</v>
      </c>
      <c r="H247" s="273">
        <f t="shared" si="49"/>
        <v>50.061599999999999</v>
      </c>
      <c r="I247" s="295">
        <f t="shared" si="50"/>
        <v>328.1816</v>
      </c>
    </row>
    <row r="248" spans="1:9">
      <c r="A248" s="267" t="s">
        <v>443</v>
      </c>
      <c r="B248" s="267"/>
      <c r="C248" s="278" t="s">
        <v>202</v>
      </c>
      <c r="D248" s="268" t="s">
        <v>447</v>
      </c>
      <c r="E248" s="268"/>
      <c r="F248" s="285"/>
      <c r="G248" s="273">
        <v>187.57</v>
      </c>
      <c r="H248" s="273">
        <f t="shared" si="49"/>
        <v>33.762599999999999</v>
      </c>
      <c r="I248" s="295">
        <f t="shared" si="50"/>
        <v>221.33259999999999</v>
      </c>
    </row>
    <row r="249" spans="1:9">
      <c r="A249" s="267" t="s">
        <v>443</v>
      </c>
      <c r="B249" s="267"/>
      <c r="C249" s="278" t="s">
        <v>208</v>
      </c>
      <c r="D249" s="268" t="s">
        <v>448</v>
      </c>
      <c r="E249" s="268"/>
      <c r="F249" s="285"/>
      <c r="G249" s="273">
        <v>99.93</v>
      </c>
      <c r="H249" s="273">
        <f t="shared" si="49"/>
        <v>17.987400000000001</v>
      </c>
      <c r="I249" s="295">
        <f t="shared" si="50"/>
        <v>117.91740000000001</v>
      </c>
    </row>
    <row r="250" spans="1:9">
      <c r="A250" s="267" t="s">
        <v>443</v>
      </c>
      <c r="B250" s="267"/>
      <c r="C250" s="278" t="s">
        <v>212</v>
      </c>
      <c r="D250" s="268" t="s">
        <v>449</v>
      </c>
      <c r="E250" s="268"/>
      <c r="F250" s="285"/>
      <c r="G250" s="273">
        <v>67.05</v>
      </c>
      <c r="H250" s="273">
        <f t="shared" si="49"/>
        <v>12.068999999999999</v>
      </c>
      <c r="I250" s="295">
        <f t="shared" si="50"/>
        <v>79.119</v>
      </c>
    </row>
    <row r="251" spans="1:9">
      <c r="A251" s="267" t="s">
        <v>443</v>
      </c>
      <c r="B251" s="267"/>
      <c r="C251" s="278" t="s">
        <v>216</v>
      </c>
      <c r="D251" s="268" t="s">
        <v>450</v>
      </c>
      <c r="E251" s="268"/>
      <c r="F251" s="285"/>
      <c r="G251" s="273">
        <v>34.64</v>
      </c>
      <c r="H251" s="273">
        <f t="shared" si="49"/>
        <v>6.2351999999999999</v>
      </c>
      <c r="I251" s="295">
        <f t="shared" si="50"/>
        <v>40.8752</v>
      </c>
    </row>
    <row r="252" spans="1:9" s="433" customFormat="1">
      <c r="A252" s="432"/>
      <c r="B252" s="432"/>
      <c r="C252" s="432"/>
      <c r="D252" s="267" t="s">
        <v>779</v>
      </c>
      <c r="E252" s="268"/>
      <c r="F252" s="285"/>
      <c r="G252" s="273">
        <v>2500</v>
      </c>
      <c r="H252" s="273">
        <f t="shared" si="49"/>
        <v>450</v>
      </c>
      <c r="I252" s="295">
        <f t="shared" si="50"/>
        <v>2950</v>
      </c>
    </row>
    <row r="253" spans="1:9" s="433" customFormat="1">
      <c r="A253" s="432"/>
      <c r="B253" s="432"/>
      <c r="C253" s="432"/>
      <c r="D253" s="267" t="s">
        <v>780</v>
      </c>
      <c r="E253" s="268"/>
      <c r="F253" s="285"/>
      <c r="G253" s="273">
        <v>1000</v>
      </c>
      <c r="H253" s="273">
        <f t="shared" si="49"/>
        <v>180</v>
      </c>
      <c r="I253" s="295">
        <f t="shared" si="50"/>
        <v>1180</v>
      </c>
    </row>
    <row r="254" spans="1:9" s="433" customFormat="1">
      <c r="A254" s="432"/>
      <c r="B254" s="432"/>
      <c r="C254" s="432"/>
      <c r="D254" s="267" t="s">
        <v>774</v>
      </c>
      <c r="E254" s="268"/>
      <c r="F254" s="285"/>
      <c r="G254" s="273">
        <v>45</v>
      </c>
      <c r="H254" s="273">
        <f t="shared" si="49"/>
        <v>8.1</v>
      </c>
      <c r="I254" s="295">
        <f t="shared" si="50"/>
        <v>53.1</v>
      </c>
    </row>
    <row r="257" spans="1:9" s="433" customFormat="1">
      <c r="A257" s="432"/>
      <c r="B257" s="432"/>
      <c r="C257" s="432"/>
      <c r="D257" s="267" t="s">
        <v>777</v>
      </c>
      <c r="E257" s="268" t="s">
        <v>900</v>
      </c>
      <c r="F257" s="285">
        <v>44271</v>
      </c>
      <c r="G257" s="273">
        <v>1643</v>
      </c>
      <c r="H257" s="273">
        <f t="shared" ref="H257:H259" si="51">G257*0.18</f>
        <v>295.74</v>
      </c>
      <c r="I257" s="295">
        <f t="shared" ref="I257:I259" si="52">SUM(G257:H257)</f>
        <v>1938.74</v>
      </c>
    </row>
    <row r="258" spans="1:9" s="433" customFormat="1">
      <c r="A258" s="432"/>
      <c r="B258" s="432"/>
      <c r="C258" s="432"/>
      <c r="D258" s="267" t="s">
        <v>778</v>
      </c>
      <c r="E258" s="268" t="s">
        <v>900</v>
      </c>
      <c r="F258" s="285">
        <v>44271</v>
      </c>
      <c r="G258" s="273">
        <v>704</v>
      </c>
      <c r="H258" s="273">
        <f t="shared" si="51"/>
        <v>126.72</v>
      </c>
      <c r="I258" s="295">
        <f t="shared" si="52"/>
        <v>830.72</v>
      </c>
    </row>
    <row r="259" spans="1:9" s="433" customFormat="1">
      <c r="A259" s="432"/>
      <c r="B259" s="432"/>
      <c r="C259" s="432"/>
      <c r="D259" s="267" t="s">
        <v>909</v>
      </c>
      <c r="E259" s="268"/>
      <c r="F259" s="285"/>
      <c r="G259" s="273">
        <v>60</v>
      </c>
      <c r="H259" s="273">
        <f t="shared" si="51"/>
        <v>10.799999999999999</v>
      </c>
      <c r="I259" s="295">
        <f t="shared" si="52"/>
        <v>70.8</v>
      </c>
    </row>
    <row r="260" spans="1:9" s="433" customFormat="1">
      <c r="A260" s="432"/>
      <c r="B260" s="432"/>
      <c r="C260" s="432"/>
      <c r="D260" s="267" t="s">
        <v>913</v>
      </c>
      <c r="E260" s="268"/>
      <c r="F260" s="285"/>
      <c r="G260" s="273">
        <v>28</v>
      </c>
      <c r="H260" s="273">
        <f t="shared" ref="H260" si="53">G260*0.18</f>
        <v>5.04</v>
      </c>
      <c r="I260" s="295">
        <f t="shared" ref="I260" si="54">SUM(G260:H260)</f>
        <v>33.04</v>
      </c>
    </row>
    <row r="261" spans="1:9">
      <c r="A261" s="267" t="s">
        <v>451</v>
      </c>
      <c r="B261" s="267" t="s">
        <v>452</v>
      </c>
      <c r="C261" s="268" t="s">
        <v>453</v>
      </c>
      <c r="D261" s="268" t="s">
        <v>454</v>
      </c>
      <c r="E261" s="268"/>
      <c r="F261" s="285"/>
      <c r="G261" s="273">
        <f>952+354*2</f>
        <v>1660</v>
      </c>
      <c r="H261" s="273">
        <f t="shared" ref="H261:H264" si="55">G261*0.18</f>
        <v>298.8</v>
      </c>
      <c r="I261" s="295">
        <f t="shared" ref="I261" si="56">SUM(G261:H261)</f>
        <v>1958.8</v>
      </c>
    </row>
    <row r="262" spans="1:9" ht="16">
      <c r="A262" s="267" t="s">
        <v>451</v>
      </c>
      <c r="B262" s="267"/>
      <c r="C262" s="268" t="s">
        <v>455</v>
      </c>
      <c r="D262" s="272" t="s">
        <v>456</v>
      </c>
      <c r="E262" s="272"/>
      <c r="F262" s="288"/>
      <c r="G262" s="273">
        <v>270</v>
      </c>
      <c r="H262" s="273">
        <f t="shared" si="55"/>
        <v>48.6</v>
      </c>
      <c r="I262" s="295">
        <f t="shared" ref="I262:I264" si="57">SUM(G262:H262)</f>
        <v>318.60000000000002</v>
      </c>
    </row>
    <row r="263" spans="1:9">
      <c r="A263" s="267"/>
      <c r="B263" s="267"/>
      <c r="C263" s="268"/>
      <c r="D263" s="268" t="s">
        <v>765</v>
      </c>
      <c r="E263" s="268"/>
      <c r="F263" s="285"/>
      <c r="G263" s="429">
        <v>102974.91</v>
      </c>
      <c r="H263" s="273">
        <f t="shared" si="55"/>
        <v>18535.483799999998</v>
      </c>
      <c r="I263" s="273">
        <f t="shared" si="57"/>
        <v>121510.39380000001</v>
      </c>
    </row>
    <row r="264" spans="1:9">
      <c r="A264" s="267"/>
      <c r="B264" s="267"/>
      <c r="C264" s="268"/>
      <c r="D264" s="268" t="s">
        <v>772</v>
      </c>
      <c r="E264" s="268"/>
      <c r="F264" s="285"/>
      <c r="G264" s="430">
        <v>71622.570000000007</v>
      </c>
      <c r="H264" s="273">
        <f t="shared" si="55"/>
        <v>12892.062600000001</v>
      </c>
      <c r="I264" s="273">
        <f t="shared" si="57"/>
        <v>84514.632600000012</v>
      </c>
    </row>
    <row r="265" spans="1:9">
      <c r="A265" s="267"/>
      <c r="B265" s="267"/>
      <c r="C265" s="268"/>
      <c r="D265" s="268" t="s">
        <v>773</v>
      </c>
      <c r="E265" s="268"/>
      <c r="F265" s="285"/>
      <c r="G265" s="430">
        <v>93745.73</v>
      </c>
      <c r="H265" s="273">
        <f t="shared" ref="H265" si="58">G265*0.18</f>
        <v>16874.231399999997</v>
      </c>
      <c r="I265" s="273">
        <f t="shared" ref="I265" si="59">SUM(G265:H265)</f>
        <v>110619.9614</v>
      </c>
    </row>
    <row r="266" spans="1:9">
      <c r="A266" s="267"/>
      <c r="B266" s="267"/>
      <c r="C266" s="268"/>
      <c r="D266" s="341" t="s">
        <v>766</v>
      </c>
      <c r="E266" s="268"/>
      <c r="F266" s="285"/>
      <c r="G266" s="273">
        <v>93745.73</v>
      </c>
      <c r="H266" s="273">
        <f t="shared" ref="H266:H279" si="60">G266*0.18</f>
        <v>16874.231399999997</v>
      </c>
      <c r="I266" s="273">
        <f t="shared" ref="I266:I279" si="61">SUM(G266:H266)</f>
        <v>110619.9614</v>
      </c>
    </row>
    <row r="267" spans="1:9">
      <c r="A267" s="267"/>
      <c r="B267" s="267"/>
      <c r="C267" s="268"/>
      <c r="D267" s="267" t="s">
        <v>767</v>
      </c>
      <c r="E267" s="268"/>
      <c r="F267" s="285"/>
      <c r="G267" s="429">
        <v>56749.53</v>
      </c>
      <c r="H267" s="273">
        <f t="shared" si="60"/>
        <v>10214.9154</v>
      </c>
      <c r="I267" s="273">
        <f t="shared" si="61"/>
        <v>66964.445399999997</v>
      </c>
    </row>
    <row r="268" spans="1:9">
      <c r="A268" s="267"/>
      <c r="B268" s="267"/>
      <c r="C268" s="268"/>
      <c r="D268" s="267" t="s">
        <v>768</v>
      </c>
      <c r="E268" s="268"/>
      <c r="F268" s="285"/>
      <c r="G268" s="429">
        <v>85469.01</v>
      </c>
      <c r="H268" s="273">
        <f t="shared" si="60"/>
        <v>15384.421799999998</v>
      </c>
      <c r="I268" s="273">
        <f t="shared" si="61"/>
        <v>100853.43179999999</v>
      </c>
    </row>
    <row r="269" spans="1:9">
      <c r="A269" s="267"/>
      <c r="B269" s="267"/>
      <c r="C269" s="268"/>
      <c r="D269" s="268" t="s">
        <v>769</v>
      </c>
      <c r="E269" s="268"/>
      <c r="F269" s="285"/>
      <c r="G269" s="429">
        <v>78779.5</v>
      </c>
      <c r="H269" s="273">
        <f t="shared" si="60"/>
        <v>14180.31</v>
      </c>
      <c r="I269" s="273">
        <f t="shared" si="61"/>
        <v>92959.81</v>
      </c>
    </row>
    <row r="270" spans="1:9">
      <c r="A270" s="267"/>
      <c r="B270" s="267"/>
      <c r="C270" s="268"/>
      <c r="D270" s="427" t="s">
        <v>770</v>
      </c>
      <c r="E270" s="268"/>
      <c r="F270" s="285"/>
      <c r="G270" s="429">
        <v>80302.61</v>
      </c>
      <c r="H270" s="273">
        <f t="shared" si="60"/>
        <v>14454.469799999999</v>
      </c>
      <c r="I270" s="273">
        <f t="shared" si="61"/>
        <v>94757.079800000007</v>
      </c>
    </row>
    <row r="271" spans="1:9">
      <c r="A271" s="267"/>
      <c r="B271" s="267"/>
      <c r="C271" s="268"/>
      <c r="D271" s="268" t="s">
        <v>771</v>
      </c>
      <c r="E271" s="268"/>
      <c r="F271" s="285"/>
      <c r="G271" s="429">
        <v>76216.570000000007</v>
      </c>
      <c r="H271" s="273">
        <f t="shared" si="60"/>
        <v>13718.982600000001</v>
      </c>
      <c r="I271" s="273">
        <f t="shared" si="61"/>
        <v>89935.55260000001</v>
      </c>
    </row>
    <row r="272" spans="1:9">
      <c r="A272" s="267"/>
      <c r="B272" s="267"/>
      <c r="C272" s="268"/>
      <c r="D272" s="427" t="s">
        <v>863</v>
      </c>
      <c r="E272" s="268"/>
      <c r="F272" s="285"/>
      <c r="G272" s="429">
        <v>37030</v>
      </c>
      <c r="H272" s="273">
        <f t="shared" ref="H272:H273" si="62">G272*0.18</f>
        <v>6665.4</v>
      </c>
      <c r="I272" s="273">
        <f t="shared" ref="I272" si="63">SUM(G272:H272)</f>
        <v>43695.4</v>
      </c>
    </row>
    <row r="273" spans="1:9" ht="16">
      <c r="A273" s="267"/>
      <c r="B273" s="267"/>
      <c r="C273" s="268"/>
      <c r="D273" s="272" t="s">
        <v>881</v>
      </c>
      <c r="E273" s="268"/>
      <c r="F273" s="285"/>
      <c r="G273" s="458">
        <v>224214.54</v>
      </c>
      <c r="H273" s="273">
        <f t="shared" si="62"/>
        <v>40358.617200000001</v>
      </c>
      <c r="I273" s="273">
        <f t="shared" ref="I273" si="64">SUM(G273:H273)</f>
        <v>264573.15720000002</v>
      </c>
    </row>
    <row r="274" spans="1:9" ht="16">
      <c r="A274" s="9"/>
      <c r="B274" s="267"/>
      <c r="C274" s="268"/>
      <c r="D274" s="272" t="s">
        <v>903</v>
      </c>
      <c r="E274" s="268"/>
      <c r="F274" s="285"/>
      <c r="G274" s="458">
        <v>950</v>
      </c>
      <c r="H274" s="273">
        <f t="shared" ref="H274" si="65">G274*0.18</f>
        <v>171</v>
      </c>
      <c r="I274" s="273">
        <f t="shared" ref="I274" si="66">SUM(G274:H274)</f>
        <v>1121</v>
      </c>
    </row>
    <row r="275" spans="1:9" ht="16">
      <c r="A275" s="9"/>
      <c r="B275" s="267"/>
      <c r="C275" s="268"/>
      <c r="D275" s="272" t="s">
        <v>904</v>
      </c>
      <c r="E275" s="268"/>
      <c r="F275" s="285"/>
      <c r="G275" s="458">
        <v>100</v>
      </c>
      <c r="H275" s="273">
        <f t="shared" ref="H275:H276" si="67">G275*0.18</f>
        <v>18</v>
      </c>
      <c r="I275" s="273">
        <f t="shared" ref="I275:I276" si="68">SUM(G275:H275)</f>
        <v>118</v>
      </c>
    </row>
    <row r="276" spans="1:9" ht="16">
      <c r="A276" s="9"/>
      <c r="B276" s="267"/>
      <c r="C276" s="268"/>
      <c r="D276" s="272" t="s">
        <v>905</v>
      </c>
      <c r="E276" s="268"/>
      <c r="F276" s="285"/>
      <c r="G276" s="458">
        <v>35</v>
      </c>
      <c r="H276" s="273">
        <f t="shared" si="67"/>
        <v>6.3</v>
      </c>
      <c r="I276" s="273">
        <f t="shared" si="68"/>
        <v>41.3</v>
      </c>
    </row>
    <row r="277" spans="1:9" ht="16">
      <c r="A277" s="9"/>
      <c r="B277" s="267"/>
      <c r="C277" s="268"/>
      <c r="D277" s="272" t="s">
        <v>914</v>
      </c>
      <c r="E277" s="268"/>
      <c r="F277" s="285"/>
      <c r="G277" s="458">
        <v>686.15</v>
      </c>
      <c r="H277" s="273">
        <f t="shared" ref="H277" si="69">G277*0.18</f>
        <v>123.50699999999999</v>
      </c>
      <c r="I277" s="273">
        <f t="shared" ref="I277" si="70">SUM(G277:H277)</f>
        <v>809.65699999999993</v>
      </c>
    </row>
    <row r="278" spans="1:9">
      <c r="A278" s="9"/>
      <c r="B278" s="9"/>
      <c r="C278" s="338"/>
      <c r="D278" s="327"/>
      <c r="E278" s="338"/>
      <c r="F278" s="287"/>
      <c r="G278" s="140"/>
      <c r="H278" s="140">
        <f t="shared" si="60"/>
        <v>0</v>
      </c>
      <c r="I278" s="140">
        <f t="shared" si="61"/>
        <v>0</v>
      </c>
    </row>
    <row r="279" spans="1:9">
      <c r="A279" s="9"/>
      <c r="B279" s="9"/>
      <c r="C279" s="338"/>
      <c r="D279" s="327"/>
      <c r="E279" s="338"/>
      <c r="F279" s="287"/>
      <c r="G279" s="140"/>
      <c r="H279" s="140">
        <f t="shared" si="60"/>
        <v>0</v>
      </c>
      <c r="I279" s="140">
        <f t="shared" si="61"/>
        <v>0</v>
      </c>
    </row>
    <row r="280" spans="1:9">
      <c r="A280" s="9"/>
      <c r="B280" s="9"/>
      <c r="C280" s="338"/>
      <c r="D280" s="327"/>
      <c r="E280" s="338"/>
      <c r="F280" s="287"/>
      <c r="G280" s="140"/>
      <c r="H280" s="140">
        <f t="shared" ref="H280:H343" si="71">G280*0.18</f>
        <v>0</v>
      </c>
      <c r="I280" s="140">
        <f t="shared" ref="I280:I343" si="72">SUM(G280:H280)</f>
        <v>0</v>
      </c>
    </row>
    <row r="281" spans="1:9">
      <c r="A281" s="9"/>
      <c r="B281" s="9"/>
      <c r="C281" s="338"/>
      <c r="D281" s="327"/>
      <c r="E281" s="338"/>
      <c r="F281" s="287"/>
      <c r="G281" s="140"/>
      <c r="H281" s="140">
        <f t="shared" si="71"/>
        <v>0</v>
      </c>
      <c r="I281" s="140">
        <f t="shared" si="72"/>
        <v>0</v>
      </c>
    </row>
    <row r="282" spans="1:9">
      <c r="A282" s="9"/>
      <c r="B282" s="9"/>
      <c r="C282" s="338"/>
      <c r="D282" s="327"/>
      <c r="E282" s="338"/>
      <c r="F282" s="287"/>
      <c r="G282" s="140"/>
      <c r="H282" s="140">
        <f t="shared" si="71"/>
        <v>0</v>
      </c>
      <c r="I282" s="140">
        <f t="shared" si="72"/>
        <v>0</v>
      </c>
    </row>
    <row r="283" spans="1:9">
      <c r="A283" s="9"/>
      <c r="B283" s="9"/>
      <c r="C283" s="338"/>
      <c r="D283" s="327"/>
      <c r="E283" s="338"/>
      <c r="F283" s="287"/>
      <c r="G283" s="140"/>
      <c r="H283" s="140">
        <f t="shared" si="71"/>
        <v>0</v>
      </c>
      <c r="I283" s="140">
        <f t="shared" si="72"/>
        <v>0</v>
      </c>
    </row>
    <row r="284" spans="1:9">
      <c r="A284" s="9"/>
      <c r="B284" s="9"/>
      <c r="C284" s="338"/>
      <c r="D284" s="327"/>
      <c r="E284" s="338"/>
      <c r="F284" s="287"/>
      <c r="G284" s="140"/>
      <c r="H284" s="140">
        <f t="shared" si="71"/>
        <v>0</v>
      </c>
      <c r="I284" s="140">
        <f t="shared" si="72"/>
        <v>0</v>
      </c>
    </row>
    <row r="285" spans="1:9">
      <c r="A285" s="9"/>
      <c r="B285" s="9"/>
      <c r="C285" s="338"/>
      <c r="D285" s="327"/>
      <c r="E285" s="338"/>
      <c r="F285" s="287"/>
      <c r="G285" s="140"/>
      <c r="H285" s="140">
        <f t="shared" si="71"/>
        <v>0</v>
      </c>
      <c r="I285" s="140">
        <f t="shared" si="72"/>
        <v>0</v>
      </c>
    </row>
    <row r="286" spans="1:9">
      <c r="A286" s="9"/>
      <c r="B286" s="9"/>
      <c r="C286" s="338"/>
      <c r="D286" s="327"/>
      <c r="E286" s="338"/>
      <c r="F286" s="287"/>
      <c r="G286" s="140"/>
      <c r="H286" s="140">
        <f t="shared" si="71"/>
        <v>0</v>
      </c>
      <c r="I286" s="140">
        <f t="shared" si="72"/>
        <v>0</v>
      </c>
    </row>
    <row r="287" spans="1:9">
      <c r="A287" s="9"/>
      <c r="B287" s="9"/>
      <c r="C287" s="338"/>
      <c r="D287" s="327"/>
      <c r="E287" s="338"/>
      <c r="F287" s="287"/>
      <c r="G287" s="140"/>
      <c r="H287" s="140">
        <f t="shared" si="71"/>
        <v>0</v>
      </c>
      <c r="I287" s="140">
        <f t="shared" si="72"/>
        <v>0</v>
      </c>
    </row>
    <row r="288" spans="1:9">
      <c r="A288" s="9"/>
      <c r="B288" s="9"/>
      <c r="C288" s="338"/>
      <c r="D288" s="327"/>
      <c r="E288" s="338"/>
      <c r="F288" s="287"/>
      <c r="G288" s="140"/>
      <c r="H288" s="140">
        <f t="shared" si="71"/>
        <v>0</v>
      </c>
      <c r="I288" s="140">
        <f t="shared" si="72"/>
        <v>0</v>
      </c>
    </row>
    <row r="289" spans="1:9">
      <c r="A289" s="9"/>
      <c r="B289" s="9"/>
      <c r="C289" s="338"/>
      <c r="D289" s="327"/>
      <c r="E289" s="338"/>
      <c r="F289" s="287"/>
      <c r="G289" s="140"/>
      <c r="H289" s="140">
        <f t="shared" si="71"/>
        <v>0</v>
      </c>
      <c r="I289" s="140">
        <f t="shared" si="72"/>
        <v>0</v>
      </c>
    </row>
    <row r="290" spans="1:9">
      <c r="A290" s="9"/>
      <c r="B290" s="9"/>
      <c r="C290" s="338"/>
      <c r="D290" s="327"/>
      <c r="E290" s="338"/>
      <c r="F290" s="287"/>
      <c r="G290" s="140"/>
      <c r="H290" s="140">
        <f t="shared" si="71"/>
        <v>0</v>
      </c>
      <c r="I290" s="140">
        <f t="shared" si="72"/>
        <v>0</v>
      </c>
    </row>
    <row r="291" spans="1:9">
      <c r="A291" s="9"/>
      <c r="B291" s="9"/>
      <c r="C291" s="338"/>
      <c r="D291" s="327"/>
      <c r="E291" s="338"/>
      <c r="F291" s="287"/>
      <c r="G291" s="140"/>
      <c r="H291" s="140">
        <f t="shared" si="71"/>
        <v>0</v>
      </c>
      <c r="I291" s="140">
        <f t="shared" si="72"/>
        <v>0</v>
      </c>
    </row>
    <row r="292" spans="1:9">
      <c r="A292" s="9"/>
      <c r="B292" s="9"/>
      <c r="C292" s="338"/>
      <c r="D292" s="327"/>
      <c r="E292" s="338"/>
      <c r="F292" s="287"/>
      <c r="G292" s="140"/>
      <c r="H292" s="140">
        <f t="shared" si="71"/>
        <v>0</v>
      </c>
      <c r="I292" s="140">
        <f t="shared" si="72"/>
        <v>0</v>
      </c>
    </row>
    <row r="293" spans="1:9">
      <c r="A293" s="9"/>
      <c r="B293" s="9"/>
      <c r="C293" s="338"/>
      <c r="D293" s="327"/>
      <c r="E293" s="338"/>
      <c r="F293" s="287"/>
      <c r="G293" s="140"/>
      <c r="H293" s="140">
        <f t="shared" si="71"/>
        <v>0</v>
      </c>
      <c r="I293" s="140">
        <f t="shared" si="72"/>
        <v>0</v>
      </c>
    </row>
    <row r="294" spans="1:9">
      <c r="A294" s="9"/>
      <c r="B294" s="9"/>
      <c r="C294" s="338"/>
      <c r="D294" s="327"/>
      <c r="E294" s="338"/>
      <c r="F294" s="287"/>
      <c r="G294" s="140"/>
      <c r="H294" s="140">
        <f t="shared" si="71"/>
        <v>0</v>
      </c>
      <c r="I294" s="140">
        <f t="shared" si="72"/>
        <v>0</v>
      </c>
    </row>
    <row r="295" spans="1:9">
      <c r="A295" s="9"/>
      <c r="B295" s="9"/>
      <c r="C295" s="338"/>
      <c r="D295" s="327"/>
      <c r="E295" s="338"/>
      <c r="F295" s="287"/>
      <c r="G295" s="140"/>
      <c r="H295" s="140">
        <f t="shared" si="71"/>
        <v>0</v>
      </c>
      <c r="I295" s="140">
        <f t="shared" si="72"/>
        <v>0</v>
      </c>
    </row>
    <row r="296" spans="1:9">
      <c r="A296" s="9"/>
      <c r="B296" s="9"/>
      <c r="C296" s="338"/>
      <c r="D296" s="327"/>
      <c r="E296" s="338"/>
      <c r="F296" s="287"/>
      <c r="G296" s="140"/>
      <c r="H296" s="140">
        <f t="shared" si="71"/>
        <v>0</v>
      </c>
      <c r="I296" s="140">
        <f t="shared" si="72"/>
        <v>0</v>
      </c>
    </row>
    <row r="297" spans="1:9">
      <c r="A297" s="9"/>
      <c r="B297" s="9"/>
      <c r="C297" s="338"/>
      <c r="D297" s="327"/>
      <c r="E297" s="338"/>
      <c r="F297" s="287"/>
      <c r="G297" s="140"/>
      <c r="H297" s="140">
        <f t="shared" si="71"/>
        <v>0</v>
      </c>
      <c r="I297" s="140">
        <f t="shared" si="72"/>
        <v>0</v>
      </c>
    </row>
    <row r="298" spans="1:9">
      <c r="A298" s="9"/>
      <c r="B298" s="9"/>
      <c r="C298" s="338"/>
      <c r="D298" s="327"/>
      <c r="E298" s="338"/>
      <c r="F298" s="287"/>
      <c r="G298" s="140"/>
      <c r="H298" s="140">
        <f t="shared" si="71"/>
        <v>0</v>
      </c>
      <c r="I298" s="140">
        <f t="shared" si="72"/>
        <v>0</v>
      </c>
    </row>
    <row r="299" spans="1:9">
      <c r="A299" s="9"/>
      <c r="B299" s="9"/>
      <c r="C299" s="338"/>
      <c r="D299" s="327"/>
      <c r="E299" s="338"/>
      <c r="F299" s="287"/>
      <c r="G299" s="140"/>
      <c r="H299" s="140">
        <f t="shared" si="71"/>
        <v>0</v>
      </c>
      <c r="I299" s="140">
        <f t="shared" si="72"/>
        <v>0</v>
      </c>
    </row>
    <row r="300" spans="1:9">
      <c r="A300" s="9"/>
      <c r="B300" s="9"/>
      <c r="C300" s="338"/>
      <c r="D300" s="327"/>
      <c r="E300" s="338"/>
      <c r="F300" s="287"/>
      <c r="G300" s="140"/>
      <c r="H300" s="140">
        <f t="shared" si="71"/>
        <v>0</v>
      </c>
      <c r="I300" s="140">
        <f t="shared" si="72"/>
        <v>0</v>
      </c>
    </row>
    <row r="301" spans="1:9">
      <c r="A301" s="9"/>
      <c r="B301" s="9"/>
      <c r="C301" s="338"/>
      <c r="D301" s="327"/>
      <c r="E301" s="338"/>
      <c r="F301" s="287"/>
      <c r="G301" s="140"/>
      <c r="H301" s="140">
        <f t="shared" si="71"/>
        <v>0</v>
      </c>
      <c r="I301" s="140">
        <f t="shared" si="72"/>
        <v>0</v>
      </c>
    </row>
    <row r="302" spans="1:9">
      <c r="A302" s="9"/>
      <c r="B302" s="9"/>
      <c r="C302" s="338"/>
      <c r="D302" s="327"/>
      <c r="E302" s="338"/>
      <c r="F302" s="287"/>
      <c r="G302" s="140"/>
      <c r="H302" s="140">
        <f t="shared" si="71"/>
        <v>0</v>
      </c>
      <c r="I302" s="140">
        <f t="shared" si="72"/>
        <v>0</v>
      </c>
    </row>
    <row r="303" spans="1:9">
      <c r="A303" s="9"/>
      <c r="B303" s="9"/>
      <c r="C303" s="338"/>
      <c r="D303" s="327"/>
      <c r="E303" s="338"/>
      <c r="F303" s="287"/>
      <c r="G303" s="140"/>
      <c r="H303" s="140">
        <f t="shared" si="71"/>
        <v>0</v>
      </c>
      <c r="I303" s="140">
        <f t="shared" si="72"/>
        <v>0</v>
      </c>
    </row>
    <row r="304" spans="1:9">
      <c r="A304" s="9"/>
      <c r="B304" s="9"/>
      <c r="C304" s="338"/>
      <c r="D304" s="327"/>
      <c r="E304" s="338"/>
      <c r="F304" s="287"/>
      <c r="G304" s="140"/>
      <c r="H304" s="140">
        <f t="shared" si="71"/>
        <v>0</v>
      </c>
      <c r="I304" s="140">
        <f t="shared" si="72"/>
        <v>0</v>
      </c>
    </row>
    <row r="305" spans="1:9">
      <c r="A305" s="9"/>
      <c r="B305" s="9"/>
      <c r="C305" s="338"/>
      <c r="D305" s="327"/>
      <c r="E305" s="338"/>
      <c r="F305" s="287"/>
      <c r="G305" s="140"/>
      <c r="H305" s="140">
        <f t="shared" si="71"/>
        <v>0</v>
      </c>
      <c r="I305" s="140">
        <f t="shared" si="72"/>
        <v>0</v>
      </c>
    </row>
    <row r="306" spans="1:9">
      <c r="A306" s="9"/>
      <c r="B306" s="9"/>
      <c r="C306" s="338"/>
      <c r="D306" s="327"/>
      <c r="E306" s="338"/>
      <c r="F306" s="287"/>
      <c r="G306" s="140"/>
      <c r="H306" s="140">
        <f t="shared" si="71"/>
        <v>0</v>
      </c>
      <c r="I306" s="140">
        <f t="shared" si="72"/>
        <v>0</v>
      </c>
    </row>
    <row r="307" spans="1:9">
      <c r="A307" s="9"/>
      <c r="B307" s="9"/>
      <c r="C307" s="338"/>
      <c r="D307" s="327"/>
      <c r="E307" s="338"/>
      <c r="F307" s="287"/>
      <c r="G307" s="140"/>
      <c r="H307" s="140">
        <f t="shared" si="71"/>
        <v>0</v>
      </c>
      <c r="I307" s="140">
        <f t="shared" si="72"/>
        <v>0</v>
      </c>
    </row>
    <row r="308" spans="1:9">
      <c r="A308" s="9"/>
      <c r="B308" s="9"/>
      <c r="C308" s="338"/>
      <c r="D308" s="327"/>
      <c r="E308" s="338"/>
      <c r="F308" s="287"/>
      <c r="G308" s="140"/>
      <c r="H308" s="140">
        <f t="shared" si="71"/>
        <v>0</v>
      </c>
      <c r="I308" s="140">
        <f t="shared" si="72"/>
        <v>0</v>
      </c>
    </row>
    <row r="309" spans="1:9">
      <c r="A309" s="9"/>
      <c r="B309" s="9"/>
      <c r="C309" s="338"/>
      <c r="D309" s="327"/>
      <c r="E309" s="338"/>
      <c r="F309" s="287"/>
      <c r="G309" s="140"/>
      <c r="H309" s="140">
        <f t="shared" si="71"/>
        <v>0</v>
      </c>
      <c r="I309" s="140">
        <f t="shared" si="72"/>
        <v>0</v>
      </c>
    </row>
    <row r="310" spans="1:9">
      <c r="A310" s="9"/>
      <c r="B310" s="9"/>
      <c r="C310" s="338"/>
      <c r="D310" s="327"/>
      <c r="E310" s="338"/>
      <c r="F310" s="287"/>
      <c r="G310" s="140"/>
      <c r="H310" s="140">
        <f t="shared" si="71"/>
        <v>0</v>
      </c>
      <c r="I310" s="140">
        <f t="shared" si="72"/>
        <v>0</v>
      </c>
    </row>
    <row r="311" spans="1:9">
      <c r="A311" s="9"/>
      <c r="B311" s="9"/>
      <c r="C311" s="338"/>
      <c r="D311" s="327"/>
      <c r="E311" s="338"/>
      <c r="F311" s="287"/>
      <c r="G311" s="140"/>
      <c r="H311" s="140">
        <f t="shared" si="71"/>
        <v>0</v>
      </c>
      <c r="I311" s="140">
        <f t="shared" si="72"/>
        <v>0</v>
      </c>
    </row>
    <row r="312" spans="1:9">
      <c r="A312" s="9"/>
      <c r="B312" s="9"/>
      <c r="C312" s="338"/>
      <c r="D312" s="327"/>
      <c r="E312" s="338"/>
      <c r="F312" s="287"/>
      <c r="G312" s="140"/>
      <c r="H312" s="140">
        <f t="shared" si="71"/>
        <v>0</v>
      </c>
      <c r="I312" s="140">
        <f t="shared" si="72"/>
        <v>0</v>
      </c>
    </row>
    <row r="313" spans="1:9">
      <c r="A313" s="9"/>
      <c r="B313" s="9"/>
      <c r="C313" s="338"/>
      <c r="D313" s="327"/>
      <c r="E313" s="338"/>
      <c r="F313" s="287"/>
      <c r="G313" s="140"/>
      <c r="H313" s="140">
        <f t="shared" si="71"/>
        <v>0</v>
      </c>
      <c r="I313" s="140">
        <f t="shared" si="72"/>
        <v>0</v>
      </c>
    </row>
    <row r="314" spans="1:9">
      <c r="A314" s="9"/>
      <c r="B314" s="9"/>
      <c r="C314" s="338"/>
      <c r="D314" s="327"/>
      <c r="E314" s="338"/>
      <c r="F314" s="287"/>
      <c r="G314" s="140"/>
      <c r="H314" s="140">
        <f t="shared" si="71"/>
        <v>0</v>
      </c>
      <c r="I314" s="140">
        <f t="shared" si="72"/>
        <v>0</v>
      </c>
    </row>
    <row r="315" spans="1:9">
      <c r="A315" s="9"/>
      <c r="B315" s="9"/>
      <c r="C315" s="338"/>
      <c r="D315" s="327"/>
      <c r="E315" s="338"/>
      <c r="F315" s="287"/>
      <c r="G315" s="140"/>
      <c r="H315" s="140">
        <f t="shared" si="71"/>
        <v>0</v>
      </c>
      <c r="I315" s="140">
        <f t="shared" si="72"/>
        <v>0</v>
      </c>
    </row>
    <row r="316" spans="1:9">
      <c r="A316" s="9"/>
      <c r="B316" s="9"/>
      <c r="C316" s="338"/>
      <c r="D316" s="327"/>
      <c r="E316" s="338"/>
      <c r="F316" s="287"/>
      <c r="G316" s="140"/>
      <c r="H316" s="140">
        <f t="shared" si="71"/>
        <v>0</v>
      </c>
      <c r="I316" s="140">
        <f t="shared" si="72"/>
        <v>0</v>
      </c>
    </row>
    <row r="317" spans="1:9">
      <c r="A317" s="9"/>
      <c r="B317" s="9"/>
      <c r="C317" s="338"/>
      <c r="D317" s="327"/>
      <c r="E317" s="338"/>
      <c r="F317" s="287"/>
      <c r="G317" s="140">
        <v>53</v>
      </c>
      <c r="H317" s="140">
        <f t="shared" si="71"/>
        <v>9.5399999999999991</v>
      </c>
      <c r="I317" s="140">
        <f t="shared" si="72"/>
        <v>62.54</v>
      </c>
    </row>
    <row r="318" spans="1:9">
      <c r="A318" s="9"/>
      <c r="B318" s="9"/>
      <c r="C318" s="338"/>
      <c r="D318" s="327"/>
      <c r="E318" s="338"/>
      <c r="F318" s="287"/>
      <c r="G318" s="140">
        <v>54</v>
      </c>
      <c r="H318" s="140">
        <f t="shared" si="71"/>
        <v>9.7199999999999989</v>
      </c>
      <c r="I318" s="140">
        <f t="shared" si="72"/>
        <v>63.72</v>
      </c>
    </row>
    <row r="319" spans="1:9">
      <c r="A319" s="9"/>
      <c r="B319" s="9"/>
      <c r="C319" s="338"/>
      <c r="D319" s="327"/>
      <c r="E319" s="338"/>
      <c r="F319" s="287"/>
      <c r="G319" s="140">
        <v>55</v>
      </c>
      <c r="H319" s="140">
        <f t="shared" si="71"/>
        <v>9.9</v>
      </c>
      <c r="I319" s="140">
        <f t="shared" si="72"/>
        <v>64.900000000000006</v>
      </c>
    </row>
    <row r="320" spans="1:9">
      <c r="A320" s="9"/>
      <c r="B320" s="9"/>
      <c r="C320" s="338"/>
      <c r="D320" s="327"/>
      <c r="E320" s="338"/>
      <c r="F320" s="287"/>
      <c r="G320" s="140">
        <v>56</v>
      </c>
      <c r="H320" s="140">
        <f t="shared" si="71"/>
        <v>10.08</v>
      </c>
      <c r="I320" s="140">
        <f t="shared" si="72"/>
        <v>66.08</v>
      </c>
    </row>
    <row r="321" spans="1:9">
      <c r="A321" s="9"/>
      <c r="B321" s="9"/>
      <c r="C321" s="338"/>
      <c r="D321" s="327"/>
      <c r="E321" s="338"/>
      <c r="F321" s="287"/>
      <c r="G321" s="140">
        <v>57</v>
      </c>
      <c r="H321" s="140">
        <f t="shared" si="71"/>
        <v>10.26</v>
      </c>
      <c r="I321" s="140">
        <f t="shared" si="72"/>
        <v>67.260000000000005</v>
      </c>
    </row>
    <row r="322" spans="1:9">
      <c r="A322" s="9"/>
      <c r="B322" s="9"/>
      <c r="C322" s="338"/>
      <c r="D322" s="327"/>
      <c r="E322" s="338"/>
      <c r="F322" s="287"/>
      <c r="G322" s="140">
        <v>58</v>
      </c>
      <c r="H322" s="140">
        <f t="shared" si="71"/>
        <v>10.44</v>
      </c>
      <c r="I322" s="140">
        <f t="shared" si="72"/>
        <v>68.44</v>
      </c>
    </row>
    <row r="323" spans="1:9">
      <c r="A323" s="9"/>
      <c r="B323" s="9"/>
      <c r="C323" s="338"/>
      <c r="D323" s="327"/>
      <c r="E323" s="338"/>
      <c r="F323" s="287"/>
      <c r="G323" s="140">
        <v>59</v>
      </c>
      <c r="H323" s="140">
        <f t="shared" si="71"/>
        <v>10.62</v>
      </c>
      <c r="I323" s="140">
        <f t="shared" si="72"/>
        <v>69.62</v>
      </c>
    </row>
    <row r="324" spans="1:9">
      <c r="A324" s="9"/>
      <c r="B324" s="9"/>
      <c r="C324" s="338"/>
      <c r="D324" s="327"/>
      <c r="E324" s="338"/>
      <c r="F324" s="287"/>
      <c r="G324" s="140">
        <v>60</v>
      </c>
      <c r="H324" s="140">
        <f t="shared" si="71"/>
        <v>10.799999999999999</v>
      </c>
      <c r="I324" s="140">
        <f t="shared" si="72"/>
        <v>70.8</v>
      </c>
    </row>
    <row r="325" spans="1:9">
      <c r="A325" s="9"/>
      <c r="B325" s="9"/>
      <c r="C325" s="338"/>
      <c r="D325" s="327"/>
      <c r="E325" s="338"/>
      <c r="F325" s="287"/>
      <c r="G325" s="140">
        <v>61</v>
      </c>
      <c r="H325" s="140">
        <f t="shared" si="71"/>
        <v>10.98</v>
      </c>
      <c r="I325" s="140">
        <f t="shared" si="72"/>
        <v>71.98</v>
      </c>
    </row>
    <row r="326" spans="1:9">
      <c r="A326" s="9"/>
      <c r="B326" s="9"/>
      <c r="C326" s="338"/>
      <c r="D326" s="327"/>
      <c r="E326" s="338"/>
      <c r="F326" s="287"/>
      <c r="G326" s="140">
        <v>62</v>
      </c>
      <c r="H326" s="140">
        <f t="shared" si="71"/>
        <v>11.16</v>
      </c>
      <c r="I326" s="140">
        <f t="shared" si="72"/>
        <v>73.16</v>
      </c>
    </row>
    <row r="327" spans="1:9">
      <c r="A327" s="9"/>
      <c r="B327" s="9"/>
      <c r="C327" s="338"/>
      <c r="D327" s="327"/>
      <c r="E327" s="338"/>
      <c r="F327" s="287"/>
      <c r="G327" s="140">
        <v>63</v>
      </c>
      <c r="H327" s="140">
        <f t="shared" si="71"/>
        <v>11.34</v>
      </c>
      <c r="I327" s="140">
        <f t="shared" si="72"/>
        <v>74.34</v>
      </c>
    </row>
    <row r="328" spans="1:9">
      <c r="A328" s="9"/>
      <c r="B328" s="9"/>
      <c r="C328" s="338"/>
      <c r="D328" s="327"/>
      <c r="E328" s="338"/>
      <c r="F328" s="287"/>
      <c r="G328" s="140">
        <v>64</v>
      </c>
      <c r="H328" s="140">
        <f t="shared" si="71"/>
        <v>11.52</v>
      </c>
      <c r="I328" s="140">
        <f t="shared" si="72"/>
        <v>75.52</v>
      </c>
    </row>
    <row r="329" spans="1:9">
      <c r="A329" s="9"/>
      <c r="B329" s="9"/>
      <c r="C329" s="338"/>
      <c r="D329" s="327"/>
      <c r="E329" s="338"/>
      <c r="F329" s="287"/>
      <c r="G329" s="140">
        <v>65</v>
      </c>
      <c r="H329" s="140">
        <f t="shared" si="71"/>
        <v>11.7</v>
      </c>
      <c r="I329" s="140">
        <f t="shared" si="72"/>
        <v>76.7</v>
      </c>
    </row>
    <row r="330" spans="1:9">
      <c r="A330" s="9"/>
      <c r="B330" s="9"/>
      <c r="C330" s="338"/>
      <c r="D330" s="327"/>
      <c r="E330" s="338"/>
      <c r="F330" s="287"/>
      <c r="G330" s="140">
        <v>66</v>
      </c>
      <c r="H330" s="140">
        <f t="shared" si="71"/>
        <v>11.879999999999999</v>
      </c>
      <c r="I330" s="140">
        <f t="shared" si="72"/>
        <v>77.88</v>
      </c>
    </row>
    <row r="331" spans="1:9">
      <c r="A331" s="9"/>
      <c r="B331" s="9"/>
      <c r="C331" s="338"/>
      <c r="D331" s="327"/>
      <c r="E331" s="338"/>
      <c r="F331" s="287"/>
      <c r="G331" s="140">
        <v>67</v>
      </c>
      <c r="H331" s="140">
        <f t="shared" si="71"/>
        <v>12.059999999999999</v>
      </c>
      <c r="I331" s="140">
        <f t="shared" si="72"/>
        <v>79.06</v>
      </c>
    </row>
    <row r="332" spans="1:9">
      <c r="A332" s="9"/>
      <c r="B332" s="9"/>
      <c r="C332" s="338"/>
      <c r="D332" s="327"/>
      <c r="E332" s="338"/>
      <c r="F332" s="287"/>
      <c r="G332" s="140">
        <v>68</v>
      </c>
      <c r="H332" s="140">
        <f t="shared" si="71"/>
        <v>12.24</v>
      </c>
      <c r="I332" s="140">
        <f t="shared" si="72"/>
        <v>80.239999999999995</v>
      </c>
    </row>
    <row r="333" spans="1:9">
      <c r="A333" s="9"/>
      <c r="B333" s="9"/>
      <c r="C333" s="338"/>
      <c r="D333" s="327"/>
      <c r="E333" s="338"/>
      <c r="F333" s="287"/>
      <c r="G333" s="140">
        <v>69</v>
      </c>
      <c r="H333" s="140">
        <f t="shared" si="71"/>
        <v>12.42</v>
      </c>
      <c r="I333" s="140">
        <f t="shared" si="72"/>
        <v>81.42</v>
      </c>
    </row>
    <row r="334" spans="1:9">
      <c r="A334" s="9"/>
      <c r="B334" s="9"/>
      <c r="C334" s="338"/>
      <c r="D334" s="327"/>
      <c r="E334" s="338"/>
      <c r="F334" s="287"/>
      <c r="G334" s="140">
        <v>70</v>
      </c>
      <c r="H334" s="140">
        <f t="shared" si="71"/>
        <v>12.6</v>
      </c>
      <c r="I334" s="140">
        <f t="shared" si="72"/>
        <v>82.6</v>
      </c>
    </row>
    <row r="335" spans="1:9">
      <c r="A335" s="9"/>
      <c r="B335" s="9"/>
      <c r="C335" s="338"/>
      <c r="D335" s="327"/>
      <c r="E335" s="338"/>
      <c r="F335" s="287"/>
      <c r="G335" s="140">
        <v>71</v>
      </c>
      <c r="H335" s="140">
        <f t="shared" si="71"/>
        <v>12.78</v>
      </c>
      <c r="I335" s="140">
        <f t="shared" si="72"/>
        <v>83.78</v>
      </c>
    </row>
    <row r="336" spans="1:9">
      <c r="A336" s="9"/>
      <c r="B336" s="9"/>
      <c r="C336" s="338"/>
      <c r="D336" s="327"/>
      <c r="E336" s="338"/>
      <c r="F336" s="287"/>
      <c r="G336" s="140">
        <v>72</v>
      </c>
      <c r="H336" s="140">
        <f t="shared" si="71"/>
        <v>12.959999999999999</v>
      </c>
      <c r="I336" s="140">
        <f t="shared" si="72"/>
        <v>84.96</v>
      </c>
    </row>
    <row r="337" spans="1:9">
      <c r="A337" s="9"/>
      <c r="B337" s="9"/>
      <c r="C337" s="338"/>
      <c r="D337" s="327"/>
      <c r="E337" s="338"/>
      <c r="F337" s="287"/>
      <c r="G337" s="140">
        <v>73</v>
      </c>
      <c r="H337" s="140">
        <f t="shared" si="71"/>
        <v>13.139999999999999</v>
      </c>
      <c r="I337" s="140">
        <f t="shared" si="72"/>
        <v>86.14</v>
      </c>
    </row>
    <row r="338" spans="1:9">
      <c r="A338" s="9"/>
      <c r="B338" s="9"/>
      <c r="C338" s="338"/>
      <c r="D338" s="327"/>
      <c r="E338" s="338"/>
      <c r="F338" s="287"/>
      <c r="G338" s="140">
        <v>74</v>
      </c>
      <c r="H338" s="140">
        <f t="shared" si="71"/>
        <v>13.32</v>
      </c>
      <c r="I338" s="140">
        <f t="shared" si="72"/>
        <v>87.32</v>
      </c>
    </row>
    <row r="339" spans="1:9">
      <c r="A339" s="9"/>
      <c r="B339" s="9"/>
      <c r="C339" s="338"/>
      <c r="D339" s="327"/>
      <c r="E339" s="338"/>
      <c r="F339" s="287"/>
      <c r="G339" s="140">
        <v>75</v>
      </c>
      <c r="H339" s="140">
        <f t="shared" si="71"/>
        <v>13.5</v>
      </c>
      <c r="I339" s="140">
        <f t="shared" si="72"/>
        <v>88.5</v>
      </c>
    </row>
    <row r="340" spans="1:9">
      <c r="A340" s="9"/>
      <c r="B340" s="9"/>
      <c r="C340" s="338"/>
      <c r="D340" s="327"/>
      <c r="E340" s="338"/>
      <c r="F340" s="287"/>
      <c r="G340" s="140">
        <v>76</v>
      </c>
      <c r="H340" s="140">
        <f t="shared" si="71"/>
        <v>13.68</v>
      </c>
      <c r="I340" s="140">
        <f t="shared" si="72"/>
        <v>89.68</v>
      </c>
    </row>
    <row r="341" spans="1:9">
      <c r="A341" s="9"/>
      <c r="B341" s="9"/>
      <c r="C341" s="338"/>
      <c r="D341" s="327"/>
      <c r="E341" s="338"/>
      <c r="F341" s="287"/>
      <c r="G341" s="140">
        <v>77</v>
      </c>
      <c r="H341" s="140">
        <f t="shared" si="71"/>
        <v>13.86</v>
      </c>
      <c r="I341" s="140">
        <f t="shared" si="72"/>
        <v>90.86</v>
      </c>
    </row>
    <row r="342" spans="1:9">
      <c r="A342" s="9"/>
      <c r="B342" s="9"/>
      <c r="C342" s="338"/>
      <c r="D342" s="327"/>
      <c r="E342" s="338"/>
      <c r="F342" s="287"/>
      <c r="G342" s="140">
        <v>78</v>
      </c>
      <c r="H342" s="140">
        <f t="shared" si="71"/>
        <v>14.04</v>
      </c>
      <c r="I342" s="140">
        <f t="shared" si="72"/>
        <v>92.039999999999992</v>
      </c>
    </row>
    <row r="343" spans="1:9">
      <c r="A343" s="9"/>
      <c r="B343" s="9"/>
      <c r="C343" s="338"/>
      <c r="D343" s="327"/>
      <c r="E343" s="338"/>
      <c r="F343" s="287"/>
      <c r="G343" s="140">
        <v>79</v>
      </c>
      <c r="H343" s="140">
        <f t="shared" si="71"/>
        <v>14.219999999999999</v>
      </c>
      <c r="I343" s="140">
        <f t="shared" si="72"/>
        <v>93.22</v>
      </c>
    </row>
    <row r="344" spans="1:9">
      <c r="A344" s="9"/>
      <c r="B344" s="9"/>
      <c r="C344" s="338"/>
      <c r="D344" s="327"/>
      <c r="E344" s="338"/>
      <c r="F344" s="287"/>
      <c r="G344" s="140">
        <v>80</v>
      </c>
      <c r="H344" s="140">
        <f t="shared" ref="H344:H407" si="73">G344*0.18</f>
        <v>14.399999999999999</v>
      </c>
      <c r="I344" s="140">
        <f t="shared" ref="I344:I407" si="74">SUM(G344:H344)</f>
        <v>94.4</v>
      </c>
    </row>
    <row r="345" spans="1:9">
      <c r="A345" s="9"/>
      <c r="B345" s="9"/>
      <c r="C345" s="338"/>
      <c r="D345" s="327"/>
      <c r="E345" s="338"/>
      <c r="F345" s="287"/>
      <c r="G345" s="140">
        <v>81</v>
      </c>
      <c r="H345" s="140">
        <f t="shared" si="73"/>
        <v>14.58</v>
      </c>
      <c r="I345" s="140">
        <f t="shared" si="74"/>
        <v>95.58</v>
      </c>
    </row>
    <row r="346" spans="1:9">
      <c r="A346" s="9"/>
      <c r="B346" s="9"/>
      <c r="C346" s="338"/>
      <c r="D346" s="327"/>
      <c r="E346" s="338"/>
      <c r="F346" s="287"/>
      <c r="G346" s="140">
        <v>82</v>
      </c>
      <c r="H346" s="140">
        <f t="shared" si="73"/>
        <v>14.76</v>
      </c>
      <c r="I346" s="140">
        <f t="shared" si="74"/>
        <v>96.76</v>
      </c>
    </row>
    <row r="347" spans="1:9">
      <c r="A347" s="9"/>
      <c r="B347" s="9"/>
      <c r="C347" s="338"/>
      <c r="D347" s="327"/>
      <c r="E347" s="338"/>
      <c r="F347" s="287"/>
      <c r="G347" s="140">
        <v>83</v>
      </c>
      <c r="H347" s="140">
        <f t="shared" si="73"/>
        <v>14.94</v>
      </c>
      <c r="I347" s="140">
        <f t="shared" si="74"/>
        <v>97.94</v>
      </c>
    </row>
    <row r="348" spans="1:9">
      <c r="A348" s="9"/>
      <c r="B348" s="9"/>
      <c r="C348" s="338"/>
      <c r="D348" s="327"/>
      <c r="E348" s="338"/>
      <c r="F348" s="287"/>
      <c r="G348" s="140">
        <v>84</v>
      </c>
      <c r="H348" s="140">
        <f t="shared" si="73"/>
        <v>15.12</v>
      </c>
      <c r="I348" s="140">
        <f t="shared" si="74"/>
        <v>99.12</v>
      </c>
    </row>
    <row r="349" spans="1:9">
      <c r="A349" s="9"/>
      <c r="B349" s="9"/>
      <c r="C349" s="338"/>
      <c r="D349" s="327"/>
      <c r="E349" s="338"/>
      <c r="F349" s="287"/>
      <c r="G349" s="140">
        <v>85</v>
      </c>
      <c r="H349" s="140">
        <f t="shared" si="73"/>
        <v>15.299999999999999</v>
      </c>
      <c r="I349" s="140">
        <f t="shared" si="74"/>
        <v>100.3</v>
      </c>
    </row>
    <row r="350" spans="1:9">
      <c r="A350" s="9"/>
      <c r="B350" s="9"/>
      <c r="C350" s="338"/>
      <c r="D350" s="327"/>
      <c r="E350" s="338"/>
      <c r="F350" s="287"/>
      <c r="G350" s="140">
        <v>86</v>
      </c>
      <c r="H350" s="140">
        <f t="shared" si="73"/>
        <v>15.479999999999999</v>
      </c>
      <c r="I350" s="140">
        <f t="shared" si="74"/>
        <v>101.48</v>
      </c>
    </row>
    <row r="351" spans="1:9">
      <c r="A351" s="9"/>
      <c r="B351" s="9"/>
      <c r="C351" s="338"/>
      <c r="D351" s="327"/>
      <c r="E351" s="338"/>
      <c r="F351" s="287"/>
      <c r="G351" s="140">
        <v>87</v>
      </c>
      <c r="H351" s="140">
        <f t="shared" si="73"/>
        <v>15.66</v>
      </c>
      <c r="I351" s="140">
        <f t="shared" si="74"/>
        <v>102.66</v>
      </c>
    </row>
    <row r="352" spans="1:9">
      <c r="A352" s="9"/>
      <c r="B352" s="9"/>
      <c r="C352" s="338"/>
      <c r="D352" s="327"/>
      <c r="E352" s="338"/>
      <c r="F352" s="287"/>
      <c r="G352" s="140">
        <v>88</v>
      </c>
      <c r="H352" s="140">
        <f t="shared" si="73"/>
        <v>15.84</v>
      </c>
      <c r="I352" s="140">
        <f t="shared" si="74"/>
        <v>103.84</v>
      </c>
    </row>
    <row r="353" spans="1:9">
      <c r="A353" s="9"/>
      <c r="B353" s="9"/>
      <c r="C353" s="338"/>
      <c r="D353" s="327"/>
      <c r="E353" s="338"/>
      <c r="F353" s="287"/>
      <c r="G353" s="140">
        <v>89</v>
      </c>
      <c r="H353" s="140">
        <f t="shared" si="73"/>
        <v>16.02</v>
      </c>
      <c r="I353" s="140">
        <f t="shared" si="74"/>
        <v>105.02</v>
      </c>
    </row>
    <row r="354" spans="1:9">
      <c r="A354" s="9"/>
      <c r="B354" s="9"/>
      <c r="C354" s="338"/>
      <c r="D354" s="327"/>
      <c r="E354" s="338"/>
      <c r="F354" s="287"/>
      <c r="G354" s="140">
        <v>90</v>
      </c>
      <c r="H354" s="140">
        <f t="shared" si="73"/>
        <v>16.2</v>
      </c>
      <c r="I354" s="140">
        <f t="shared" si="74"/>
        <v>106.2</v>
      </c>
    </row>
    <row r="355" spans="1:9">
      <c r="A355" s="9"/>
      <c r="B355" s="9"/>
      <c r="C355" s="338"/>
      <c r="D355" s="327"/>
      <c r="E355" s="338"/>
      <c r="F355" s="287"/>
      <c r="G355" s="140">
        <v>91</v>
      </c>
      <c r="H355" s="140">
        <f t="shared" si="73"/>
        <v>16.38</v>
      </c>
      <c r="I355" s="140">
        <f t="shared" si="74"/>
        <v>107.38</v>
      </c>
    </row>
    <row r="356" spans="1:9">
      <c r="A356" s="9"/>
      <c r="B356" s="9"/>
      <c r="C356" s="338"/>
      <c r="D356" s="327"/>
      <c r="E356" s="338"/>
      <c r="F356" s="287"/>
      <c r="G356" s="140">
        <v>92</v>
      </c>
      <c r="H356" s="140">
        <f t="shared" si="73"/>
        <v>16.559999999999999</v>
      </c>
      <c r="I356" s="140">
        <f t="shared" si="74"/>
        <v>108.56</v>
      </c>
    </row>
    <row r="357" spans="1:9">
      <c r="A357" s="9"/>
      <c r="B357" s="9"/>
      <c r="C357" s="338"/>
      <c r="D357" s="327"/>
      <c r="E357" s="338"/>
      <c r="F357" s="287"/>
      <c r="G357" s="140">
        <v>93</v>
      </c>
      <c r="H357" s="140">
        <f t="shared" si="73"/>
        <v>16.739999999999998</v>
      </c>
      <c r="I357" s="140">
        <f t="shared" si="74"/>
        <v>109.74</v>
      </c>
    </row>
    <row r="358" spans="1:9">
      <c r="A358" s="9"/>
      <c r="B358" s="9"/>
      <c r="C358" s="338"/>
      <c r="D358" s="327"/>
      <c r="E358" s="338"/>
      <c r="F358" s="287"/>
      <c r="G358" s="140">
        <v>94</v>
      </c>
      <c r="H358" s="140">
        <f t="shared" si="73"/>
        <v>16.919999999999998</v>
      </c>
      <c r="I358" s="140">
        <f t="shared" si="74"/>
        <v>110.92</v>
      </c>
    </row>
    <row r="359" spans="1:9">
      <c r="A359" s="9"/>
      <c r="B359" s="9"/>
      <c r="C359" s="338"/>
      <c r="D359" s="327"/>
      <c r="E359" s="338"/>
      <c r="F359" s="287"/>
      <c r="G359" s="140">
        <v>95</v>
      </c>
      <c r="H359" s="140">
        <f t="shared" si="73"/>
        <v>17.099999999999998</v>
      </c>
      <c r="I359" s="140">
        <f t="shared" si="74"/>
        <v>112.1</v>
      </c>
    </row>
    <row r="360" spans="1:9">
      <c r="A360" s="9"/>
      <c r="B360" s="9"/>
      <c r="C360" s="338"/>
      <c r="D360" s="327"/>
      <c r="E360" s="338"/>
      <c r="F360" s="287"/>
      <c r="G360" s="140">
        <v>96</v>
      </c>
      <c r="H360" s="140">
        <f t="shared" si="73"/>
        <v>17.28</v>
      </c>
      <c r="I360" s="140">
        <f t="shared" si="74"/>
        <v>113.28</v>
      </c>
    </row>
    <row r="361" spans="1:9">
      <c r="A361" s="9"/>
      <c r="B361" s="9"/>
      <c r="C361" s="338"/>
      <c r="D361" s="327"/>
      <c r="E361" s="338"/>
      <c r="F361" s="287"/>
      <c r="G361" s="140">
        <v>97</v>
      </c>
      <c r="H361" s="140">
        <f t="shared" si="73"/>
        <v>17.46</v>
      </c>
      <c r="I361" s="140">
        <f t="shared" si="74"/>
        <v>114.46000000000001</v>
      </c>
    </row>
    <row r="362" spans="1:9">
      <c r="A362" s="9"/>
      <c r="B362" s="9"/>
      <c r="C362" s="338"/>
      <c r="D362" s="327"/>
      <c r="E362" s="338"/>
      <c r="F362" s="287"/>
      <c r="G362" s="140">
        <v>98</v>
      </c>
      <c r="H362" s="140">
        <f t="shared" si="73"/>
        <v>17.64</v>
      </c>
      <c r="I362" s="140">
        <f t="shared" si="74"/>
        <v>115.64</v>
      </c>
    </row>
    <row r="363" spans="1:9">
      <c r="A363" s="9"/>
      <c r="B363" s="9"/>
      <c r="C363" s="338"/>
      <c r="D363" s="327"/>
      <c r="E363" s="338"/>
      <c r="F363" s="287"/>
      <c r="G363" s="140">
        <v>99</v>
      </c>
      <c r="H363" s="140">
        <f t="shared" si="73"/>
        <v>17.82</v>
      </c>
      <c r="I363" s="140">
        <f t="shared" si="74"/>
        <v>116.82</v>
      </c>
    </row>
    <row r="364" spans="1:9">
      <c r="A364" s="9"/>
      <c r="B364" s="9"/>
      <c r="C364" s="338"/>
      <c r="D364" s="327"/>
      <c r="E364" s="338"/>
      <c r="F364" s="287"/>
      <c r="G364" s="140">
        <v>100</v>
      </c>
      <c r="H364" s="140">
        <f t="shared" si="73"/>
        <v>18</v>
      </c>
      <c r="I364" s="140">
        <f t="shared" si="74"/>
        <v>118</v>
      </c>
    </row>
    <row r="365" spans="1:9">
      <c r="A365" s="9"/>
      <c r="B365" s="9"/>
      <c r="C365" s="338"/>
      <c r="D365" s="327"/>
      <c r="E365" s="338"/>
      <c r="F365" s="287"/>
      <c r="G365" s="140">
        <v>101</v>
      </c>
      <c r="H365" s="140">
        <f t="shared" si="73"/>
        <v>18.18</v>
      </c>
      <c r="I365" s="140">
        <f t="shared" si="74"/>
        <v>119.18</v>
      </c>
    </row>
    <row r="366" spans="1:9">
      <c r="A366" s="9"/>
      <c r="B366" s="9"/>
      <c r="C366" s="338"/>
      <c r="D366" s="327"/>
      <c r="E366" s="338"/>
      <c r="F366" s="287"/>
      <c r="G366" s="140">
        <v>102</v>
      </c>
      <c r="H366" s="140">
        <f t="shared" si="73"/>
        <v>18.36</v>
      </c>
      <c r="I366" s="140">
        <f t="shared" si="74"/>
        <v>120.36</v>
      </c>
    </row>
    <row r="367" spans="1:9">
      <c r="A367" s="9"/>
      <c r="B367" s="9"/>
      <c r="C367" s="338"/>
      <c r="D367" s="327"/>
      <c r="E367" s="338"/>
      <c r="F367" s="287"/>
      <c r="G367" s="140">
        <v>103</v>
      </c>
      <c r="H367" s="140">
        <f t="shared" si="73"/>
        <v>18.54</v>
      </c>
      <c r="I367" s="140">
        <f t="shared" si="74"/>
        <v>121.53999999999999</v>
      </c>
    </row>
    <row r="368" spans="1:9">
      <c r="A368" s="9"/>
      <c r="B368" s="9"/>
      <c r="C368" s="338"/>
      <c r="D368" s="327"/>
      <c r="E368" s="338"/>
      <c r="F368" s="287"/>
      <c r="G368" s="140">
        <v>104</v>
      </c>
      <c r="H368" s="140">
        <f t="shared" si="73"/>
        <v>18.72</v>
      </c>
      <c r="I368" s="140">
        <f t="shared" si="74"/>
        <v>122.72</v>
      </c>
    </row>
    <row r="369" spans="1:9">
      <c r="A369" s="9"/>
      <c r="B369" s="9"/>
      <c r="C369" s="338"/>
      <c r="D369" s="327"/>
      <c r="E369" s="338"/>
      <c r="F369" s="287"/>
      <c r="G369" s="140">
        <v>105</v>
      </c>
      <c r="H369" s="140">
        <f t="shared" si="73"/>
        <v>18.899999999999999</v>
      </c>
      <c r="I369" s="140">
        <f t="shared" si="74"/>
        <v>123.9</v>
      </c>
    </row>
    <row r="370" spans="1:9">
      <c r="A370" s="9"/>
      <c r="B370" s="9"/>
      <c r="C370" s="338"/>
      <c r="D370" s="327"/>
      <c r="E370" s="338"/>
      <c r="F370" s="287"/>
      <c r="G370" s="140">
        <v>106</v>
      </c>
      <c r="H370" s="140">
        <f t="shared" si="73"/>
        <v>19.079999999999998</v>
      </c>
      <c r="I370" s="140">
        <f t="shared" si="74"/>
        <v>125.08</v>
      </c>
    </row>
    <row r="371" spans="1:9">
      <c r="A371" s="9"/>
      <c r="B371" s="9"/>
      <c r="C371" s="338"/>
      <c r="D371" s="327"/>
      <c r="E371" s="338"/>
      <c r="F371" s="287"/>
      <c r="G371" s="140">
        <v>107</v>
      </c>
      <c r="H371" s="140">
        <f t="shared" si="73"/>
        <v>19.259999999999998</v>
      </c>
      <c r="I371" s="140">
        <f t="shared" si="74"/>
        <v>126.25999999999999</v>
      </c>
    </row>
    <row r="372" spans="1:9">
      <c r="A372" s="9"/>
      <c r="B372" s="9"/>
      <c r="C372" s="338"/>
      <c r="D372" s="327"/>
      <c r="E372" s="338"/>
      <c r="F372" s="287"/>
      <c r="G372" s="140">
        <v>108</v>
      </c>
      <c r="H372" s="140">
        <f t="shared" si="73"/>
        <v>19.439999999999998</v>
      </c>
      <c r="I372" s="140">
        <f t="shared" si="74"/>
        <v>127.44</v>
      </c>
    </row>
    <row r="373" spans="1:9">
      <c r="A373" s="9"/>
      <c r="B373" s="9"/>
      <c r="C373" s="338"/>
      <c r="D373" s="327"/>
      <c r="E373" s="338"/>
      <c r="F373" s="287"/>
      <c r="G373" s="140">
        <v>109</v>
      </c>
      <c r="H373" s="140">
        <f t="shared" si="73"/>
        <v>19.62</v>
      </c>
      <c r="I373" s="140">
        <f t="shared" si="74"/>
        <v>128.62</v>
      </c>
    </row>
    <row r="374" spans="1:9">
      <c r="A374" s="9"/>
      <c r="B374" s="9"/>
      <c r="C374" s="338"/>
      <c r="D374" s="327"/>
      <c r="E374" s="338"/>
      <c r="F374" s="287"/>
      <c r="G374" s="140">
        <v>110</v>
      </c>
      <c r="H374" s="140">
        <f t="shared" si="73"/>
        <v>19.8</v>
      </c>
      <c r="I374" s="140">
        <f t="shared" si="74"/>
        <v>129.80000000000001</v>
      </c>
    </row>
    <row r="375" spans="1:9">
      <c r="A375" s="9"/>
      <c r="B375" s="9"/>
      <c r="C375" s="338"/>
      <c r="D375" s="327"/>
      <c r="E375" s="338"/>
      <c r="F375" s="287"/>
      <c r="G375" s="140">
        <v>111</v>
      </c>
      <c r="H375" s="140">
        <f t="shared" si="73"/>
        <v>19.98</v>
      </c>
      <c r="I375" s="140">
        <f t="shared" si="74"/>
        <v>130.97999999999999</v>
      </c>
    </row>
    <row r="376" spans="1:9">
      <c r="A376" s="9"/>
      <c r="B376" s="9"/>
      <c r="C376" s="338"/>
      <c r="D376" s="327"/>
      <c r="E376" s="338"/>
      <c r="F376" s="287"/>
      <c r="G376" s="140">
        <v>112</v>
      </c>
      <c r="H376" s="140">
        <f t="shared" si="73"/>
        <v>20.16</v>
      </c>
      <c r="I376" s="140">
        <f t="shared" si="74"/>
        <v>132.16</v>
      </c>
    </row>
    <row r="377" spans="1:9">
      <c r="A377" s="9"/>
      <c r="B377" s="9"/>
      <c r="C377" s="338"/>
      <c r="D377" s="327"/>
      <c r="E377" s="338"/>
      <c r="F377" s="287"/>
      <c r="G377" s="140">
        <v>113</v>
      </c>
      <c r="H377" s="140">
        <f t="shared" si="73"/>
        <v>20.34</v>
      </c>
      <c r="I377" s="140">
        <f t="shared" si="74"/>
        <v>133.34</v>
      </c>
    </row>
    <row r="378" spans="1:9">
      <c r="A378" s="9"/>
      <c r="B378" s="9"/>
      <c r="C378" s="338"/>
      <c r="D378" s="327"/>
      <c r="E378" s="338"/>
      <c r="F378" s="287"/>
      <c r="G378" s="140">
        <v>114</v>
      </c>
      <c r="H378" s="140">
        <f t="shared" si="73"/>
        <v>20.52</v>
      </c>
      <c r="I378" s="140">
        <f t="shared" si="74"/>
        <v>134.52000000000001</v>
      </c>
    </row>
    <row r="379" spans="1:9">
      <c r="A379" s="9"/>
      <c r="B379" s="9"/>
      <c r="C379" s="338"/>
      <c r="D379" s="327"/>
      <c r="E379" s="338"/>
      <c r="F379" s="287"/>
      <c r="G379" s="140">
        <v>115</v>
      </c>
      <c r="H379" s="140">
        <f t="shared" si="73"/>
        <v>20.7</v>
      </c>
      <c r="I379" s="140">
        <f t="shared" si="74"/>
        <v>135.69999999999999</v>
      </c>
    </row>
    <row r="380" spans="1:9">
      <c r="A380" s="9"/>
      <c r="B380" s="9"/>
      <c r="C380" s="338"/>
      <c r="D380" s="327"/>
      <c r="E380" s="338"/>
      <c r="F380" s="287"/>
      <c r="G380" s="140">
        <v>116</v>
      </c>
      <c r="H380" s="140">
        <f t="shared" si="73"/>
        <v>20.88</v>
      </c>
      <c r="I380" s="140">
        <f t="shared" si="74"/>
        <v>136.88</v>
      </c>
    </row>
    <row r="381" spans="1:9">
      <c r="A381" s="9"/>
      <c r="B381" s="9"/>
      <c r="C381" s="338"/>
      <c r="D381" s="327"/>
      <c r="E381" s="338"/>
      <c r="F381" s="287"/>
      <c r="G381" s="140">
        <v>117</v>
      </c>
      <c r="H381" s="140">
        <f t="shared" si="73"/>
        <v>21.06</v>
      </c>
      <c r="I381" s="140">
        <f t="shared" si="74"/>
        <v>138.06</v>
      </c>
    </row>
    <row r="382" spans="1:9">
      <c r="A382" s="9"/>
      <c r="B382" s="9"/>
      <c r="C382" s="338"/>
      <c r="D382" s="327"/>
      <c r="E382" s="338"/>
      <c r="F382" s="287"/>
      <c r="G382" s="140">
        <v>118</v>
      </c>
      <c r="H382" s="140">
        <f t="shared" si="73"/>
        <v>21.24</v>
      </c>
      <c r="I382" s="140">
        <f t="shared" si="74"/>
        <v>139.24</v>
      </c>
    </row>
    <row r="383" spans="1:9">
      <c r="A383" s="9"/>
      <c r="B383" s="9"/>
      <c r="C383" s="338"/>
      <c r="D383" s="327"/>
      <c r="E383" s="338"/>
      <c r="F383" s="287"/>
      <c r="G383" s="140">
        <v>119</v>
      </c>
      <c r="H383" s="140">
        <f t="shared" si="73"/>
        <v>21.419999999999998</v>
      </c>
      <c r="I383" s="140">
        <f t="shared" si="74"/>
        <v>140.41999999999999</v>
      </c>
    </row>
    <row r="384" spans="1:9">
      <c r="A384" s="9"/>
      <c r="B384" s="9"/>
      <c r="C384" s="338"/>
      <c r="D384" s="327"/>
      <c r="E384" s="338"/>
      <c r="F384" s="287"/>
      <c r="G384" s="140">
        <v>120</v>
      </c>
      <c r="H384" s="140">
        <f t="shared" si="73"/>
        <v>21.599999999999998</v>
      </c>
      <c r="I384" s="140">
        <f t="shared" si="74"/>
        <v>141.6</v>
      </c>
    </row>
    <row r="385" spans="1:9">
      <c r="A385" s="9"/>
      <c r="B385" s="9"/>
      <c r="C385" s="338"/>
      <c r="D385" s="327"/>
      <c r="E385" s="338"/>
      <c r="F385" s="287"/>
      <c r="G385" s="140">
        <v>121</v>
      </c>
      <c r="H385" s="140">
        <f t="shared" si="73"/>
        <v>21.779999999999998</v>
      </c>
      <c r="I385" s="140">
        <f t="shared" si="74"/>
        <v>142.78</v>
      </c>
    </row>
    <row r="386" spans="1:9">
      <c r="A386" s="9"/>
      <c r="B386" s="9"/>
      <c r="C386" s="338"/>
      <c r="D386" s="327"/>
      <c r="E386" s="338"/>
      <c r="F386" s="287"/>
      <c r="G386" s="140">
        <v>122</v>
      </c>
      <c r="H386" s="140">
        <f t="shared" si="73"/>
        <v>21.96</v>
      </c>
      <c r="I386" s="140">
        <f t="shared" si="74"/>
        <v>143.96</v>
      </c>
    </row>
    <row r="387" spans="1:9">
      <c r="A387" s="9"/>
      <c r="B387" s="9"/>
      <c r="C387" s="338"/>
      <c r="D387" s="327"/>
      <c r="E387" s="338"/>
      <c r="F387" s="287"/>
      <c r="G387" s="140">
        <v>123</v>
      </c>
      <c r="H387" s="140">
        <f t="shared" si="73"/>
        <v>22.14</v>
      </c>
      <c r="I387" s="140">
        <f t="shared" si="74"/>
        <v>145.13999999999999</v>
      </c>
    </row>
    <row r="388" spans="1:9">
      <c r="A388" s="9"/>
      <c r="B388" s="9"/>
      <c r="C388" s="338"/>
      <c r="D388" s="327"/>
      <c r="E388" s="338"/>
      <c r="F388" s="287"/>
      <c r="G388" s="140">
        <v>124</v>
      </c>
      <c r="H388" s="140">
        <f t="shared" si="73"/>
        <v>22.32</v>
      </c>
      <c r="I388" s="140">
        <f t="shared" si="74"/>
        <v>146.32</v>
      </c>
    </row>
    <row r="389" spans="1:9">
      <c r="A389" s="9"/>
      <c r="B389" s="9"/>
      <c r="C389" s="338"/>
      <c r="D389" s="327"/>
      <c r="E389" s="338"/>
      <c r="F389" s="287"/>
      <c r="G389" s="140">
        <v>125</v>
      </c>
      <c r="H389" s="140">
        <f t="shared" si="73"/>
        <v>22.5</v>
      </c>
      <c r="I389" s="140">
        <f t="shared" si="74"/>
        <v>147.5</v>
      </c>
    </row>
    <row r="390" spans="1:9">
      <c r="A390" s="9"/>
      <c r="B390" s="9"/>
      <c r="C390" s="338"/>
      <c r="D390" s="327"/>
      <c r="E390" s="338"/>
      <c r="F390" s="287"/>
      <c r="G390" s="140">
        <v>126</v>
      </c>
      <c r="H390" s="140">
        <f t="shared" si="73"/>
        <v>22.68</v>
      </c>
      <c r="I390" s="140">
        <f t="shared" si="74"/>
        <v>148.68</v>
      </c>
    </row>
    <row r="391" spans="1:9">
      <c r="A391" s="9"/>
      <c r="B391" s="9"/>
      <c r="C391" s="338"/>
      <c r="D391" s="327"/>
      <c r="E391" s="338"/>
      <c r="F391" s="287"/>
      <c r="G391" s="140">
        <v>127</v>
      </c>
      <c r="H391" s="140">
        <f t="shared" si="73"/>
        <v>22.86</v>
      </c>
      <c r="I391" s="140">
        <f t="shared" si="74"/>
        <v>149.86000000000001</v>
      </c>
    </row>
    <row r="392" spans="1:9">
      <c r="A392" s="9"/>
      <c r="B392" s="9"/>
      <c r="C392" s="338"/>
      <c r="D392" s="327"/>
      <c r="E392" s="338"/>
      <c r="F392" s="287"/>
      <c r="G392" s="140">
        <v>128</v>
      </c>
      <c r="H392" s="140">
        <f t="shared" si="73"/>
        <v>23.04</v>
      </c>
      <c r="I392" s="140">
        <f t="shared" si="74"/>
        <v>151.04</v>
      </c>
    </row>
    <row r="393" spans="1:9">
      <c r="A393" s="9"/>
      <c r="B393" s="9"/>
      <c r="C393" s="338"/>
      <c r="D393" s="327"/>
      <c r="E393" s="338"/>
      <c r="F393" s="287"/>
      <c r="G393" s="140">
        <v>129</v>
      </c>
      <c r="H393" s="140">
        <f t="shared" si="73"/>
        <v>23.22</v>
      </c>
      <c r="I393" s="140">
        <f t="shared" si="74"/>
        <v>152.22</v>
      </c>
    </row>
    <row r="394" spans="1:9">
      <c r="A394" s="9"/>
      <c r="B394" s="9"/>
      <c r="C394" s="338"/>
      <c r="D394" s="327"/>
      <c r="E394" s="338"/>
      <c r="F394" s="287"/>
      <c r="G394" s="140">
        <v>130</v>
      </c>
      <c r="H394" s="140">
        <f t="shared" si="73"/>
        <v>23.4</v>
      </c>
      <c r="I394" s="140">
        <f t="shared" si="74"/>
        <v>153.4</v>
      </c>
    </row>
    <row r="395" spans="1:9">
      <c r="A395" s="9"/>
      <c r="B395" s="9"/>
      <c r="C395" s="338"/>
      <c r="D395" s="327"/>
      <c r="E395" s="338"/>
      <c r="F395" s="287"/>
      <c r="G395" s="140">
        <v>131</v>
      </c>
      <c r="H395" s="140">
        <f t="shared" si="73"/>
        <v>23.58</v>
      </c>
      <c r="I395" s="140">
        <f t="shared" si="74"/>
        <v>154.57999999999998</v>
      </c>
    </row>
    <row r="396" spans="1:9">
      <c r="A396" s="9"/>
      <c r="B396" s="9"/>
      <c r="C396" s="338"/>
      <c r="D396" s="327"/>
      <c r="E396" s="338"/>
      <c r="F396" s="287"/>
      <c r="G396" s="140">
        <v>132</v>
      </c>
      <c r="H396" s="140">
        <f t="shared" si="73"/>
        <v>23.759999999999998</v>
      </c>
      <c r="I396" s="140">
        <f t="shared" si="74"/>
        <v>155.76</v>
      </c>
    </row>
    <row r="397" spans="1:9">
      <c r="A397" s="9"/>
      <c r="B397" s="9"/>
      <c r="C397" s="338"/>
      <c r="D397" s="327"/>
      <c r="E397" s="338"/>
      <c r="F397" s="287"/>
      <c r="G397" s="140">
        <v>133</v>
      </c>
      <c r="H397" s="140">
        <f t="shared" si="73"/>
        <v>23.939999999999998</v>
      </c>
      <c r="I397" s="140">
        <f t="shared" si="74"/>
        <v>156.94</v>
      </c>
    </row>
    <row r="398" spans="1:9">
      <c r="A398" s="9"/>
      <c r="B398" s="9"/>
      <c r="C398" s="338"/>
      <c r="D398" s="327"/>
      <c r="E398" s="338"/>
      <c r="F398" s="287"/>
      <c r="G398" s="140">
        <v>134</v>
      </c>
      <c r="H398" s="140">
        <f t="shared" si="73"/>
        <v>24.119999999999997</v>
      </c>
      <c r="I398" s="140">
        <f t="shared" si="74"/>
        <v>158.12</v>
      </c>
    </row>
    <row r="399" spans="1:9">
      <c r="A399" s="9"/>
      <c r="B399" s="9"/>
      <c r="C399" s="338"/>
      <c r="D399" s="327"/>
      <c r="E399" s="338"/>
      <c r="F399" s="287"/>
      <c r="G399" s="140">
        <v>135</v>
      </c>
      <c r="H399" s="140">
        <f t="shared" si="73"/>
        <v>24.3</v>
      </c>
      <c r="I399" s="140">
        <f t="shared" si="74"/>
        <v>159.30000000000001</v>
      </c>
    </row>
    <row r="400" spans="1:9">
      <c r="A400" s="9"/>
      <c r="B400" s="9"/>
      <c r="C400" s="338"/>
      <c r="D400" s="327"/>
      <c r="E400" s="338"/>
      <c r="F400" s="287"/>
      <c r="G400" s="140">
        <v>136</v>
      </c>
      <c r="H400" s="140">
        <f t="shared" si="73"/>
        <v>24.48</v>
      </c>
      <c r="I400" s="140">
        <f t="shared" si="74"/>
        <v>160.47999999999999</v>
      </c>
    </row>
    <row r="401" spans="1:9">
      <c r="A401" s="9"/>
      <c r="B401" s="9"/>
      <c r="C401" s="338"/>
      <c r="D401" s="327"/>
      <c r="E401" s="338"/>
      <c r="F401" s="287"/>
      <c r="G401" s="140">
        <v>137</v>
      </c>
      <c r="H401" s="140">
        <f t="shared" si="73"/>
        <v>24.66</v>
      </c>
      <c r="I401" s="140">
        <f t="shared" si="74"/>
        <v>161.66</v>
      </c>
    </row>
    <row r="402" spans="1:9">
      <c r="A402" s="9"/>
      <c r="B402" s="9"/>
      <c r="C402" s="338"/>
      <c r="D402" s="327"/>
      <c r="E402" s="338"/>
      <c r="F402" s="287"/>
      <c r="G402" s="140">
        <v>138</v>
      </c>
      <c r="H402" s="140">
        <f t="shared" si="73"/>
        <v>24.84</v>
      </c>
      <c r="I402" s="140">
        <f t="shared" si="74"/>
        <v>162.84</v>
      </c>
    </row>
    <row r="403" spans="1:9">
      <c r="A403" s="9"/>
      <c r="B403" s="9"/>
      <c r="C403" s="338"/>
      <c r="D403" s="327"/>
      <c r="E403" s="338"/>
      <c r="F403" s="287"/>
      <c r="G403" s="140">
        <v>139</v>
      </c>
      <c r="H403" s="140">
        <f t="shared" si="73"/>
        <v>25.02</v>
      </c>
      <c r="I403" s="140">
        <f t="shared" si="74"/>
        <v>164.02</v>
      </c>
    </row>
    <row r="404" spans="1:9">
      <c r="A404" s="9"/>
      <c r="B404" s="9"/>
      <c r="C404" s="338"/>
      <c r="D404" s="327"/>
      <c r="E404" s="338"/>
      <c r="F404" s="287"/>
      <c r="G404" s="140">
        <v>140</v>
      </c>
      <c r="H404" s="140">
        <f t="shared" si="73"/>
        <v>25.2</v>
      </c>
      <c r="I404" s="140">
        <f t="shared" si="74"/>
        <v>165.2</v>
      </c>
    </row>
    <row r="405" spans="1:9">
      <c r="A405" s="9"/>
      <c r="B405" s="9"/>
      <c r="C405" s="338"/>
      <c r="D405" s="327"/>
      <c r="E405" s="338"/>
      <c r="F405" s="287"/>
      <c r="G405" s="140">
        <v>141</v>
      </c>
      <c r="H405" s="140">
        <f t="shared" si="73"/>
        <v>25.38</v>
      </c>
      <c r="I405" s="140">
        <f t="shared" si="74"/>
        <v>166.38</v>
      </c>
    </row>
    <row r="406" spans="1:9">
      <c r="A406" s="9"/>
      <c r="B406" s="9"/>
      <c r="C406" s="338"/>
      <c r="D406" s="327"/>
      <c r="E406" s="338"/>
      <c r="F406" s="287"/>
      <c r="G406" s="140">
        <v>142</v>
      </c>
      <c r="H406" s="140">
        <f t="shared" si="73"/>
        <v>25.56</v>
      </c>
      <c r="I406" s="140">
        <f t="shared" si="74"/>
        <v>167.56</v>
      </c>
    </row>
    <row r="407" spans="1:9">
      <c r="A407" s="9"/>
      <c r="B407" s="9"/>
      <c r="C407" s="338"/>
      <c r="D407" s="327"/>
      <c r="E407" s="338"/>
      <c r="F407" s="287"/>
      <c r="G407" s="140">
        <v>143</v>
      </c>
      <c r="H407" s="140">
        <f t="shared" si="73"/>
        <v>25.74</v>
      </c>
      <c r="I407" s="140">
        <f t="shared" si="74"/>
        <v>168.74</v>
      </c>
    </row>
    <row r="408" spans="1:9">
      <c r="A408" s="9"/>
      <c r="B408" s="9"/>
      <c r="C408" s="338"/>
      <c r="D408" s="327"/>
      <c r="E408" s="338"/>
      <c r="F408" s="287"/>
      <c r="G408" s="140">
        <v>144</v>
      </c>
      <c r="H408" s="140">
        <f t="shared" ref="H408:H451" si="75">G408*0.18</f>
        <v>25.919999999999998</v>
      </c>
      <c r="I408" s="140">
        <f t="shared" ref="I408:I451" si="76">SUM(G408:H408)</f>
        <v>169.92</v>
      </c>
    </row>
    <row r="409" spans="1:9">
      <c r="A409" s="9"/>
      <c r="B409" s="9"/>
      <c r="C409" s="338"/>
      <c r="D409" s="327"/>
      <c r="E409" s="338"/>
      <c r="F409" s="287"/>
      <c r="G409" s="140">
        <v>145</v>
      </c>
      <c r="H409" s="140">
        <f t="shared" si="75"/>
        <v>26.099999999999998</v>
      </c>
      <c r="I409" s="140">
        <f t="shared" si="76"/>
        <v>171.1</v>
      </c>
    </row>
    <row r="410" spans="1:9">
      <c r="A410" s="9"/>
      <c r="B410" s="9"/>
      <c r="C410" s="338"/>
      <c r="D410" s="327"/>
      <c r="E410" s="338"/>
      <c r="F410" s="287"/>
      <c r="G410" s="140">
        <v>146</v>
      </c>
      <c r="H410" s="140">
        <f t="shared" si="75"/>
        <v>26.279999999999998</v>
      </c>
      <c r="I410" s="140">
        <f t="shared" si="76"/>
        <v>172.28</v>
      </c>
    </row>
    <row r="411" spans="1:9">
      <c r="A411" s="9"/>
      <c r="B411" s="9"/>
      <c r="C411" s="338"/>
      <c r="D411" s="327"/>
      <c r="E411" s="338"/>
      <c r="F411" s="287"/>
      <c r="G411" s="140">
        <v>147</v>
      </c>
      <c r="H411" s="140">
        <f t="shared" si="75"/>
        <v>26.459999999999997</v>
      </c>
      <c r="I411" s="140">
        <f t="shared" si="76"/>
        <v>173.46</v>
      </c>
    </row>
    <row r="412" spans="1:9">
      <c r="A412" s="9"/>
      <c r="B412" s="9"/>
      <c r="C412" s="338"/>
      <c r="D412" s="327"/>
      <c r="E412" s="338"/>
      <c r="F412" s="287"/>
      <c r="G412" s="140">
        <v>148</v>
      </c>
      <c r="H412" s="140">
        <f t="shared" si="75"/>
        <v>26.64</v>
      </c>
      <c r="I412" s="140">
        <f t="shared" si="76"/>
        <v>174.64</v>
      </c>
    </row>
    <row r="413" spans="1:9">
      <c r="A413" s="9"/>
      <c r="B413" s="9"/>
      <c r="C413" s="338"/>
      <c r="D413" s="327"/>
      <c r="E413" s="338"/>
      <c r="F413" s="287"/>
      <c r="G413" s="140">
        <v>149</v>
      </c>
      <c r="H413" s="140">
        <f t="shared" si="75"/>
        <v>26.82</v>
      </c>
      <c r="I413" s="140">
        <f t="shared" si="76"/>
        <v>175.82</v>
      </c>
    </row>
    <row r="414" spans="1:9">
      <c r="A414" s="9"/>
      <c r="B414" s="9"/>
      <c r="C414" s="338"/>
      <c r="D414" s="327"/>
      <c r="E414" s="338"/>
      <c r="F414" s="287"/>
      <c r="G414" s="140">
        <v>150</v>
      </c>
      <c r="H414" s="140">
        <f t="shared" si="75"/>
        <v>27</v>
      </c>
      <c r="I414" s="140">
        <f t="shared" si="76"/>
        <v>177</v>
      </c>
    </row>
    <row r="415" spans="1:9">
      <c r="A415" s="9"/>
      <c r="B415" s="9"/>
      <c r="C415" s="338"/>
      <c r="D415" s="327"/>
      <c r="E415" s="338"/>
      <c r="F415" s="287"/>
      <c r="G415" s="140">
        <v>151</v>
      </c>
      <c r="H415" s="140">
        <f t="shared" si="75"/>
        <v>27.18</v>
      </c>
      <c r="I415" s="140">
        <f t="shared" si="76"/>
        <v>178.18</v>
      </c>
    </row>
    <row r="416" spans="1:9">
      <c r="A416" s="9"/>
      <c r="B416" s="9"/>
      <c r="C416" s="338"/>
      <c r="D416" s="327"/>
      <c r="E416" s="338"/>
      <c r="F416" s="287"/>
      <c r="G416" s="140">
        <v>152</v>
      </c>
      <c r="H416" s="140">
        <f t="shared" si="75"/>
        <v>27.36</v>
      </c>
      <c r="I416" s="140">
        <f t="shared" si="76"/>
        <v>179.36</v>
      </c>
    </row>
    <row r="417" spans="1:9">
      <c r="A417" s="9"/>
      <c r="B417" s="9"/>
      <c r="C417" s="338"/>
      <c r="D417" s="327"/>
      <c r="E417" s="338"/>
      <c r="F417" s="287"/>
      <c r="G417" s="140">
        <v>153</v>
      </c>
      <c r="H417" s="140">
        <f t="shared" si="75"/>
        <v>27.54</v>
      </c>
      <c r="I417" s="140">
        <f t="shared" si="76"/>
        <v>180.54</v>
      </c>
    </row>
    <row r="418" spans="1:9">
      <c r="A418" s="9"/>
      <c r="B418" s="9"/>
      <c r="C418" s="338"/>
      <c r="D418" s="327"/>
      <c r="E418" s="338"/>
      <c r="F418" s="287"/>
      <c r="G418" s="140">
        <v>154</v>
      </c>
      <c r="H418" s="140">
        <f t="shared" si="75"/>
        <v>27.72</v>
      </c>
      <c r="I418" s="140">
        <f t="shared" si="76"/>
        <v>181.72</v>
      </c>
    </row>
    <row r="419" spans="1:9">
      <c r="A419" s="9"/>
      <c r="B419" s="9"/>
      <c r="C419" s="338"/>
      <c r="D419" s="327"/>
      <c r="E419" s="338"/>
      <c r="F419" s="287"/>
      <c r="G419" s="140">
        <v>155</v>
      </c>
      <c r="H419" s="140">
        <f t="shared" si="75"/>
        <v>27.9</v>
      </c>
      <c r="I419" s="140">
        <f t="shared" si="76"/>
        <v>182.9</v>
      </c>
    </row>
    <row r="420" spans="1:9">
      <c r="A420" s="9"/>
      <c r="B420" s="9"/>
      <c r="C420" s="338"/>
      <c r="D420" s="327"/>
      <c r="E420" s="338"/>
      <c r="F420" s="287"/>
      <c r="G420" s="140">
        <v>156</v>
      </c>
      <c r="H420" s="140">
        <f t="shared" si="75"/>
        <v>28.08</v>
      </c>
      <c r="I420" s="140">
        <f t="shared" si="76"/>
        <v>184.07999999999998</v>
      </c>
    </row>
    <row r="421" spans="1:9">
      <c r="A421" s="9"/>
      <c r="B421" s="9"/>
      <c r="C421" s="338"/>
      <c r="D421" s="327"/>
      <c r="E421" s="338"/>
      <c r="F421" s="287"/>
      <c r="G421" s="140">
        <v>157</v>
      </c>
      <c r="H421" s="140">
        <f t="shared" si="75"/>
        <v>28.259999999999998</v>
      </c>
      <c r="I421" s="140">
        <f t="shared" si="76"/>
        <v>185.26</v>
      </c>
    </row>
    <row r="422" spans="1:9">
      <c r="A422" s="9"/>
      <c r="B422" s="9"/>
      <c r="C422" s="338"/>
      <c r="D422" s="327"/>
      <c r="E422" s="338"/>
      <c r="F422" s="287"/>
      <c r="G422" s="140">
        <v>158</v>
      </c>
      <c r="H422" s="140">
        <f t="shared" si="75"/>
        <v>28.439999999999998</v>
      </c>
      <c r="I422" s="140">
        <f t="shared" si="76"/>
        <v>186.44</v>
      </c>
    </row>
    <row r="423" spans="1:9">
      <c r="A423" s="9"/>
      <c r="B423" s="9"/>
      <c r="C423" s="338"/>
      <c r="D423" s="327"/>
      <c r="E423" s="338"/>
      <c r="F423" s="287"/>
      <c r="G423" s="140">
        <v>159</v>
      </c>
      <c r="H423" s="140">
        <f t="shared" si="75"/>
        <v>28.619999999999997</v>
      </c>
      <c r="I423" s="140">
        <f t="shared" si="76"/>
        <v>187.62</v>
      </c>
    </row>
    <row r="424" spans="1:9">
      <c r="A424" s="9"/>
      <c r="B424" s="9"/>
      <c r="C424" s="338"/>
      <c r="D424" s="327"/>
      <c r="E424" s="338"/>
      <c r="F424" s="287"/>
      <c r="G424" s="140">
        <v>160</v>
      </c>
      <c r="H424" s="140">
        <f t="shared" si="75"/>
        <v>28.799999999999997</v>
      </c>
      <c r="I424" s="140">
        <f t="shared" si="76"/>
        <v>188.8</v>
      </c>
    </row>
    <row r="425" spans="1:9">
      <c r="A425" s="9"/>
      <c r="B425" s="9"/>
      <c r="C425" s="338"/>
      <c r="D425" s="327"/>
      <c r="E425" s="338"/>
      <c r="F425" s="287"/>
      <c r="G425" s="140">
        <v>161</v>
      </c>
      <c r="H425" s="140">
        <f t="shared" si="75"/>
        <v>28.98</v>
      </c>
      <c r="I425" s="140">
        <f t="shared" si="76"/>
        <v>189.98</v>
      </c>
    </row>
    <row r="426" spans="1:9">
      <c r="A426" s="9"/>
      <c r="B426" s="9"/>
      <c r="C426" s="338"/>
      <c r="D426" s="327"/>
      <c r="E426" s="338"/>
      <c r="F426" s="287"/>
      <c r="G426" s="140">
        <v>162</v>
      </c>
      <c r="H426" s="140">
        <f t="shared" si="75"/>
        <v>29.16</v>
      </c>
      <c r="I426" s="140">
        <f t="shared" si="76"/>
        <v>191.16</v>
      </c>
    </row>
    <row r="427" spans="1:9">
      <c r="A427" s="9"/>
      <c r="B427" s="9"/>
      <c r="C427" s="338"/>
      <c r="D427" s="327"/>
      <c r="E427" s="338"/>
      <c r="F427" s="287"/>
      <c r="G427" s="140">
        <v>163</v>
      </c>
      <c r="H427" s="140">
        <f t="shared" si="75"/>
        <v>29.34</v>
      </c>
      <c r="I427" s="140">
        <f t="shared" si="76"/>
        <v>192.34</v>
      </c>
    </row>
    <row r="428" spans="1:9">
      <c r="A428" s="9"/>
      <c r="B428" s="9"/>
      <c r="C428" s="338"/>
      <c r="D428" s="327"/>
      <c r="E428" s="338"/>
      <c r="F428" s="287"/>
      <c r="G428" s="140">
        <v>164</v>
      </c>
      <c r="H428" s="140">
        <f t="shared" si="75"/>
        <v>29.52</v>
      </c>
      <c r="I428" s="140">
        <f t="shared" si="76"/>
        <v>193.52</v>
      </c>
    </row>
    <row r="429" spans="1:9">
      <c r="A429" s="9"/>
      <c r="B429" s="9"/>
      <c r="C429" s="338"/>
      <c r="D429" s="327"/>
      <c r="E429" s="338"/>
      <c r="F429" s="287"/>
      <c r="G429" s="140">
        <v>165</v>
      </c>
      <c r="H429" s="140">
        <f t="shared" si="75"/>
        <v>29.7</v>
      </c>
      <c r="I429" s="140">
        <f t="shared" si="76"/>
        <v>194.7</v>
      </c>
    </row>
    <row r="430" spans="1:9">
      <c r="A430" s="9"/>
      <c r="B430" s="9"/>
      <c r="C430" s="338"/>
      <c r="D430" s="327"/>
      <c r="E430" s="338"/>
      <c r="F430" s="287"/>
      <c r="G430" s="140">
        <v>166</v>
      </c>
      <c r="H430" s="140">
        <f t="shared" si="75"/>
        <v>29.88</v>
      </c>
      <c r="I430" s="140">
        <f t="shared" si="76"/>
        <v>195.88</v>
      </c>
    </row>
    <row r="431" spans="1:9">
      <c r="A431" s="9"/>
      <c r="B431" s="9"/>
      <c r="C431" s="338"/>
      <c r="D431" s="327"/>
      <c r="E431" s="338"/>
      <c r="F431" s="287"/>
      <c r="G431" s="140">
        <v>167</v>
      </c>
      <c r="H431" s="140">
        <f t="shared" si="75"/>
        <v>30.06</v>
      </c>
      <c r="I431" s="140">
        <f t="shared" si="76"/>
        <v>197.06</v>
      </c>
    </row>
    <row r="432" spans="1:9">
      <c r="A432" s="9"/>
      <c r="B432" s="9"/>
      <c r="C432" s="338"/>
      <c r="D432" s="327"/>
      <c r="E432" s="338"/>
      <c r="F432" s="287"/>
      <c r="G432" s="140">
        <v>168</v>
      </c>
      <c r="H432" s="140">
        <f t="shared" si="75"/>
        <v>30.24</v>
      </c>
      <c r="I432" s="140">
        <f t="shared" si="76"/>
        <v>198.24</v>
      </c>
    </row>
    <row r="433" spans="1:9">
      <c r="A433" s="9"/>
      <c r="B433" s="9"/>
      <c r="C433" s="338"/>
      <c r="D433" s="327"/>
      <c r="E433" s="338"/>
      <c r="F433" s="287"/>
      <c r="G433" s="140">
        <v>169</v>
      </c>
      <c r="H433" s="140">
        <f t="shared" si="75"/>
        <v>30.419999999999998</v>
      </c>
      <c r="I433" s="140">
        <f t="shared" si="76"/>
        <v>199.42</v>
      </c>
    </row>
    <row r="434" spans="1:9">
      <c r="A434" s="9"/>
      <c r="B434" s="9"/>
      <c r="C434" s="338"/>
      <c r="D434" s="327"/>
      <c r="E434" s="338"/>
      <c r="F434" s="287"/>
      <c r="G434" s="140">
        <v>170</v>
      </c>
      <c r="H434" s="140">
        <f t="shared" si="75"/>
        <v>30.599999999999998</v>
      </c>
      <c r="I434" s="140">
        <f t="shared" si="76"/>
        <v>200.6</v>
      </c>
    </row>
    <row r="435" spans="1:9">
      <c r="A435" s="9"/>
      <c r="B435" s="9"/>
      <c r="C435" s="338"/>
      <c r="D435" s="327"/>
      <c r="E435" s="338"/>
      <c r="F435" s="287"/>
      <c r="G435" s="140">
        <v>171</v>
      </c>
      <c r="H435" s="140">
        <f t="shared" si="75"/>
        <v>30.779999999999998</v>
      </c>
      <c r="I435" s="140">
        <f t="shared" si="76"/>
        <v>201.78</v>
      </c>
    </row>
    <row r="436" spans="1:9">
      <c r="A436" s="9"/>
      <c r="B436" s="9"/>
      <c r="C436" s="338"/>
      <c r="D436" s="327"/>
      <c r="E436" s="338"/>
      <c r="F436" s="287"/>
      <c r="G436" s="140">
        <v>172</v>
      </c>
      <c r="H436" s="140">
        <f t="shared" si="75"/>
        <v>30.959999999999997</v>
      </c>
      <c r="I436" s="140">
        <f t="shared" si="76"/>
        <v>202.96</v>
      </c>
    </row>
    <row r="437" spans="1:9">
      <c r="A437" s="9"/>
      <c r="B437" s="9"/>
      <c r="C437" s="338"/>
      <c r="D437" s="327"/>
      <c r="E437" s="338"/>
      <c r="F437" s="287"/>
      <c r="G437" s="140">
        <v>173</v>
      </c>
      <c r="H437" s="140">
        <f t="shared" si="75"/>
        <v>31.14</v>
      </c>
      <c r="I437" s="140">
        <f t="shared" si="76"/>
        <v>204.14</v>
      </c>
    </row>
    <row r="438" spans="1:9">
      <c r="A438" s="9"/>
      <c r="B438" s="9"/>
      <c r="C438" s="338"/>
      <c r="D438" s="327"/>
      <c r="E438" s="338"/>
      <c r="F438" s="287"/>
      <c r="G438" s="140">
        <v>174</v>
      </c>
      <c r="H438" s="140">
        <f t="shared" si="75"/>
        <v>31.32</v>
      </c>
      <c r="I438" s="140">
        <f t="shared" si="76"/>
        <v>205.32</v>
      </c>
    </row>
    <row r="439" spans="1:9">
      <c r="A439" s="9"/>
      <c r="B439" s="9"/>
      <c r="C439" s="338"/>
      <c r="D439" s="327"/>
      <c r="E439" s="338"/>
      <c r="F439" s="287"/>
      <c r="G439" s="140">
        <v>175</v>
      </c>
      <c r="H439" s="140">
        <f t="shared" si="75"/>
        <v>31.5</v>
      </c>
      <c r="I439" s="140">
        <f t="shared" si="76"/>
        <v>206.5</v>
      </c>
    </row>
    <row r="440" spans="1:9">
      <c r="A440" s="9"/>
      <c r="B440" s="9"/>
      <c r="C440" s="338"/>
      <c r="D440" s="327"/>
      <c r="E440" s="338"/>
      <c r="F440" s="287"/>
      <c r="G440" s="140">
        <v>176</v>
      </c>
      <c r="H440" s="140">
        <f t="shared" si="75"/>
        <v>31.68</v>
      </c>
      <c r="I440" s="140">
        <f t="shared" si="76"/>
        <v>207.68</v>
      </c>
    </row>
    <row r="441" spans="1:9">
      <c r="A441" s="9"/>
      <c r="B441" s="9"/>
      <c r="C441" s="338"/>
      <c r="D441" s="327"/>
      <c r="E441" s="338"/>
      <c r="F441" s="287"/>
      <c r="G441" s="140">
        <v>177</v>
      </c>
      <c r="H441" s="140">
        <f t="shared" si="75"/>
        <v>31.86</v>
      </c>
      <c r="I441" s="140">
        <f t="shared" si="76"/>
        <v>208.86</v>
      </c>
    </row>
    <row r="442" spans="1:9">
      <c r="A442" s="9"/>
      <c r="B442" s="9"/>
      <c r="C442" s="338"/>
      <c r="D442" s="327"/>
      <c r="E442" s="338"/>
      <c r="F442" s="287"/>
      <c r="G442" s="140">
        <v>178</v>
      </c>
      <c r="H442" s="140">
        <f t="shared" si="75"/>
        <v>32.04</v>
      </c>
      <c r="I442" s="140">
        <f t="shared" si="76"/>
        <v>210.04</v>
      </c>
    </row>
    <row r="443" spans="1:9">
      <c r="A443" s="9"/>
      <c r="B443" s="9"/>
      <c r="C443" s="338"/>
      <c r="D443" s="327"/>
      <c r="E443" s="338"/>
      <c r="F443" s="287"/>
      <c r="G443" s="140">
        <v>179</v>
      </c>
      <c r="H443" s="140">
        <f t="shared" si="75"/>
        <v>32.22</v>
      </c>
      <c r="I443" s="140">
        <f t="shared" si="76"/>
        <v>211.22</v>
      </c>
    </row>
    <row r="444" spans="1:9">
      <c r="A444" s="9"/>
      <c r="B444" s="9"/>
      <c r="C444" s="338"/>
      <c r="D444" s="327"/>
      <c r="E444" s="338"/>
      <c r="F444" s="287"/>
      <c r="G444" s="140">
        <v>180</v>
      </c>
      <c r="H444" s="140">
        <f t="shared" si="75"/>
        <v>32.4</v>
      </c>
      <c r="I444" s="140">
        <f t="shared" si="76"/>
        <v>212.4</v>
      </c>
    </row>
    <row r="445" spans="1:9">
      <c r="A445" s="9"/>
      <c r="B445" s="9"/>
      <c r="C445" s="338"/>
      <c r="D445" s="327"/>
      <c r="E445" s="338"/>
      <c r="F445" s="287"/>
      <c r="G445" s="140">
        <v>181</v>
      </c>
      <c r="H445" s="140">
        <f t="shared" si="75"/>
        <v>32.58</v>
      </c>
      <c r="I445" s="140">
        <f t="shared" si="76"/>
        <v>213.57999999999998</v>
      </c>
    </row>
    <row r="446" spans="1:9">
      <c r="A446" s="9"/>
      <c r="B446" s="9"/>
      <c r="C446" s="338"/>
      <c r="D446" s="327"/>
      <c r="E446" s="338"/>
      <c r="F446" s="287"/>
      <c r="G446" s="140">
        <v>182</v>
      </c>
      <c r="H446" s="140">
        <f t="shared" si="75"/>
        <v>32.76</v>
      </c>
      <c r="I446" s="140">
        <f t="shared" si="76"/>
        <v>214.76</v>
      </c>
    </row>
    <row r="447" spans="1:9">
      <c r="A447" s="9"/>
      <c r="B447" s="9"/>
      <c r="C447" s="338"/>
      <c r="D447" s="327"/>
      <c r="E447" s="338"/>
      <c r="F447" s="287"/>
      <c r="G447" s="140">
        <v>183</v>
      </c>
      <c r="H447" s="140">
        <f t="shared" si="75"/>
        <v>32.94</v>
      </c>
      <c r="I447" s="140">
        <f t="shared" si="76"/>
        <v>215.94</v>
      </c>
    </row>
    <row r="448" spans="1:9">
      <c r="A448" s="9"/>
      <c r="B448" s="9"/>
      <c r="C448" s="338"/>
      <c r="D448" s="327"/>
      <c r="E448" s="338"/>
      <c r="F448" s="287"/>
      <c r="G448" s="140">
        <v>184</v>
      </c>
      <c r="H448" s="140">
        <f t="shared" si="75"/>
        <v>33.119999999999997</v>
      </c>
      <c r="I448" s="140">
        <f t="shared" si="76"/>
        <v>217.12</v>
      </c>
    </row>
    <row r="449" spans="1:9">
      <c r="A449" s="9"/>
      <c r="B449" s="9"/>
      <c r="C449" s="338"/>
      <c r="D449" s="327"/>
      <c r="E449" s="338"/>
      <c r="F449" s="287"/>
      <c r="G449" s="140">
        <v>185</v>
      </c>
      <c r="H449" s="140">
        <f t="shared" si="75"/>
        <v>33.299999999999997</v>
      </c>
      <c r="I449" s="140">
        <f t="shared" si="76"/>
        <v>218.3</v>
      </c>
    </row>
    <row r="450" spans="1:9">
      <c r="A450" s="9"/>
      <c r="B450" s="9"/>
      <c r="C450" s="338"/>
      <c r="D450" s="327"/>
      <c r="E450" s="338"/>
      <c r="F450" s="287"/>
      <c r="G450" s="140">
        <v>186</v>
      </c>
      <c r="H450" s="140">
        <f t="shared" si="75"/>
        <v>33.479999999999997</v>
      </c>
      <c r="I450" s="140">
        <f t="shared" si="76"/>
        <v>219.48</v>
      </c>
    </row>
    <row r="451" spans="1:9">
      <c r="A451" s="9"/>
      <c r="B451" s="9"/>
      <c r="C451" s="338"/>
      <c r="D451" s="327"/>
      <c r="E451" s="338"/>
      <c r="F451" s="287"/>
      <c r="G451" s="140">
        <v>187</v>
      </c>
      <c r="H451" s="140">
        <f t="shared" si="75"/>
        <v>33.659999999999997</v>
      </c>
      <c r="I451" s="140">
        <f t="shared" si="76"/>
        <v>220.66</v>
      </c>
    </row>
    <row r="682" spans="1:8">
      <c r="A682" s="9" t="s">
        <v>457</v>
      </c>
      <c r="B682" s="9"/>
      <c r="C682" s="317">
        <v>12</v>
      </c>
      <c r="D682" s="317" t="s">
        <v>458</v>
      </c>
      <c r="E682" s="317"/>
      <c r="F682" s="287"/>
      <c r="G682" s="325">
        <v>50677.11</v>
      </c>
      <c r="H682" s="317">
        <v>108424</v>
      </c>
    </row>
    <row r="683" spans="1:8">
      <c r="A683" s="9" t="s">
        <v>457</v>
      </c>
      <c r="B683" s="9"/>
      <c r="C683" s="317">
        <v>16</v>
      </c>
      <c r="D683" s="317" t="s">
        <v>459</v>
      </c>
      <c r="E683" s="317"/>
      <c r="F683" s="287"/>
      <c r="G683" s="325">
        <v>57216.42</v>
      </c>
      <c r="H683" s="317">
        <v>108010</v>
      </c>
    </row>
    <row r="684" spans="1:8">
      <c r="A684" s="9" t="s">
        <v>457</v>
      </c>
      <c r="B684" s="9"/>
      <c r="C684" s="317">
        <v>24</v>
      </c>
      <c r="D684" s="317" t="s">
        <v>460</v>
      </c>
      <c r="E684" s="317"/>
      <c r="F684" s="287"/>
      <c r="G684" s="325">
        <v>67201.100000000006</v>
      </c>
      <c r="H684" s="317">
        <v>108000</v>
      </c>
    </row>
    <row r="685" spans="1:8">
      <c r="A685" s="322" t="s">
        <v>457</v>
      </c>
      <c r="B685" s="322"/>
      <c r="C685" s="134">
        <v>30</v>
      </c>
      <c r="D685" s="134" t="s">
        <v>461</v>
      </c>
      <c r="E685" s="134"/>
      <c r="F685" s="324"/>
      <c r="G685" s="326">
        <v>192000</v>
      </c>
      <c r="H685" s="134">
        <v>108428</v>
      </c>
    </row>
    <row r="686" spans="1:8">
      <c r="A686" s="9" t="s">
        <v>457</v>
      </c>
      <c r="B686" s="9"/>
      <c r="C686" s="317">
        <v>42</v>
      </c>
      <c r="D686" s="317" t="s">
        <v>462</v>
      </c>
      <c r="E686" s="317"/>
      <c r="F686" s="287"/>
      <c r="G686" s="325">
        <v>235460</v>
      </c>
      <c r="H686" s="317">
        <v>108429</v>
      </c>
    </row>
    <row r="687" spans="1:8">
      <c r="A687" s="322" t="s">
        <v>463</v>
      </c>
      <c r="B687" s="322"/>
      <c r="C687" s="134">
        <v>12</v>
      </c>
      <c r="D687" s="134" t="s">
        <v>464</v>
      </c>
      <c r="E687" s="134"/>
      <c r="F687" s="324"/>
      <c r="G687" s="326">
        <v>25656.65</v>
      </c>
      <c r="H687" s="134">
        <v>108011</v>
      </c>
    </row>
    <row r="688" spans="1:8">
      <c r="A688" s="322" t="s">
        <v>463</v>
      </c>
      <c r="B688" s="322"/>
      <c r="C688" s="134">
        <v>16</v>
      </c>
      <c r="D688" s="134" t="s">
        <v>464</v>
      </c>
      <c r="E688" s="134"/>
      <c r="F688" s="324"/>
      <c r="G688" s="326">
        <v>25656.65</v>
      </c>
      <c r="H688" s="134">
        <v>108011</v>
      </c>
    </row>
    <row r="689" spans="1:8">
      <c r="A689" s="322" t="s">
        <v>463</v>
      </c>
      <c r="B689" s="322"/>
      <c r="C689" s="134">
        <v>24</v>
      </c>
      <c r="D689" s="134" t="s">
        <v>465</v>
      </c>
      <c r="E689" s="134"/>
      <c r="F689" s="324"/>
      <c r="G689" s="326">
        <v>31764.3</v>
      </c>
      <c r="H689" s="134">
        <v>108001</v>
      </c>
    </row>
    <row r="690" spans="1:8">
      <c r="A690" s="9" t="s">
        <v>463</v>
      </c>
      <c r="B690" s="9"/>
      <c r="C690" s="317">
        <v>30</v>
      </c>
      <c r="D690" s="317" t="s">
        <v>466</v>
      </c>
      <c r="E690" s="317"/>
      <c r="F690" s="287"/>
      <c r="G690" s="325">
        <v>0</v>
      </c>
    </row>
    <row r="691" spans="1:8">
      <c r="A691" s="9" t="s">
        <v>463</v>
      </c>
      <c r="B691" s="9"/>
      <c r="C691" s="317">
        <v>42</v>
      </c>
      <c r="D691" s="317" t="s">
        <v>467</v>
      </c>
      <c r="E691" s="317"/>
      <c r="F691" s="287"/>
      <c r="G691" s="325">
        <v>0</v>
      </c>
    </row>
    <row r="692" spans="1:8">
      <c r="A692" s="9" t="s">
        <v>468</v>
      </c>
      <c r="B692" s="9"/>
      <c r="C692" s="317"/>
      <c r="D692" s="317" t="s">
        <v>469</v>
      </c>
      <c r="E692" s="317"/>
      <c r="F692" s="287"/>
      <c r="G692" s="325">
        <v>0</v>
      </c>
      <c r="H692" s="317"/>
    </row>
    <row r="693" spans="1:8">
      <c r="A693" s="9" t="s">
        <v>468</v>
      </c>
      <c r="B693" s="9"/>
      <c r="C693" s="317"/>
      <c r="D693" s="317" t="s">
        <v>470</v>
      </c>
      <c r="E693" s="317"/>
      <c r="F693" s="287"/>
      <c r="G693" s="325">
        <v>76819.117599999998</v>
      </c>
      <c r="H693" s="317">
        <v>108599</v>
      </c>
    </row>
    <row r="694" spans="1:8">
      <c r="A694" s="9" t="s">
        <v>468</v>
      </c>
      <c r="B694" s="9"/>
      <c r="C694" s="317"/>
      <c r="D694" s="317" t="s">
        <v>471</v>
      </c>
      <c r="E694" s="317"/>
      <c r="F694" s="287"/>
      <c r="G694" s="325">
        <v>76819.117599999998</v>
      </c>
      <c r="H694" s="317">
        <v>108600</v>
      </c>
    </row>
    <row r="695" spans="1:8">
      <c r="A695" s="9" t="s">
        <v>468</v>
      </c>
      <c r="B695" s="9"/>
      <c r="C695" s="317"/>
      <c r="D695" s="317" t="s">
        <v>472</v>
      </c>
      <c r="E695" s="317"/>
      <c r="F695" s="287"/>
      <c r="G695" s="325">
        <v>76819.117599999998</v>
      </c>
      <c r="H695" s="317">
        <v>108601</v>
      </c>
    </row>
    <row r="696" spans="1:8">
      <c r="A696" s="9" t="s">
        <v>468</v>
      </c>
      <c r="B696" s="9"/>
      <c r="C696" s="317"/>
      <c r="D696" s="317" t="s">
        <v>473</v>
      </c>
      <c r="E696" s="317"/>
      <c r="F696" s="287"/>
      <c r="G696" s="325">
        <v>116564.0539</v>
      </c>
      <c r="H696" s="317">
        <v>108602</v>
      </c>
    </row>
    <row r="697" spans="1:8">
      <c r="A697" s="9" t="s">
        <v>468</v>
      </c>
      <c r="B697" s="9"/>
      <c r="C697" s="317"/>
      <c r="D697" s="317" t="s">
        <v>474</v>
      </c>
      <c r="E697" s="317"/>
      <c r="F697" s="287"/>
      <c r="G697" s="325">
        <v>152660</v>
      </c>
      <c r="H697" s="317">
        <v>108414</v>
      </c>
    </row>
    <row r="698" spans="1:8">
      <c r="A698" s="9" t="s">
        <v>468</v>
      </c>
      <c r="B698" s="9"/>
      <c r="C698" s="317"/>
      <c r="D698" s="317" t="s">
        <v>475</v>
      </c>
      <c r="E698" s="317"/>
      <c r="F698" s="287"/>
      <c r="G698" s="325">
        <v>152660</v>
      </c>
      <c r="H698" s="317">
        <v>108604</v>
      </c>
    </row>
    <row r="699" spans="1:8">
      <c r="A699" s="9" t="s">
        <v>468</v>
      </c>
      <c r="B699" s="9"/>
      <c r="C699" s="317"/>
      <c r="D699" s="317" t="s">
        <v>476</v>
      </c>
      <c r="E699" s="317"/>
      <c r="F699" s="287"/>
      <c r="G699" s="325">
        <v>152660</v>
      </c>
      <c r="H699" s="317">
        <v>108605</v>
      </c>
    </row>
    <row r="700" spans="1:8">
      <c r="A700" s="9" t="s">
        <v>468</v>
      </c>
      <c r="B700" s="9"/>
      <c r="C700" s="317"/>
      <c r="D700" s="317" t="s">
        <v>477</v>
      </c>
      <c r="E700" s="317"/>
      <c r="F700" s="287"/>
      <c r="G700" s="325">
        <v>152660</v>
      </c>
      <c r="H700" s="317">
        <v>108606</v>
      </c>
    </row>
    <row r="701" spans="1:8">
      <c r="A701" s="9" t="s">
        <v>468</v>
      </c>
      <c r="B701" s="9"/>
      <c r="C701" s="317"/>
      <c r="D701" s="317" t="s">
        <v>478</v>
      </c>
      <c r="E701" s="317"/>
      <c r="F701" s="287"/>
      <c r="G701" s="325">
        <v>152660</v>
      </c>
      <c r="H701" s="317">
        <v>108607</v>
      </c>
    </row>
    <row r="702" spans="1:8">
      <c r="A702" s="9" t="s">
        <v>468</v>
      </c>
      <c r="B702" s="9"/>
      <c r="C702" s="317"/>
      <c r="D702" s="317" t="s">
        <v>479</v>
      </c>
      <c r="E702" s="317"/>
      <c r="F702" s="287"/>
      <c r="G702" s="325">
        <v>152660</v>
      </c>
      <c r="H702" s="317">
        <v>108608</v>
      </c>
    </row>
    <row r="703" spans="1:8">
      <c r="A703" s="9" t="s">
        <v>480</v>
      </c>
      <c r="B703" s="9"/>
      <c r="C703" s="317"/>
      <c r="D703" s="317">
        <v>100</v>
      </c>
      <c r="E703" s="317"/>
      <c r="F703" s="287"/>
      <c r="G703" s="325"/>
    </row>
    <row r="704" spans="1:8">
      <c r="A704" s="9" t="s">
        <v>480</v>
      </c>
      <c r="B704" s="9"/>
      <c r="C704" s="317"/>
      <c r="D704" s="317">
        <v>200</v>
      </c>
      <c r="E704" s="317"/>
      <c r="F704" s="287"/>
      <c r="G704" s="325"/>
    </row>
    <row r="705" spans="1:8">
      <c r="A705" s="9" t="s">
        <v>480</v>
      </c>
      <c r="B705" s="9"/>
      <c r="C705" s="317"/>
      <c r="D705" s="317" t="s">
        <v>481</v>
      </c>
      <c r="E705" s="317"/>
      <c r="F705" s="287"/>
      <c r="G705" s="325"/>
    </row>
    <row r="706" spans="1:8">
      <c r="A706" s="9" t="s">
        <v>482</v>
      </c>
      <c r="B706" s="9"/>
      <c r="C706" s="317" t="s">
        <v>483</v>
      </c>
      <c r="D706" s="317" t="s">
        <v>484</v>
      </c>
      <c r="E706" s="317"/>
      <c r="F706" s="287"/>
      <c r="G706" s="325">
        <v>69220.41</v>
      </c>
      <c r="H706" s="317">
        <v>108913</v>
      </c>
    </row>
    <row r="707" spans="1:8">
      <c r="A707" s="9" t="s">
        <v>485</v>
      </c>
      <c r="B707" s="9"/>
      <c r="C707" s="317" t="s">
        <v>483</v>
      </c>
      <c r="D707" s="317" t="s">
        <v>486</v>
      </c>
      <c r="E707" s="317"/>
      <c r="F707" s="287"/>
      <c r="G707" s="325">
        <v>281283</v>
      </c>
      <c r="H707" s="317">
        <v>108916</v>
      </c>
    </row>
    <row r="708" spans="1:8">
      <c r="A708" s="9" t="s">
        <v>482</v>
      </c>
      <c r="B708" s="9"/>
      <c r="C708" s="317"/>
      <c r="D708" s="317" t="s">
        <v>487</v>
      </c>
      <c r="E708" s="317"/>
      <c r="F708" s="287"/>
      <c r="G708" s="325">
        <v>42527.55</v>
      </c>
      <c r="H708" s="317">
        <v>108913</v>
      </c>
    </row>
    <row r="709" spans="1:8">
      <c r="A709" s="9" t="s">
        <v>485</v>
      </c>
      <c r="B709" s="9"/>
      <c r="C709" s="317"/>
      <c r="D709" s="317" t="s">
        <v>488</v>
      </c>
      <c r="E709" s="317"/>
      <c r="F709" s="287"/>
      <c r="G709" s="325">
        <v>52211.65</v>
      </c>
      <c r="H709" s="317">
        <v>108915</v>
      </c>
    </row>
    <row r="710" spans="1:8">
      <c r="A710" s="9" t="s">
        <v>489</v>
      </c>
      <c r="B710" s="9"/>
      <c r="C710" s="317"/>
      <c r="D710" s="317" t="s">
        <v>490</v>
      </c>
      <c r="E710" s="317"/>
      <c r="F710" s="287"/>
      <c r="G710" s="325">
        <v>52706.59</v>
      </c>
      <c r="H710" s="317">
        <v>101</v>
      </c>
    </row>
    <row r="711" spans="1:8">
      <c r="A711" s="9"/>
      <c r="B711" s="9"/>
      <c r="C711" s="317"/>
      <c r="D711" s="317" t="s">
        <v>491</v>
      </c>
      <c r="E711" s="317"/>
      <c r="F711" s="287"/>
      <c r="G711" s="325">
        <v>12963.36</v>
      </c>
      <c r="H711" s="317">
        <v>108902</v>
      </c>
    </row>
    <row r="712" spans="1:8">
      <c r="A712" s="322"/>
      <c r="B712" s="322"/>
      <c r="C712" s="134"/>
      <c r="D712" s="134" t="s">
        <v>492</v>
      </c>
      <c r="E712" s="134"/>
      <c r="F712" s="324"/>
      <c r="G712" s="326">
        <v>4898.55</v>
      </c>
      <c r="H712" s="134">
        <v>102</v>
      </c>
    </row>
    <row r="713" spans="1:8">
      <c r="A713" s="322" t="s">
        <v>468</v>
      </c>
      <c r="B713" s="322"/>
      <c r="C713" s="134"/>
      <c r="D713" s="134" t="s">
        <v>493</v>
      </c>
      <c r="E713" s="134"/>
      <c r="F713" s="324"/>
      <c r="G713" s="326">
        <v>79472.899999999994</v>
      </c>
      <c r="H713" s="134">
        <v>108590</v>
      </c>
    </row>
    <row r="714" spans="1:8">
      <c r="A714" s="322" t="s">
        <v>468</v>
      </c>
      <c r="B714" s="322"/>
      <c r="C714" s="134"/>
      <c r="D714" s="134" t="s">
        <v>494</v>
      </c>
      <c r="E714" s="134"/>
      <c r="F714" s="324"/>
      <c r="G714" s="326">
        <v>94359.531300000002</v>
      </c>
      <c r="H714" s="134">
        <v>108591</v>
      </c>
    </row>
    <row r="715" spans="1:8">
      <c r="A715" s="322" t="s">
        <v>468</v>
      </c>
      <c r="B715" s="322"/>
      <c r="C715" s="134"/>
      <c r="D715" s="134" t="s">
        <v>495</v>
      </c>
      <c r="E715" s="134"/>
      <c r="F715" s="324"/>
      <c r="G715" s="326">
        <v>108869.5901</v>
      </c>
      <c r="H715" s="134">
        <v>108592</v>
      </c>
    </row>
    <row r="716" spans="1:8">
      <c r="A716" s="322" t="s">
        <v>468</v>
      </c>
      <c r="B716" s="322"/>
      <c r="C716" s="134"/>
      <c r="D716" s="134" t="s">
        <v>496</v>
      </c>
      <c r="E716" s="134"/>
      <c r="F716" s="324"/>
      <c r="G716" s="326">
        <v>109480.5585</v>
      </c>
      <c r="H716" s="134">
        <v>108593</v>
      </c>
    </row>
    <row r="717" spans="1:8">
      <c r="A717" s="322" t="s">
        <v>468</v>
      </c>
      <c r="B717" s="322"/>
      <c r="C717" s="134"/>
      <c r="D717" s="134" t="s">
        <v>497</v>
      </c>
      <c r="E717" s="134"/>
      <c r="F717" s="324"/>
      <c r="G717" s="326">
        <v>109480.5585</v>
      </c>
      <c r="H717" s="317">
        <v>103</v>
      </c>
    </row>
    <row r="718" spans="1:8">
      <c r="A718" s="322" t="s">
        <v>468</v>
      </c>
      <c r="B718" s="322"/>
      <c r="C718" s="134"/>
      <c r="D718" s="134" t="s">
        <v>498</v>
      </c>
      <c r="E718" s="134"/>
      <c r="F718" s="324"/>
      <c r="G718" s="326">
        <v>109480.5585</v>
      </c>
      <c r="H718" s="317">
        <v>108595</v>
      </c>
    </row>
    <row r="719" spans="1:8">
      <c r="A719" s="322" t="s">
        <v>468</v>
      </c>
      <c r="B719" s="322"/>
      <c r="C719" s="134"/>
      <c r="D719" s="134" t="s">
        <v>499</v>
      </c>
      <c r="E719" s="134"/>
      <c r="F719" s="324"/>
      <c r="G719" s="326">
        <v>190531.1306</v>
      </c>
      <c r="H719" s="317">
        <v>108596</v>
      </c>
    </row>
    <row r="720" spans="1:8">
      <c r="A720" s="9" t="s">
        <v>468</v>
      </c>
      <c r="B720" s="9"/>
      <c r="C720" s="135"/>
      <c r="D720" s="317" t="s">
        <v>500</v>
      </c>
      <c r="E720" s="317"/>
      <c r="F720" s="287"/>
      <c r="G720" s="325">
        <v>124721.6934</v>
      </c>
      <c r="H720" s="3">
        <v>108597</v>
      </c>
    </row>
    <row r="721" spans="1:8">
      <c r="A721" s="9" t="s">
        <v>468</v>
      </c>
      <c r="B721" s="9"/>
      <c r="C721" s="135"/>
      <c r="D721" s="317" t="s">
        <v>501</v>
      </c>
      <c r="E721" s="317"/>
      <c r="F721" s="287"/>
      <c r="G721" s="325">
        <v>124721.6934</v>
      </c>
      <c r="H721" s="3">
        <v>108598</v>
      </c>
    </row>
    <row r="722" spans="1:8">
      <c r="A722" s="322" t="s">
        <v>502</v>
      </c>
      <c r="B722" s="322"/>
      <c r="C722" s="134"/>
      <c r="D722" s="134" t="s">
        <v>503</v>
      </c>
      <c r="E722" s="134"/>
      <c r="F722" s="324"/>
      <c r="G722" s="326">
        <v>1800</v>
      </c>
      <c r="H722" s="317">
        <v>101800</v>
      </c>
    </row>
    <row r="723" spans="1:8">
      <c r="A723" s="322" t="s">
        <v>502</v>
      </c>
      <c r="B723" s="322"/>
      <c r="C723" s="134"/>
      <c r="D723" s="134" t="s">
        <v>504</v>
      </c>
      <c r="E723" s="134"/>
      <c r="F723" s="324"/>
      <c r="G723" s="326">
        <v>2660.3703</v>
      </c>
      <c r="H723" s="317">
        <v>101801</v>
      </c>
    </row>
    <row r="724" spans="1:8">
      <c r="A724" s="9" t="s">
        <v>451</v>
      </c>
      <c r="B724" s="9"/>
      <c r="C724" s="317"/>
      <c r="D724" s="317" t="s">
        <v>505</v>
      </c>
      <c r="E724" s="317"/>
      <c r="F724" s="287"/>
      <c r="G724" s="325">
        <v>39398.297500000001</v>
      </c>
      <c r="H724" s="317">
        <v>102000</v>
      </c>
    </row>
    <row r="725" spans="1:8">
      <c r="A725" s="9" t="s">
        <v>451</v>
      </c>
      <c r="B725" s="9"/>
      <c r="C725" s="317"/>
      <c r="D725" s="317" t="s">
        <v>506</v>
      </c>
      <c r="E725" s="317"/>
      <c r="F725" s="287"/>
      <c r="G725" s="325">
        <v>47484</v>
      </c>
      <c r="H725" s="317">
        <v>102000</v>
      </c>
    </row>
    <row r="726" spans="1:8">
      <c r="A726" s="9" t="s">
        <v>451</v>
      </c>
      <c r="B726" s="9"/>
      <c r="C726" s="317"/>
      <c r="D726" s="317" t="s">
        <v>507</v>
      </c>
      <c r="E726" s="317"/>
      <c r="F726" s="287"/>
      <c r="G726" s="325">
        <v>22356.273099999999</v>
      </c>
      <c r="H726" s="317">
        <v>102007</v>
      </c>
    </row>
    <row r="727" spans="1:8">
      <c r="A727" s="9" t="s">
        <v>451</v>
      </c>
      <c r="B727" s="9"/>
      <c r="C727" s="317"/>
      <c r="D727" s="317" t="s">
        <v>508</v>
      </c>
      <c r="E727" s="317"/>
      <c r="F727" s="287"/>
      <c r="G727" s="325">
        <v>169254.8352</v>
      </c>
      <c r="H727" s="317">
        <v>102006</v>
      </c>
    </row>
    <row r="728" spans="1:8">
      <c r="A728" s="9" t="s">
        <v>451</v>
      </c>
      <c r="B728" s="9"/>
      <c r="C728" s="317"/>
      <c r="D728" s="317" t="s">
        <v>509</v>
      </c>
      <c r="E728" s="317"/>
      <c r="F728" s="287"/>
      <c r="G728" s="325">
        <v>30336.669300000001</v>
      </c>
      <c r="H728" s="317">
        <v>102003</v>
      </c>
    </row>
    <row r="729" spans="1:8">
      <c r="A729" s="9" t="s">
        <v>451</v>
      </c>
      <c r="B729" s="9"/>
      <c r="C729" s="317"/>
      <c r="D729" s="317" t="s">
        <v>510</v>
      </c>
      <c r="E729" s="317"/>
      <c r="F729" s="287"/>
      <c r="G729" s="325">
        <v>6182.0039999999999</v>
      </c>
      <c r="H729" s="317">
        <v>102004</v>
      </c>
    </row>
    <row r="730" spans="1:8">
      <c r="A730" s="9" t="s">
        <v>451</v>
      </c>
      <c r="B730" s="9"/>
      <c r="C730" s="317"/>
      <c r="D730" s="317" t="s">
        <v>511</v>
      </c>
      <c r="E730" s="317"/>
      <c r="F730" s="287"/>
      <c r="G730" s="325">
        <v>15255.8475</v>
      </c>
      <c r="H730" s="317">
        <v>102005</v>
      </c>
    </row>
    <row r="731" spans="1:8">
      <c r="A731" s="9" t="s">
        <v>451</v>
      </c>
      <c r="B731" s="9"/>
      <c r="C731" s="317"/>
      <c r="D731" s="317" t="s">
        <v>512</v>
      </c>
      <c r="E731" s="317"/>
      <c r="F731" s="287"/>
      <c r="G731" s="325">
        <v>26555</v>
      </c>
      <c r="H731" s="317">
        <v>102100</v>
      </c>
    </row>
    <row r="732" spans="1:8">
      <c r="A732" s="9" t="s">
        <v>451</v>
      </c>
      <c r="B732" s="9"/>
      <c r="C732" s="317"/>
      <c r="D732" s="317" t="s">
        <v>513</v>
      </c>
      <c r="E732" s="317"/>
      <c r="F732" s="287"/>
      <c r="G732" s="325">
        <v>61992</v>
      </c>
      <c r="H732" s="317">
        <v>102501</v>
      </c>
    </row>
    <row r="733" spans="1:8">
      <c r="A733" s="9" t="s">
        <v>451</v>
      </c>
      <c r="B733" s="9"/>
      <c r="C733" s="317"/>
      <c r="D733" s="317" t="s">
        <v>514</v>
      </c>
      <c r="E733" s="317"/>
      <c r="F733" s="287"/>
      <c r="G733" s="325">
        <v>141250</v>
      </c>
      <c r="H733" s="317">
        <v>102009</v>
      </c>
    </row>
    <row r="734" spans="1:8">
      <c r="A734" s="9" t="s">
        <v>451</v>
      </c>
      <c r="B734" s="9"/>
      <c r="C734" s="317"/>
      <c r="D734" s="317" t="s">
        <v>515</v>
      </c>
      <c r="E734" s="317"/>
      <c r="F734" s="287"/>
      <c r="G734" s="325">
        <v>4202</v>
      </c>
      <c r="H734" s="317">
        <v>102502</v>
      </c>
    </row>
    <row r="735" spans="1:8">
      <c r="A735" s="9" t="s">
        <v>451</v>
      </c>
      <c r="B735" s="9"/>
      <c r="C735" s="317"/>
      <c r="D735" s="317" t="s">
        <v>516</v>
      </c>
      <c r="E735" s="317"/>
      <c r="F735" s="287"/>
      <c r="G735" s="325">
        <v>5869.9544999999998</v>
      </c>
      <c r="H735" s="317">
        <v>102001</v>
      </c>
    </row>
    <row r="736" spans="1:8">
      <c r="A736" s="9" t="s">
        <v>451</v>
      </c>
      <c r="B736" s="9"/>
      <c r="C736" s="135"/>
      <c r="D736" s="317"/>
      <c r="E736" s="317"/>
      <c r="F736" s="287"/>
      <c r="G736" s="300">
        <v>0</v>
      </c>
    </row>
    <row r="737" spans="1:8">
      <c r="A737" s="9" t="s">
        <v>451</v>
      </c>
      <c r="B737" s="9"/>
      <c r="C737" s="135"/>
      <c r="D737" s="317"/>
      <c r="E737" s="317"/>
      <c r="F737" s="287"/>
      <c r="G737" s="300">
        <v>0</v>
      </c>
    </row>
    <row r="738" spans="1:8">
      <c r="A738" s="9" t="s">
        <v>451</v>
      </c>
      <c r="B738" s="9"/>
      <c r="C738" s="135"/>
      <c r="D738" s="317"/>
      <c r="E738" s="317"/>
      <c r="F738" s="287"/>
      <c r="G738" s="300">
        <v>0</v>
      </c>
    </row>
    <row r="739" spans="1:8">
      <c r="A739" s="9" t="s">
        <v>451</v>
      </c>
      <c r="B739" s="9"/>
      <c r="C739" s="135"/>
      <c r="D739" s="317"/>
      <c r="E739" s="317"/>
      <c r="F739" s="287"/>
      <c r="G739" s="300">
        <v>0</v>
      </c>
    </row>
    <row r="740" spans="1:8">
      <c r="A740" s="322" t="s">
        <v>517</v>
      </c>
      <c r="B740" s="322"/>
      <c r="C740" s="134"/>
      <c r="D740" s="134" t="s">
        <v>518</v>
      </c>
      <c r="E740" s="134"/>
      <c r="F740" s="324"/>
      <c r="G740" s="326">
        <v>2492.7800000000002</v>
      </c>
      <c r="H740" s="134">
        <v>104055</v>
      </c>
    </row>
    <row r="741" spans="1:8">
      <c r="A741" s="322" t="s">
        <v>517</v>
      </c>
      <c r="B741" s="322"/>
      <c r="C741" s="134"/>
      <c r="D741" s="134" t="s">
        <v>519</v>
      </c>
      <c r="E741" s="134"/>
      <c r="F741" s="324"/>
      <c r="G741" s="326">
        <v>6825.2790999999997</v>
      </c>
      <c r="H741" s="134">
        <v>104055</v>
      </c>
    </row>
    <row r="742" spans="1:8">
      <c r="A742" s="322" t="s">
        <v>517</v>
      </c>
      <c r="B742" s="322"/>
      <c r="C742" s="134"/>
      <c r="D742" s="134"/>
      <c r="E742" s="134"/>
      <c r="F742" s="324"/>
      <c r="G742" s="326">
        <v>0</v>
      </c>
      <c r="H742" s="134"/>
    </row>
    <row r="758" spans="1:8">
      <c r="A758" s="9" t="s">
        <v>520</v>
      </c>
      <c r="B758" s="9"/>
      <c r="C758" s="9"/>
      <c r="D758" s="317" t="s">
        <v>521</v>
      </c>
      <c r="E758" s="317"/>
      <c r="F758" s="287"/>
      <c r="G758" s="300">
        <v>2084</v>
      </c>
    </row>
    <row r="759" spans="1:8">
      <c r="A759" s="9" t="s">
        <v>520</v>
      </c>
      <c r="B759" s="9"/>
      <c r="C759" s="317"/>
      <c r="D759" s="317" t="s">
        <v>522</v>
      </c>
      <c r="E759" s="317"/>
      <c r="F759" s="287"/>
      <c r="G759" s="325">
        <v>142257</v>
      </c>
      <c r="H759" s="317">
        <v>105550</v>
      </c>
    </row>
    <row r="760" spans="1:8">
      <c r="A760" s="9" t="s">
        <v>520</v>
      </c>
      <c r="B760" s="9"/>
      <c r="C760" s="317"/>
      <c r="D760" s="317" t="s">
        <v>523</v>
      </c>
      <c r="E760" s="317"/>
      <c r="F760" s="287"/>
      <c r="G760" s="325">
        <v>78212</v>
      </c>
      <c r="H760" s="317">
        <v>105551</v>
      </c>
    </row>
    <row r="761" spans="1:8">
      <c r="A761" s="9" t="s">
        <v>524</v>
      </c>
      <c r="B761" s="9"/>
      <c r="C761" s="317"/>
      <c r="D761" s="317" t="s">
        <v>525</v>
      </c>
      <c r="E761" s="317"/>
      <c r="F761" s="287"/>
      <c r="G761" s="325">
        <v>2193.556</v>
      </c>
      <c r="H761" s="317">
        <v>105016</v>
      </c>
    </row>
    <row r="762" spans="1:8">
      <c r="A762" s="9" t="s">
        <v>524</v>
      </c>
      <c r="B762" s="9"/>
      <c r="C762" s="317"/>
      <c r="D762" s="317" t="s">
        <v>526</v>
      </c>
      <c r="E762" s="317"/>
      <c r="F762" s="287"/>
      <c r="G762" s="325">
        <v>495</v>
      </c>
      <c r="H762" s="317">
        <v>105005</v>
      </c>
    </row>
    <row r="763" spans="1:8">
      <c r="A763" s="9" t="s">
        <v>524</v>
      </c>
      <c r="B763" s="9"/>
      <c r="C763" s="317"/>
      <c r="D763" s="317"/>
      <c r="E763" s="317"/>
      <c r="F763" s="287"/>
      <c r="G763" s="325">
        <v>0</v>
      </c>
      <c r="H763" s="317"/>
    </row>
    <row r="764" spans="1:8">
      <c r="A764" s="322" t="s">
        <v>527</v>
      </c>
      <c r="B764" s="322"/>
      <c r="C764" s="134"/>
      <c r="D764" s="134" t="s">
        <v>528</v>
      </c>
      <c r="E764" s="134"/>
      <c r="F764" s="324"/>
      <c r="G764" s="326">
        <v>4344</v>
      </c>
      <c r="H764" s="134">
        <v>105600</v>
      </c>
    </row>
    <row r="765" spans="1:8">
      <c r="A765" s="322" t="s">
        <v>527</v>
      </c>
      <c r="B765" s="322"/>
      <c r="C765" s="134"/>
      <c r="D765" s="134" t="s">
        <v>529</v>
      </c>
      <c r="E765" s="134"/>
      <c r="F765" s="324"/>
      <c r="G765" s="326">
        <v>4344</v>
      </c>
      <c r="H765" s="134">
        <v>105601</v>
      </c>
    </row>
    <row r="766" spans="1:8">
      <c r="A766" s="322" t="s">
        <v>527</v>
      </c>
      <c r="B766" s="322"/>
      <c r="C766" s="134"/>
      <c r="D766" s="134" t="s">
        <v>530</v>
      </c>
      <c r="E766" s="134"/>
      <c r="F766" s="324"/>
      <c r="G766" s="326">
        <v>3315</v>
      </c>
      <c r="H766" s="134">
        <v>105602</v>
      </c>
    </row>
    <row r="767" spans="1:8">
      <c r="A767" s="322" t="s">
        <v>527</v>
      </c>
      <c r="B767" s="322"/>
      <c r="C767" s="134"/>
      <c r="D767" s="134" t="s">
        <v>531</v>
      </c>
      <c r="E767" s="134"/>
      <c r="F767" s="324"/>
      <c r="G767" s="326">
        <v>85000</v>
      </c>
      <c r="H767" s="134">
        <v>105008</v>
      </c>
    </row>
    <row r="768" spans="1:8">
      <c r="A768" s="322" t="s">
        <v>527</v>
      </c>
      <c r="B768" s="322"/>
      <c r="C768" s="134"/>
      <c r="D768" s="134" t="s">
        <v>532</v>
      </c>
      <c r="E768" s="134"/>
      <c r="F768" s="324"/>
      <c r="G768" s="326">
        <v>46500</v>
      </c>
      <c r="H768" s="134">
        <v>105009</v>
      </c>
    </row>
    <row r="769" spans="1:8">
      <c r="A769" s="322" t="s">
        <v>527</v>
      </c>
      <c r="B769" s="322"/>
      <c r="C769" s="134"/>
      <c r="D769" s="134" t="s">
        <v>533</v>
      </c>
      <c r="E769" s="134"/>
      <c r="F769" s="324"/>
      <c r="G769" s="326">
        <v>358188</v>
      </c>
      <c r="H769" s="134">
        <v>105001</v>
      </c>
    </row>
    <row r="770" spans="1:8">
      <c r="A770" s="322" t="s">
        <v>527</v>
      </c>
      <c r="B770" s="322"/>
      <c r="C770" s="134"/>
      <c r="D770" s="134" t="s">
        <v>534</v>
      </c>
      <c r="E770" s="134"/>
      <c r="F770" s="324"/>
      <c r="G770" s="326">
        <v>20725</v>
      </c>
      <c r="H770" s="134">
        <v>105800</v>
      </c>
    </row>
    <row r="771" spans="1:8">
      <c r="A771" s="322" t="s">
        <v>527</v>
      </c>
      <c r="B771" s="322"/>
      <c r="C771" s="134"/>
      <c r="D771" s="134" t="s">
        <v>535</v>
      </c>
      <c r="E771" s="134"/>
      <c r="F771" s="324"/>
      <c r="G771" s="326">
        <v>82025</v>
      </c>
      <c r="H771" s="134">
        <v>105701</v>
      </c>
    </row>
    <row r="772" spans="1:8">
      <c r="A772" s="322" t="s">
        <v>527</v>
      </c>
      <c r="B772" s="322"/>
      <c r="C772" s="134"/>
      <c r="D772" s="134" t="s">
        <v>536</v>
      </c>
      <c r="E772" s="134"/>
      <c r="F772" s="324"/>
      <c r="G772" s="326">
        <v>430000</v>
      </c>
      <c r="H772" s="134">
        <v>105012</v>
      </c>
    </row>
    <row r="773" spans="1:8">
      <c r="A773" s="322" t="s">
        <v>527</v>
      </c>
      <c r="B773" s="322"/>
      <c r="C773" s="134"/>
      <c r="D773" s="134" t="s">
        <v>537</v>
      </c>
      <c r="E773" s="134"/>
      <c r="F773" s="324"/>
      <c r="G773" s="326">
        <v>104600</v>
      </c>
      <c r="H773" s="134">
        <v>105700</v>
      </c>
    </row>
    <row r="774" spans="1:8">
      <c r="A774" s="322" t="s">
        <v>527</v>
      </c>
      <c r="B774" s="322"/>
      <c r="C774" s="134"/>
      <c r="D774" s="134" t="s">
        <v>538</v>
      </c>
      <c r="E774" s="134"/>
      <c r="F774" s="324"/>
      <c r="G774" s="326">
        <v>14900</v>
      </c>
      <c r="H774" s="134">
        <v>105015</v>
      </c>
    </row>
    <row r="775" spans="1:8">
      <c r="A775" s="300" t="s">
        <v>527</v>
      </c>
      <c r="B775" s="300"/>
      <c r="C775" s="135"/>
      <c r="D775" s="9"/>
      <c r="E775" s="317"/>
      <c r="F775" s="287"/>
      <c r="G775" s="317"/>
      <c r="H775" s="317"/>
    </row>
    <row r="776" spans="1:8">
      <c r="A776" s="300" t="s">
        <v>527</v>
      </c>
      <c r="B776" s="300"/>
      <c r="C776" s="135"/>
      <c r="D776" s="9"/>
      <c r="E776" s="317"/>
      <c r="F776" s="287"/>
      <c r="G776" s="317"/>
      <c r="H776" s="317"/>
    </row>
    <row r="777" spans="1:8">
      <c r="A777" s="300" t="s">
        <v>527</v>
      </c>
      <c r="B777" s="300"/>
      <c r="C777" s="135"/>
      <c r="D777" s="9"/>
      <c r="E777" s="317"/>
      <c r="F777" s="287"/>
      <c r="G777" s="317"/>
      <c r="H777" s="317"/>
    </row>
    <row r="778" spans="1:8">
      <c r="A778" s="300" t="s">
        <v>527</v>
      </c>
      <c r="B778" s="300"/>
      <c r="C778" s="135"/>
      <c r="D778" s="9"/>
      <c r="E778" s="317"/>
      <c r="F778" s="287"/>
      <c r="G778" s="317"/>
      <c r="H778" s="317"/>
    </row>
    <row r="779" spans="1:8">
      <c r="A779" s="9" t="s">
        <v>539</v>
      </c>
      <c r="B779" s="9"/>
      <c r="C779" s="317"/>
      <c r="D779" s="317" t="s">
        <v>540</v>
      </c>
      <c r="E779" s="317"/>
      <c r="F779" s="287"/>
      <c r="G779" s="325">
        <v>22600</v>
      </c>
      <c r="H779" s="317">
        <v>105503</v>
      </c>
    </row>
    <row r="780" spans="1:8">
      <c r="A780" s="9" t="s">
        <v>539</v>
      </c>
      <c r="B780" s="9"/>
      <c r="C780" s="317"/>
      <c r="D780" s="317" t="s">
        <v>541</v>
      </c>
      <c r="E780" s="317"/>
      <c r="F780" s="287"/>
      <c r="G780" s="325">
        <v>2825</v>
      </c>
      <c r="H780" s="317">
        <v>105502</v>
      </c>
    </row>
    <row r="781" spans="1:8">
      <c r="A781" s="9" t="s">
        <v>539</v>
      </c>
      <c r="B781" s="9"/>
      <c r="C781" s="317"/>
      <c r="D781" s="317" t="s">
        <v>542</v>
      </c>
      <c r="E781" s="317"/>
      <c r="F781" s="287"/>
      <c r="G781" s="325">
        <v>62000</v>
      </c>
      <c r="H781" s="317">
        <v>105501</v>
      </c>
    </row>
    <row r="782" spans="1:8">
      <c r="A782" s="9" t="s">
        <v>539</v>
      </c>
      <c r="B782" s="9"/>
      <c r="C782" s="317"/>
      <c r="D782" s="317" t="s">
        <v>543</v>
      </c>
      <c r="E782" s="317"/>
      <c r="F782" s="287"/>
      <c r="G782" s="325">
        <v>282000</v>
      </c>
      <c r="H782" s="317">
        <v>105500</v>
      </c>
    </row>
    <row r="783" spans="1:8">
      <c r="A783" s="9" t="s">
        <v>539</v>
      </c>
      <c r="B783" s="9"/>
      <c r="C783" s="317"/>
      <c r="D783" s="317"/>
      <c r="E783" s="317"/>
      <c r="F783" s="287"/>
      <c r="G783" s="325"/>
      <c r="H783" s="317"/>
    </row>
    <row r="784" spans="1:8">
      <c r="A784" s="9" t="s">
        <v>539</v>
      </c>
      <c r="B784" s="9"/>
      <c r="C784" s="317"/>
      <c r="D784" s="317"/>
      <c r="E784" s="317"/>
      <c r="F784" s="287"/>
      <c r="G784" s="325"/>
      <c r="H784" s="317"/>
    </row>
    <row r="785" spans="1:13">
      <c r="A785" s="9" t="s">
        <v>539</v>
      </c>
      <c r="B785" s="9"/>
      <c r="C785" s="317"/>
      <c r="D785" s="317"/>
      <c r="E785" s="317"/>
      <c r="F785" s="287"/>
      <c r="G785" s="325"/>
      <c r="H785" s="317"/>
    </row>
    <row r="786" spans="1:13">
      <c r="A786" s="322" t="s">
        <v>544</v>
      </c>
      <c r="B786" s="322"/>
      <c r="C786" s="134"/>
      <c r="D786" s="134" t="s">
        <v>512</v>
      </c>
      <c r="E786" s="134"/>
      <c r="F786" s="324"/>
      <c r="G786" s="326">
        <v>23710.2222</v>
      </c>
      <c r="H786" s="317">
        <v>106500</v>
      </c>
    </row>
    <row r="787" spans="1:13">
      <c r="A787" s="322" t="s">
        <v>544</v>
      </c>
      <c r="B787" s="322"/>
      <c r="C787" s="134"/>
      <c r="D787" s="134" t="s">
        <v>545</v>
      </c>
      <c r="E787" s="134"/>
      <c r="F787" s="324"/>
      <c r="G787" s="326">
        <v>550448.99</v>
      </c>
      <c r="H787" s="317">
        <v>106501</v>
      </c>
    </row>
    <row r="788" spans="1:13">
      <c r="A788" s="322" t="s">
        <v>544</v>
      </c>
      <c r="B788" s="322"/>
      <c r="C788" s="134"/>
      <c r="D788" s="134" t="s">
        <v>546</v>
      </c>
      <c r="E788" s="134"/>
      <c r="F788" s="324"/>
      <c r="G788" s="326">
        <v>50850</v>
      </c>
      <c r="H788" s="317">
        <v>106502</v>
      </c>
    </row>
    <row r="789" spans="1:13">
      <c r="A789" s="322" t="s">
        <v>544</v>
      </c>
      <c r="B789" s="322"/>
      <c r="C789" s="134"/>
      <c r="D789" s="134" t="s">
        <v>547</v>
      </c>
      <c r="E789" s="134"/>
      <c r="F789" s="324"/>
      <c r="G789" s="326">
        <v>60266.666700000002</v>
      </c>
      <c r="H789" s="317">
        <v>106503</v>
      </c>
    </row>
    <row r="790" spans="1:13">
      <c r="A790" s="322" t="s">
        <v>544</v>
      </c>
      <c r="B790" s="322"/>
      <c r="C790" s="134"/>
      <c r="D790" s="134" t="s">
        <v>548</v>
      </c>
      <c r="E790" s="134"/>
      <c r="F790" s="324"/>
      <c r="G790" s="326">
        <v>55020</v>
      </c>
      <c r="H790" s="317">
        <v>106504</v>
      </c>
    </row>
    <row r="791" spans="1:13">
      <c r="A791" s="322" t="s">
        <v>544</v>
      </c>
      <c r="B791" s="322"/>
      <c r="C791" s="134"/>
      <c r="D791" s="134" t="s">
        <v>549</v>
      </c>
      <c r="E791" s="134"/>
      <c r="F791" s="324"/>
      <c r="G791" s="326">
        <v>65000</v>
      </c>
      <c r="H791" s="317">
        <v>106505</v>
      </c>
    </row>
    <row r="792" spans="1:13">
      <c r="A792" s="322" t="s">
        <v>544</v>
      </c>
      <c r="B792" s="322"/>
      <c r="C792" s="134"/>
      <c r="D792" s="134" t="s">
        <v>550</v>
      </c>
      <c r="E792" s="134"/>
      <c r="F792" s="324"/>
      <c r="G792" s="326">
        <v>50000</v>
      </c>
      <c r="H792" s="317">
        <v>106506</v>
      </c>
    </row>
    <row r="793" spans="1:13">
      <c r="A793" s="322" t="s">
        <v>544</v>
      </c>
      <c r="B793" s="322"/>
      <c r="C793" s="134"/>
      <c r="D793" s="134" t="s">
        <v>551</v>
      </c>
      <c r="E793" s="134"/>
      <c r="F793" s="324"/>
      <c r="G793" s="326">
        <v>100000</v>
      </c>
      <c r="H793" s="317">
        <v>106507</v>
      </c>
    </row>
    <row r="794" spans="1:13">
      <c r="A794" s="322" t="s">
        <v>544</v>
      </c>
      <c r="B794" s="322"/>
      <c r="C794" s="134"/>
      <c r="D794" s="134" t="s">
        <v>552</v>
      </c>
      <c r="E794" s="134"/>
      <c r="F794" s="324"/>
      <c r="G794" s="326">
        <v>135600</v>
      </c>
      <c r="H794" s="317">
        <v>106508</v>
      </c>
    </row>
    <row r="795" spans="1:13">
      <c r="A795" s="322" t="s">
        <v>544</v>
      </c>
      <c r="B795" s="322"/>
      <c r="C795" s="134"/>
      <c r="D795" s="134" t="s">
        <v>553</v>
      </c>
      <c r="E795" s="134"/>
      <c r="F795" s="324"/>
      <c r="G795" s="326">
        <v>375000</v>
      </c>
      <c r="H795" s="317">
        <v>106509</v>
      </c>
    </row>
    <row r="796" spans="1:13">
      <c r="A796" s="322" t="s">
        <v>544</v>
      </c>
      <c r="B796" s="322"/>
      <c r="C796" s="134"/>
      <c r="D796" s="134" t="s">
        <v>554</v>
      </c>
      <c r="E796" s="134"/>
      <c r="F796" s="324"/>
      <c r="G796" s="326">
        <v>119025</v>
      </c>
      <c r="H796" s="317">
        <v>106001</v>
      </c>
    </row>
    <row r="797" spans="1:13">
      <c r="A797" s="322" t="s">
        <v>544</v>
      </c>
      <c r="B797" s="322"/>
      <c r="C797" s="134"/>
      <c r="D797" s="134" t="s">
        <v>555</v>
      </c>
      <c r="E797" s="134"/>
      <c r="F797" s="324"/>
      <c r="G797" s="326">
        <v>71300</v>
      </c>
      <c r="H797" s="317">
        <v>106000</v>
      </c>
    </row>
    <row r="798" spans="1:13">
      <c r="A798" s="322" t="s">
        <v>544</v>
      </c>
      <c r="B798" s="322"/>
      <c r="C798" s="134"/>
      <c r="D798" s="134" t="s">
        <v>556</v>
      </c>
      <c r="E798" s="134"/>
      <c r="F798" s="324"/>
      <c r="G798" s="326">
        <v>208150</v>
      </c>
      <c r="H798" s="317">
        <v>106002</v>
      </c>
    </row>
    <row r="799" spans="1:13">
      <c r="A799" s="322" t="s">
        <v>544</v>
      </c>
      <c r="B799" s="322"/>
      <c r="C799" s="134"/>
      <c r="D799" s="134" t="s">
        <v>557</v>
      </c>
      <c r="E799" s="134"/>
      <c r="F799" s="324"/>
      <c r="G799" s="326">
        <v>84750</v>
      </c>
      <c r="H799" s="317">
        <v>106510</v>
      </c>
      <c r="M799" s="223"/>
    </row>
    <row r="800" spans="1:13">
      <c r="A800" s="322" t="s">
        <v>544</v>
      </c>
      <c r="B800" s="322"/>
      <c r="C800" s="134"/>
      <c r="D800" s="134" t="s">
        <v>558</v>
      </c>
      <c r="E800" s="134"/>
      <c r="F800" s="324"/>
      <c r="G800" s="326">
        <v>84750</v>
      </c>
      <c r="H800" s="317">
        <v>106511</v>
      </c>
    </row>
    <row r="801" spans="1:8">
      <c r="A801" s="322" t="s">
        <v>544</v>
      </c>
      <c r="B801" s="322"/>
      <c r="C801" s="134"/>
      <c r="D801" s="134"/>
      <c r="E801" s="134"/>
      <c r="F801" s="324"/>
      <c r="G801" s="326"/>
      <c r="H801" s="317"/>
    </row>
    <row r="802" spans="1:8">
      <c r="A802" s="322" t="s">
        <v>544</v>
      </c>
      <c r="B802" s="322"/>
      <c r="C802" s="134"/>
      <c r="D802" s="134"/>
      <c r="E802" s="134"/>
      <c r="F802" s="324"/>
      <c r="G802" s="326"/>
      <c r="H802" s="317"/>
    </row>
    <row r="803" spans="1:8">
      <c r="A803" s="322" t="s">
        <v>544</v>
      </c>
      <c r="B803" s="322"/>
      <c r="C803" s="134"/>
      <c r="D803" s="134"/>
      <c r="E803" s="134"/>
      <c r="F803" s="324"/>
      <c r="G803" s="326"/>
      <c r="H803" s="317"/>
    </row>
    <row r="804" spans="1:8">
      <c r="A804" s="322" t="s">
        <v>544</v>
      </c>
      <c r="B804" s="322"/>
      <c r="C804" s="134"/>
      <c r="D804" s="134"/>
      <c r="E804" s="134"/>
      <c r="F804" s="324"/>
      <c r="G804" s="326"/>
      <c r="H804" s="317"/>
    </row>
    <row r="805" spans="1:8">
      <c r="A805" s="322" t="s">
        <v>544</v>
      </c>
      <c r="B805" s="322"/>
      <c r="C805" s="134"/>
      <c r="D805" s="134"/>
      <c r="E805" s="134"/>
      <c r="F805" s="324"/>
      <c r="G805" s="326"/>
      <c r="H805" s="317"/>
    </row>
    <row r="806" spans="1:8">
      <c r="A806" s="9" t="s">
        <v>559</v>
      </c>
      <c r="B806" s="9"/>
      <c r="C806" s="317"/>
      <c r="D806" s="317" t="s">
        <v>560</v>
      </c>
      <c r="E806" s="317"/>
      <c r="F806" s="287"/>
      <c r="G806" s="325">
        <v>45000</v>
      </c>
      <c r="H806" s="317">
        <v>102090</v>
      </c>
    </row>
    <row r="807" spans="1:8">
      <c r="A807" s="9" t="s">
        <v>559</v>
      </c>
      <c r="B807" s="9"/>
      <c r="C807" s="317"/>
      <c r="D807" s="317"/>
      <c r="E807" s="317"/>
      <c r="F807" s="287"/>
      <c r="G807" s="325"/>
      <c r="H807" s="317"/>
    </row>
    <row r="808" spans="1:8">
      <c r="A808" s="9" t="s">
        <v>559</v>
      </c>
      <c r="B808" s="9"/>
      <c r="C808" s="317"/>
      <c r="D808" s="317"/>
      <c r="E808" s="317"/>
      <c r="F808" s="287"/>
      <c r="G808" s="325"/>
      <c r="H808" s="317"/>
    </row>
    <row r="809" spans="1:8">
      <c r="A809" s="9" t="s">
        <v>559</v>
      </c>
      <c r="B809" s="9"/>
      <c r="C809" s="317"/>
      <c r="D809" s="317"/>
      <c r="E809" s="317"/>
      <c r="F809" s="287"/>
      <c r="G809" s="325"/>
      <c r="H809" s="317"/>
    </row>
    <row r="810" spans="1:8">
      <c r="A810" s="322" t="s">
        <v>561</v>
      </c>
      <c r="B810" s="322"/>
      <c r="C810" s="134"/>
      <c r="D810" s="134" t="s">
        <v>562</v>
      </c>
      <c r="E810" s="134"/>
      <c r="F810" s="324"/>
      <c r="G810" s="326">
        <v>11800</v>
      </c>
      <c r="H810" s="3">
        <v>108500</v>
      </c>
    </row>
    <row r="811" spans="1:8">
      <c r="A811" s="322" t="s">
        <v>561</v>
      </c>
      <c r="B811" s="322"/>
      <c r="C811" s="134"/>
      <c r="D811" s="134" t="s">
        <v>563</v>
      </c>
      <c r="E811" s="134"/>
      <c r="F811" s="324"/>
      <c r="G811" s="326">
        <v>40597</v>
      </c>
      <c r="H811" s="3">
        <v>108501</v>
      </c>
    </row>
    <row r="812" spans="1:8">
      <c r="A812" s="322" t="s">
        <v>561</v>
      </c>
      <c r="B812" s="322"/>
      <c r="C812" s="134"/>
      <c r="D812" s="134" t="s">
        <v>564</v>
      </c>
      <c r="E812" s="134"/>
      <c r="F812" s="324"/>
      <c r="G812" s="326">
        <v>11800</v>
      </c>
      <c r="H812" s="3">
        <v>108502</v>
      </c>
    </row>
    <row r="813" spans="1:8">
      <c r="A813" s="322" t="s">
        <v>561</v>
      </c>
      <c r="B813" s="322"/>
      <c r="C813" s="134"/>
      <c r="D813" s="134" t="s">
        <v>565</v>
      </c>
      <c r="E813" s="134"/>
      <c r="F813" s="324"/>
      <c r="G813" s="326">
        <v>40597</v>
      </c>
      <c r="H813" s="3">
        <v>108503</v>
      </c>
    </row>
    <row r="814" spans="1:8">
      <c r="A814" s="322" t="s">
        <v>561</v>
      </c>
      <c r="B814" s="322"/>
      <c r="C814" s="134"/>
      <c r="D814" s="134" t="s">
        <v>566</v>
      </c>
      <c r="E814" s="134"/>
      <c r="F814" s="324"/>
      <c r="G814" s="326">
        <v>13688</v>
      </c>
      <c r="H814" s="3">
        <v>108504</v>
      </c>
    </row>
    <row r="815" spans="1:8">
      <c r="A815" s="322" t="s">
        <v>561</v>
      </c>
      <c r="B815" s="322"/>
      <c r="C815" s="134"/>
      <c r="D815" s="134" t="s">
        <v>567</v>
      </c>
      <c r="E815" s="134"/>
      <c r="F815" s="324"/>
      <c r="G815" s="326">
        <v>24582</v>
      </c>
      <c r="H815" s="3">
        <v>108505</v>
      </c>
    </row>
    <row r="816" spans="1:8">
      <c r="A816" s="322" t="s">
        <v>561</v>
      </c>
      <c r="B816" s="322"/>
      <c r="C816" s="134"/>
      <c r="D816" s="134" t="s">
        <v>568</v>
      </c>
      <c r="E816" s="134"/>
      <c r="F816" s="324"/>
      <c r="G816" s="326">
        <v>24582</v>
      </c>
      <c r="H816" s="3">
        <v>108506</v>
      </c>
    </row>
    <row r="817" spans="1:8">
      <c r="A817" s="322" t="s">
        <v>561</v>
      </c>
      <c r="B817" s="322"/>
      <c r="C817" s="134"/>
      <c r="D817" s="134" t="s">
        <v>569</v>
      </c>
      <c r="E817" s="134"/>
      <c r="F817" s="324"/>
      <c r="G817" s="326">
        <v>27347</v>
      </c>
      <c r="H817" s="3">
        <v>108507</v>
      </c>
    </row>
    <row r="818" spans="1:8">
      <c r="A818" s="322" t="s">
        <v>561</v>
      </c>
      <c r="B818" s="322"/>
      <c r="C818" s="134"/>
      <c r="D818" s="134" t="s">
        <v>570</v>
      </c>
      <c r="E818" s="134"/>
      <c r="F818" s="324"/>
      <c r="G818" s="326">
        <v>33828</v>
      </c>
      <c r="H818" s="3">
        <v>108508</v>
      </c>
    </row>
    <row r="819" spans="1:8">
      <c r="A819" s="322" t="s">
        <v>561</v>
      </c>
      <c r="B819" s="322"/>
      <c r="C819" s="134"/>
      <c r="D819" s="134" t="s">
        <v>571</v>
      </c>
      <c r="E819" s="134"/>
      <c r="F819" s="324"/>
      <c r="G819" s="326">
        <v>35551</v>
      </c>
      <c r="H819" s="3">
        <v>108509</v>
      </c>
    </row>
    <row r="820" spans="1:8">
      <c r="A820" s="322" t="s">
        <v>561</v>
      </c>
      <c r="B820" s="322"/>
      <c r="C820" s="134"/>
      <c r="D820" s="134" t="s">
        <v>572</v>
      </c>
      <c r="E820" s="134"/>
      <c r="F820" s="324"/>
      <c r="G820" s="326">
        <v>35551</v>
      </c>
      <c r="H820" s="3">
        <v>108510</v>
      </c>
    </row>
    <row r="821" spans="1:8">
      <c r="A821" s="322" t="s">
        <v>561</v>
      </c>
      <c r="B821" s="322"/>
      <c r="C821" s="134"/>
      <c r="D821" s="134" t="s">
        <v>573</v>
      </c>
      <c r="E821" s="134"/>
      <c r="F821" s="324"/>
      <c r="G821" s="326">
        <v>35913</v>
      </c>
      <c r="H821" s="3">
        <v>108511</v>
      </c>
    </row>
    <row r="822" spans="1:8">
      <c r="A822" s="322" t="s">
        <v>561</v>
      </c>
      <c r="B822" s="322"/>
      <c r="C822" s="134"/>
      <c r="D822" s="134" t="s">
        <v>574</v>
      </c>
      <c r="E822" s="134"/>
      <c r="F822" s="324"/>
      <c r="G822" s="326">
        <v>76571</v>
      </c>
      <c r="H822" s="3">
        <v>108512</v>
      </c>
    </row>
    <row r="823" spans="1:8">
      <c r="A823" s="322" t="s">
        <v>561</v>
      </c>
      <c r="B823" s="322"/>
      <c r="C823" s="134"/>
      <c r="D823" s="134" t="s">
        <v>575</v>
      </c>
      <c r="E823" s="134"/>
      <c r="F823" s="324"/>
      <c r="G823" s="326">
        <v>86996</v>
      </c>
      <c r="H823" s="3">
        <v>108513</v>
      </c>
    </row>
    <row r="824" spans="1:8">
      <c r="A824" s="9"/>
      <c r="B824" s="9"/>
      <c r="C824" s="317"/>
      <c r="D824" s="317" t="s">
        <v>576</v>
      </c>
      <c r="E824" s="317"/>
      <c r="F824" s="287"/>
      <c r="G824" s="325">
        <v>3000</v>
      </c>
      <c r="H824" s="317">
        <v>107002</v>
      </c>
    </row>
    <row r="825" spans="1:8">
      <c r="A825" s="9"/>
      <c r="B825" s="9"/>
      <c r="C825" s="317"/>
      <c r="D825" s="317" t="s">
        <v>577</v>
      </c>
      <c r="E825" s="317"/>
      <c r="F825" s="287"/>
      <c r="G825" s="325">
        <v>95000</v>
      </c>
      <c r="H825" s="317">
        <v>107001</v>
      </c>
    </row>
    <row r="826" spans="1:8">
      <c r="A826" s="9"/>
      <c r="B826" s="9"/>
      <c r="C826" s="317"/>
      <c r="D826" s="317" t="s">
        <v>578</v>
      </c>
      <c r="E826" s="317"/>
      <c r="F826" s="287"/>
      <c r="G826" s="325">
        <v>250000</v>
      </c>
      <c r="H826" s="317">
        <v>107000</v>
      </c>
    </row>
    <row r="827" spans="1:8">
      <c r="A827" s="322"/>
      <c r="B827" s="322"/>
      <c r="C827" s="134"/>
      <c r="D827" s="134" t="s">
        <v>579</v>
      </c>
      <c r="E827" s="134"/>
      <c r="F827" s="324"/>
      <c r="G827" s="326">
        <v>3796.8</v>
      </c>
      <c r="H827" s="317">
        <v>108901</v>
      </c>
    </row>
    <row r="828" spans="1:8">
      <c r="A828" s="322"/>
      <c r="B828" s="322"/>
      <c r="C828" s="134"/>
      <c r="D828" s="134" t="s">
        <v>580</v>
      </c>
      <c r="E828" s="134"/>
      <c r="F828" s="324"/>
      <c r="G828" s="326">
        <v>50000</v>
      </c>
      <c r="H828" s="317">
        <v>107003</v>
      </c>
    </row>
    <row r="829" spans="1:8">
      <c r="A829" s="322"/>
      <c r="B829" s="322"/>
      <c r="C829" s="134"/>
      <c r="D829" s="134" t="s">
        <v>581</v>
      </c>
      <c r="E829" s="134"/>
      <c r="F829" s="324"/>
      <c r="G829" s="326">
        <v>214700</v>
      </c>
      <c r="H829" s="317">
        <v>108900</v>
      </c>
    </row>
    <row r="830" spans="1:8">
      <c r="A830" s="322"/>
      <c r="B830" s="322"/>
      <c r="C830" s="134"/>
      <c r="D830" s="134" t="s">
        <v>582</v>
      </c>
      <c r="E830" s="134"/>
      <c r="F830" s="324"/>
      <c r="G830" s="326">
        <v>25900</v>
      </c>
      <c r="H830" s="317">
        <v>34100</v>
      </c>
    </row>
    <row r="831" spans="1:8">
      <c r="A831" s="322"/>
      <c r="B831" s="322"/>
      <c r="C831" s="134"/>
      <c r="D831" s="134" t="s">
        <v>583</v>
      </c>
      <c r="E831" s="134"/>
      <c r="F831" s="324"/>
      <c r="G831" s="326">
        <v>3500000</v>
      </c>
      <c r="H831" s="317">
        <v>995001</v>
      </c>
    </row>
    <row r="832" spans="1:8">
      <c r="A832" s="322"/>
      <c r="B832" s="322"/>
      <c r="C832" s="134"/>
      <c r="D832" s="134" t="s">
        <v>577</v>
      </c>
      <c r="E832" s="134"/>
      <c r="F832" s="324"/>
      <c r="G832" s="326">
        <v>95000</v>
      </c>
      <c r="H832" s="317">
        <v>107001</v>
      </c>
    </row>
    <row r="833" spans="1:8">
      <c r="A833" s="322"/>
      <c r="B833" s="322"/>
      <c r="C833" s="134"/>
      <c r="D833" s="134" t="s">
        <v>584</v>
      </c>
      <c r="E833" s="134"/>
      <c r="F833" s="324"/>
      <c r="G833" s="326">
        <v>8703.4860000000008</v>
      </c>
      <c r="H833" s="317">
        <v>104</v>
      </c>
    </row>
  </sheetData>
  <mergeCells count="1">
    <mergeCell ref="A2:I3"/>
  </mergeCells>
  <phoneticPr fontId="39" type="noConversion"/>
  <conditionalFormatting sqref="H832">
    <cfRule type="cellIs" dxfId="0" priority="1" operator="equal">
      <formula>0</formula>
    </cfRule>
  </conditionalFormatting>
  <pageMargins left="0.7" right="0.7" top="0.75" bottom="0.75" header="0.3" footer="0.3"/>
  <pageSetup orientation="portrait" horizontalDpi="4294967293" verticalDpi="4294967293"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663C7-9BCE-4945-8DEE-067B5ED3438D}">
  <dimension ref="B2:N386"/>
  <sheetViews>
    <sheetView topLeftCell="G1" zoomScaleNormal="100" workbookViewId="0">
      <selection activeCell="M13" sqref="M13"/>
    </sheetView>
  </sheetViews>
  <sheetFormatPr baseColWidth="10" defaultColWidth="8.83203125" defaultRowHeight="15"/>
  <cols>
    <col min="2" max="2" width="14.33203125" bestFit="1" customWidth="1"/>
    <col min="3" max="3" width="6.1640625" bestFit="1" customWidth="1"/>
    <col min="4" max="4" width="38.5" bestFit="1" customWidth="1"/>
    <col min="5" max="5" width="11.5" bestFit="1" customWidth="1"/>
    <col min="6" max="6" width="23.5" bestFit="1" customWidth="1"/>
    <col min="7" max="7" width="30.33203125" bestFit="1" customWidth="1"/>
    <col min="8" max="9" width="27.33203125" bestFit="1" customWidth="1"/>
    <col min="10" max="10" width="27.5" bestFit="1" customWidth="1"/>
    <col min="11" max="11" width="25" bestFit="1" customWidth="1"/>
    <col min="12" max="12" width="25.33203125" bestFit="1" customWidth="1"/>
    <col min="13" max="14" width="20.33203125" bestFit="1" customWidth="1"/>
  </cols>
  <sheetData>
    <row r="2" spans="2:14" ht="14.5" customHeight="1">
      <c r="C2" s="239"/>
      <c r="D2" s="239"/>
      <c r="G2" s="3"/>
      <c r="H2" s="3"/>
    </row>
    <row r="3" spans="2:14" ht="15" customHeight="1">
      <c r="C3" s="240"/>
      <c r="D3" s="240"/>
    </row>
    <row r="4" spans="2:14" ht="19">
      <c r="B4" s="238" t="s">
        <v>585</v>
      </c>
      <c r="C4" s="238" t="s">
        <v>143</v>
      </c>
      <c r="D4" s="238" t="s">
        <v>176</v>
      </c>
      <c r="E4" s="238" t="s">
        <v>179</v>
      </c>
      <c r="F4" s="238" t="s">
        <v>180</v>
      </c>
      <c r="G4" s="238" t="s">
        <v>181</v>
      </c>
      <c r="H4" s="238" t="s">
        <v>182</v>
      </c>
      <c r="I4" s="238" t="s">
        <v>586</v>
      </c>
      <c r="J4" s="238" t="s">
        <v>587</v>
      </c>
      <c r="K4" s="238" t="s">
        <v>588</v>
      </c>
      <c r="L4" s="238" t="s">
        <v>589</v>
      </c>
      <c r="M4" s="238" t="s">
        <v>590</v>
      </c>
      <c r="N4" s="238" t="s">
        <v>591</v>
      </c>
    </row>
    <row r="5" spans="2:14">
      <c r="B5" s="187" t="s">
        <v>592</v>
      </c>
      <c r="C5" s="187" t="s">
        <v>184</v>
      </c>
      <c r="D5" s="187" t="s">
        <v>185</v>
      </c>
      <c r="E5" s="173" t="s">
        <v>188</v>
      </c>
      <c r="F5" s="173" t="s">
        <v>181</v>
      </c>
      <c r="G5" s="187" t="s">
        <v>189</v>
      </c>
      <c r="H5" s="187" t="s">
        <v>190</v>
      </c>
      <c r="I5" s="173" t="s">
        <v>379</v>
      </c>
      <c r="J5" s="173" t="s">
        <v>380</v>
      </c>
      <c r="K5" s="187" t="s">
        <v>394</v>
      </c>
      <c r="L5" s="187" t="s">
        <v>402</v>
      </c>
      <c r="M5" s="187" t="s">
        <v>453</v>
      </c>
      <c r="N5" s="187" t="s">
        <v>593</v>
      </c>
    </row>
    <row r="6" spans="2:14">
      <c r="B6" s="187" t="s">
        <v>594</v>
      </c>
      <c r="C6" s="187" t="s">
        <v>193</v>
      </c>
      <c r="D6" s="187" t="s">
        <v>191</v>
      </c>
      <c r="E6" s="226" t="s">
        <v>194</v>
      </c>
      <c r="F6" s="226" t="s">
        <v>182</v>
      </c>
      <c r="G6" s="187" t="s">
        <v>153</v>
      </c>
      <c r="H6" s="187" t="s">
        <v>195</v>
      </c>
      <c r="I6" s="226" t="s">
        <v>382</v>
      </c>
      <c r="J6" s="226" t="s">
        <v>384</v>
      </c>
      <c r="K6" s="187" t="s">
        <v>396</v>
      </c>
      <c r="L6" s="187" t="s">
        <v>404</v>
      </c>
      <c r="M6" s="187" t="s">
        <v>595</v>
      </c>
      <c r="N6" s="187" t="s">
        <v>596</v>
      </c>
    </row>
    <row r="7" spans="2:14">
      <c r="B7" s="187" t="s">
        <v>597</v>
      </c>
      <c r="C7" s="187" t="s">
        <v>198</v>
      </c>
      <c r="D7" s="187" t="s">
        <v>196</v>
      </c>
      <c r="E7" s="226" t="s">
        <v>199</v>
      </c>
      <c r="F7" s="226"/>
      <c r="G7" s="187" t="s">
        <v>200</v>
      </c>
      <c r="H7" s="187" t="s">
        <v>201</v>
      </c>
      <c r="I7" s="226" t="s">
        <v>388</v>
      </c>
      <c r="J7" s="226" t="s">
        <v>386</v>
      </c>
      <c r="K7" s="187" t="s">
        <v>398</v>
      </c>
      <c r="L7" s="187" t="s">
        <v>406</v>
      </c>
      <c r="M7" s="187" t="s">
        <v>598</v>
      </c>
      <c r="N7" s="187" t="s">
        <v>599</v>
      </c>
    </row>
    <row r="8" spans="2:14">
      <c r="B8" s="187" t="s">
        <v>600</v>
      </c>
      <c r="C8" s="187" t="s">
        <v>204</v>
      </c>
      <c r="D8" s="187" t="s">
        <v>202</v>
      </c>
      <c r="E8" s="226" t="s">
        <v>205</v>
      </c>
      <c r="F8" s="226"/>
      <c r="G8" s="187" t="s">
        <v>206</v>
      </c>
      <c r="H8" s="187" t="s">
        <v>207</v>
      </c>
      <c r="I8" s="226"/>
      <c r="J8" s="226"/>
      <c r="K8" s="187" t="s">
        <v>392</v>
      </c>
      <c r="L8" s="187" t="s">
        <v>408</v>
      </c>
      <c r="M8" s="187" t="s">
        <v>601</v>
      </c>
      <c r="N8" s="187" t="s">
        <v>452</v>
      </c>
    </row>
    <row r="9" spans="2:14">
      <c r="B9" s="187" t="s">
        <v>602</v>
      </c>
      <c r="C9" s="187"/>
      <c r="D9" s="187" t="s">
        <v>208</v>
      </c>
      <c r="E9" s="187"/>
      <c r="F9" s="187"/>
      <c r="G9" s="187" t="s">
        <v>210</v>
      </c>
      <c r="H9" s="187" t="s">
        <v>211</v>
      </c>
      <c r="I9" s="187"/>
      <c r="J9" s="187"/>
      <c r="K9" s="135"/>
      <c r="L9" s="9" t="s">
        <v>603</v>
      </c>
      <c r="M9" s="187" t="s">
        <v>604</v>
      </c>
      <c r="N9" s="187"/>
    </row>
    <row r="10" spans="2:14">
      <c r="B10" s="187"/>
      <c r="C10" s="187"/>
      <c r="D10" s="187" t="s">
        <v>212</v>
      </c>
      <c r="E10" s="187"/>
      <c r="F10" s="187"/>
      <c r="G10" s="187" t="s">
        <v>214</v>
      </c>
      <c r="H10" s="187" t="s">
        <v>215</v>
      </c>
      <c r="I10" s="187"/>
      <c r="J10" s="187"/>
      <c r="K10" s="135"/>
      <c r="L10" s="9" t="s">
        <v>469</v>
      </c>
      <c r="M10" s="187" t="s">
        <v>605</v>
      </c>
      <c r="N10" s="187"/>
    </row>
    <row r="11" spans="2:14">
      <c r="B11" s="187"/>
      <c r="C11" s="187"/>
      <c r="D11" s="187" t="s">
        <v>216</v>
      </c>
      <c r="E11" s="187"/>
      <c r="F11" s="187"/>
      <c r="G11" s="187" t="s">
        <v>218</v>
      </c>
      <c r="H11" s="187" t="s">
        <v>219</v>
      </c>
      <c r="I11" s="187"/>
      <c r="J11" s="187"/>
      <c r="K11" s="135"/>
      <c r="L11" s="9"/>
      <c r="M11" s="187" t="s">
        <v>606</v>
      </c>
      <c r="N11" s="187"/>
    </row>
    <row r="12" spans="2:14">
      <c r="B12" s="187"/>
      <c r="C12" s="187"/>
      <c r="D12" s="187"/>
      <c r="E12" s="225"/>
      <c r="F12" s="225"/>
      <c r="G12" s="187" t="s">
        <v>222</v>
      </c>
      <c r="H12" s="187" t="s">
        <v>223</v>
      </c>
      <c r="I12" s="225"/>
      <c r="J12" s="225"/>
      <c r="K12" s="135"/>
      <c r="L12" s="9"/>
      <c r="M12" s="187" t="s">
        <v>455</v>
      </c>
      <c r="N12" s="187"/>
    </row>
    <row r="13" spans="2:14">
      <c r="B13" s="187"/>
      <c r="C13" s="187"/>
      <c r="D13" s="187"/>
      <c r="E13" s="225"/>
      <c r="F13" s="225"/>
      <c r="G13" s="187" t="s">
        <v>225</v>
      </c>
      <c r="H13" s="187" t="s">
        <v>226</v>
      </c>
      <c r="I13" s="225"/>
      <c r="J13" s="225"/>
      <c r="K13" s="135"/>
      <c r="L13" s="9"/>
      <c r="M13" s="187"/>
      <c r="N13" s="187"/>
    </row>
    <row r="14" spans="2:14">
      <c r="B14" s="187"/>
      <c r="C14" s="187"/>
      <c r="D14" s="187"/>
      <c r="E14" s="225"/>
      <c r="F14" s="225"/>
      <c r="G14" s="187" t="s">
        <v>228</v>
      </c>
      <c r="H14" s="187" t="s">
        <v>229</v>
      </c>
      <c r="I14" s="225"/>
      <c r="J14" s="225"/>
      <c r="K14" s="135"/>
      <c r="L14" s="9"/>
      <c r="M14" s="187"/>
      <c r="N14" s="187"/>
    </row>
    <row r="15" spans="2:14">
      <c r="B15" s="187"/>
      <c r="C15" s="187"/>
      <c r="D15" s="187"/>
      <c r="E15" s="225"/>
      <c r="F15" s="225"/>
      <c r="G15" s="225"/>
      <c r="H15" s="187" t="s">
        <v>231</v>
      </c>
      <c r="I15" s="225"/>
      <c r="J15" s="225"/>
      <c r="K15" s="135"/>
      <c r="L15" s="9"/>
      <c r="M15" s="187"/>
      <c r="N15" s="187"/>
    </row>
    <row r="16" spans="2:14">
      <c r="B16" s="187"/>
      <c r="C16" s="187"/>
      <c r="D16" s="187"/>
      <c r="E16" s="225"/>
      <c r="F16" s="225"/>
      <c r="G16" s="225"/>
      <c r="H16" s="187" t="s">
        <v>233</v>
      </c>
      <c r="I16" s="225"/>
      <c r="J16" s="225"/>
      <c r="K16" s="135"/>
      <c r="L16" s="9"/>
      <c r="M16" s="187"/>
      <c r="N16" s="187"/>
    </row>
    <row r="17" spans="2:14">
      <c r="B17" s="187"/>
      <c r="C17" s="187"/>
      <c r="D17" s="187"/>
      <c r="E17" s="225"/>
      <c r="F17" s="225"/>
      <c r="G17" s="225"/>
      <c r="H17" s="187" t="s">
        <v>235</v>
      </c>
      <c r="I17" s="225"/>
      <c r="J17" s="225"/>
      <c r="K17" s="135"/>
      <c r="L17" s="9"/>
      <c r="M17" s="187"/>
      <c r="N17" s="187"/>
    </row>
    <row r="18" spans="2:14">
      <c r="B18" s="187"/>
      <c r="C18" s="187"/>
      <c r="D18" s="187"/>
      <c r="E18" s="225"/>
      <c r="F18" s="225"/>
      <c r="G18" s="225"/>
      <c r="H18" s="187" t="s">
        <v>237</v>
      </c>
      <c r="I18" s="225"/>
      <c r="J18" s="225"/>
      <c r="K18" s="135"/>
      <c r="L18" s="9"/>
      <c r="M18" s="187"/>
      <c r="N18" s="187"/>
    </row>
    <row r="20" spans="2:14">
      <c r="B20" s="26" t="s">
        <v>607</v>
      </c>
      <c r="C20" s="26"/>
      <c r="D20" s="26"/>
      <c r="E20" s="26"/>
      <c r="F20" s="26" t="s">
        <v>608</v>
      </c>
      <c r="G20" s="26" t="s">
        <v>609</v>
      </c>
      <c r="H20" s="245" t="s">
        <v>610</v>
      </c>
      <c r="I20" s="26" t="s">
        <v>611</v>
      </c>
      <c r="J20" s="26" t="s">
        <v>612</v>
      </c>
      <c r="K20" s="26" t="s">
        <v>613</v>
      </c>
      <c r="L20" s="26" t="s">
        <v>614</v>
      </c>
      <c r="M20" t="s">
        <v>615</v>
      </c>
      <c r="N20" s="26" t="s">
        <v>616</v>
      </c>
    </row>
    <row r="75" spans="3:3" s="224" customFormat="1">
      <c r="C75"/>
    </row>
    <row r="76" spans="3:3" s="224" customFormat="1">
      <c r="C76"/>
    </row>
    <row r="77" spans="3:3" s="224" customFormat="1">
      <c r="C77"/>
    </row>
    <row r="78" spans="3:3" s="224" customFormat="1"/>
    <row r="79" spans="3:3" s="224" customFormat="1"/>
    <row r="80" spans="3:3" s="224" customFormat="1"/>
    <row r="81" s="224" customFormat="1"/>
    <row r="82" s="224" customFormat="1"/>
    <row r="83" s="224" customFormat="1"/>
    <row r="84" s="224" customFormat="1"/>
    <row r="85" s="224" customFormat="1"/>
    <row r="86" s="224" customFormat="1"/>
    <row r="87" s="224" customFormat="1"/>
    <row r="88" s="224" customFormat="1"/>
    <row r="89" s="224" customFormat="1"/>
    <row r="90" s="224" customFormat="1"/>
    <row r="91" s="224" customFormat="1"/>
    <row r="92" s="224" customFormat="1"/>
    <row r="93" s="224" customFormat="1"/>
    <row r="94" s="224" customFormat="1"/>
    <row r="95" s="224" customFormat="1"/>
    <row r="96" s="224" customFormat="1"/>
    <row r="97" s="224" customFormat="1"/>
    <row r="98" s="224" customFormat="1"/>
    <row r="99" s="224" customFormat="1"/>
    <row r="100" s="224" customFormat="1"/>
    <row r="101" s="224" customFormat="1"/>
    <row r="102" s="224" customFormat="1"/>
    <row r="103" s="224" customFormat="1"/>
    <row r="104" s="224" customFormat="1"/>
    <row r="105" s="224" customFormat="1"/>
    <row r="106" s="224" customFormat="1"/>
    <row r="107" s="224" customFormat="1"/>
    <row r="108" s="224" customFormat="1"/>
    <row r="109" s="224" customFormat="1"/>
    <row r="110" s="224" customFormat="1"/>
    <row r="111" s="224" customFormat="1"/>
    <row r="112" s="224" customFormat="1"/>
    <row r="113" s="224" customFormat="1"/>
    <row r="114" s="224" customFormat="1"/>
    <row r="115" s="224" customFormat="1"/>
    <row r="116" s="224" customFormat="1"/>
    <row r="117" s="224" customFormat="1"/>
    <row r="118" s="224" customFormat="1"/>
    <row r="119" s="224" customFormat="1"/>
    <row r="120" s="224" customFormat="1"/>
    <row r="121" s="224" customFormat="1"/>
    <row r="122" s="224" customFormat="1"/>
    <row r="123" s="224" customFormat="1"/>
    <row r="124" s="224" customFormat="1"/>
    <row r="125" s="224" customFormat="1"/>
    <row r="126" s="224" customFormat="1"/>
    <row r="127" s="224" customFormat="1"/>
    <row r="128" s="224" customFormat="1"/>
    <row r="129" s="224" customFormat="1"/>
    <row r="130" s="224" customFormat="1"/>
    <row r="131" s="224" customFormat="1"/>
    <row r="132" s="224" customFormat="1"/>
    <row r="133" s="224" customFormat="1"/>
    <row r="134" s="224" customFormat="1"/>
    <row r="135" s="224" customFormat="1"/>
    <row r="136" s="224" customFormat="1"/>
    <row r="137" s="224" customFormat="1"/>
    <row r="138" s="224" customFormat="1"/>
    <row r="139" s="224" customFormat="1"/>
    <row r="140" s="224" customFormat="1"/>
    <row r="141" s="224" customFormat="1"/>
    <row r="142" s="224" customFormat="1"/>
    <row r="143" s="224" customFormat="1"/>
    <row r="144" s="224" customFormat="1"/>
    <row r="145" s="224" customFormat="1"/>
    <row r="146" s="224" customFormat="1"/>
    <row r="147" s="224" customFormat="1"/>
    <row r="148" s="224" customFormat="1"/>
    <row r="149" s="224" customFormat="1"/>
    <row r="150" s="224" customFormat="1"/>
    <row r="151" s="224" customFormat="1"/>
    <row r="152" s="224" customFormat="1"/>
    <row r="153" s="224" customFormat="1"/>
    <row r="154" s="224" customFormat="1"/>
    <row r="155" s="224" customFormat="1"/>
    <row r="156" s="224" customFormat="1"/>
    <row r="157" s="224" customFormat="1"/>
    <row r="158" s="224" customFormat="1"/>
    <row r="159" s="224" customFormat="1"/>
    <row r="160" s="224" customFormat="1"/>
    <row r="161" s="224" customFormat="1"/>
    <row r="162" s="224" customFormat="1"/>
    <row r="163" s="224" customFormat="1"/>
    <row r="164" s="224" customFormat="1"/>
    <row r="165" s="224" customFormat="1"/>
    <row r="166" s="224" customFormat="1"/>
    <row r="167" s="224" customFormat="1"/>
    <row r="168" s="224" customFormat="1"/>
    <row r="169" s="224" customFormat="1"/>
    <row r="170" s="224" customFormat="1"/>
    <row r="171" s="224" customFormat="1"/>
    <row r="172" s="224" customFormat="1"/>
    <row r="173" s="224" customFormat="1"/>
    <row r="174" s="224" customFormat="1"/>
    <row r="175" s="224" customFormat="1"/>
    <row r="176" s="224" customFormat="1"/>
    <row r="177" s="224" customFormat="1"/>
    <row r="178" s="224" customFormat="1"/>
    <row r="179" s="224" customFormat="1"/>
    <row r="180" s="224" customFormat="1"/>
    <row r="181" s="224" customFormat="1"/>
    <row r="182" s="224" customFormat="1"/>
    <row r="183" s="224" customFormat="1"/>
    <row r="184" s="224" customFormat="1"/>
    <row r="185" s="224" customFormat="1"/>
    <row r="186" s="224" customFormat="1"/>
    <row r="187" s="224" customFormat="1"/>
    <row r="188" s="224" customFormat="1"/>
    <row r="189" s="224" customFormat="1"/>
    <row r="190" s="224" customFormat="1"/>
    <row r="191" s="224" customFormat="1"/>
    <row r="192" s="224" customFormat="1"/>
    <row r="193" s="224" customFormat="1"/>
    <row r="194" s="224" customFormat="1"/>
    <row r="195" s="224" customFormat="1"/>
    <row r="196" s="224" customFormat="1"/>
    <row r="197" s="224" customFormat="1"/>
    <row r="198" s="224" customFormat="1"/>
    <row r="199" s="224" customFormat="1"/>
    <row r="200" s="224" customFormat="1"/>
    <row r="201" s="224" customFormat="1"/>
    <row r="202" s="224" customFormat="1"/>
    <row r="203" s="224" customFormat="1"/>
    <row r="204" s="224" customFormat="1"/>
    <row r="205" s="224" customFormat="1"/>
    <row r="206" s="224" customFormat="1"/>
    <row r="207" s="224" customFormat="1"/>
    <row r="208" s="224" customFormat="1"/>
    <row r="209" s="224" customFormat="1"/>
    <row r="210" s="224" customFormat="1"/>
    <row r="211" s="224" customFormat="1"/>
    <row r="212" s="224" customFormat="1"/>
    <row r="213" s="224" customFormat="1"/>
    <row r="214" s="224" customFormat="1"/>
    <row r="215" s="224" customFormat="1"/>
    <row r="216" s="224" customFormat="1"/>
    <row r="217" s="224" customFormat="1"/>
    <row r="218" s="224" customFormat="1"/>
    <row r="219" s="224" customFormat="1"/>
    <row r="220" s="224" customFormat="1"/>
    <row r="221" s="224" customFormat="1"/>
    <row r="222" s="224" customFormat="1"/>
    <row r="223" s="224" customFormat="1"/>
    <row r="224" s="224" customFormat="1"/>
    <row r="225" s="224" customFormat="1"/>
    <row r="226" s="224" customFormat="1"/>
    <row r="227" s="224" customFormat="1"/>
    <row r="228" s="224" customFormat="1"/>
    <row r="229" s="224" customFormat="1"/>
    <row r="230" s="224" customFormat="1"/>
    <row r="231" s="224" customFormat="1"/>
    <row r="232" s="224" customFormat="1"/>
    <row r="233" s="224" customFormat="1"/>
    <row r="234" s="224" customFormat="1"/>
    <row r="235" s="224" customFormat="1"/>
    <row r="236" s="224" customFormat="1"/>
    <row r="237" s="224" customFormat="1"/>
    <row r="238" s="224" customFormat="1"/>
    <row r="239" s="224" customFormat="1"/>
    <row r="240" s="224" customFormat="1"/>
    <row r="241" s="224" customFormat="1"/>
    <row r="242" s="224" customFormat="1"/>
    <row r="243" s="224" customFormat="1"/>
    <row r="244" s="224" customFormat="1"/>
    <row r="245" s="224" customFormat="1"/>
    <row r="246" s="224" customFormat="1"/>
    <row r="247" s="224" customFormat="1"/>
    <row r="248" s="224" customFormat="1"/>
    <row r="249" s="224" customFormat="1"/>
    <row r="250" s="224" customFormat="1"/>
    <row r="251" s="224" customFormat="1"/>
    <row r="252" s="224" customFormat="1"/>
    <row r="253" s="224" customFormat="1"/>
    <row r="254" s="224" customFormat="1"/>
    <row r="255" s="224" customFormat="1"/>
    <row r="256" s="224" customFormat="1"/>
    <row r="257" s="224" customFormat="1"/>
    <row r="258" s="224" customFormat="1"/>
    <row r="259" s="224" customFormat="1"/>
    <row r="260" s="224" customFormat="1"/>
    <row r="261" s="224" customFormat="1"/>
    <row r="262" s="224" customFormat="1"/>
    <row r="263" s="224" customFormat="1"/>
    <row r="264" s="224" customFormat="1"/>
    <row r="265" s="224" customFormat="1"/>
    <row r="266" s="224" customFormat="1"/>
    <row r="267" s="224" customFormat="1"/>
    <row r="268" s="224" customFormat="1"/>
    <row r="386" spans="5:5">
      <c r="E386" s="223"/>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2728D-6F0E-490E-8C2A-97DC7D7F46BB}">
  <dimension ref="B1:M27"/>
  <sheetViews>
    <sheetView workbookViewId="0">
      <selection activeCell="K21" sqref="K21"/>
    </sheetView>
  </sheetViews>
  <sheetFormatPr baseColWidth="10" defaultColWidth="8.83203125" defaultRowHeight="15"/>
  <cols>
    <col min="2" max="2" width="12.6640625" bestFit="1" customWidth="1"/>
    <col min="3" max="3" width="55.83203125" bestFit="1" customWidth="1"/>
    <col min="4" max="4" width="13.83203125" bestFit="1" customWidth="1"/>
    <col min="5" max="5" width="13.5" bestFit="1" customWidth="1"/>
    <col min="6" max="6" width="11.1640625" bestFit="1" customWidth="1"/>
    <col min="7" max="7" width="10.6640625" bestFit="1" customWidth="1"/>
    <col min="8" max="9" width="9.1640625" bestFit="1" customWidth="1"/>
    <col min="10" max="10" width="10.1640625" bestFit="1" customWidth="1"/>
    <col min="11" max="13" width="9.1640625" bestFit="1" customWidth="1"/>
  </cols>
  <sheetData>
    <row r="1" spans="2:13" ht="16" thickBot="1">
      <c r="B1" s="488"/>
      <c r="C1" s="488"/>
      <c r="D1" s="488"/>
      <c r="E1" s="488"/>
      <c r="F1" s="488"/>
      <c r="G1" s="488"/>
      <c r="H1" s="488"/>
      <c r="I1" s="488"/>
      <c r="J1" s="488"/>
      <c r="K1" s="488"/>
      <c r="L1" s="488"/>
      <c r="M1" s="488"/>
    </row>
    <row r="2" spans="2:13" ht="16" thickBot="1">
      <c r="B2" s="488"/>
      <c r="C2" s="488"/>
      <c r="D2" s="488"/>
      <c r="E2" s="488"/>
      <c r="F2" s="660" t="s">
        <v>620</v>
      </c>
      <c r="G2" s="489" t="s">
        <v>942</v>
      </c>
      <c r="H2" s="490" t="s">
        <v>635</v>
      </c>
      <c r="I2" s="490" t="s">
        <v>943</v>
      </c>
      <c r="J2" s="488"/>
      <c r="K2" s="488"/>
      <c r="L2" s="488"/>
      <c r="M2" s="488"/>
    </row>
    <row r="3" spans="2:13" ht="16" thickBot="1">
      <c r="B3" s="491" t="s">
        <v>617</v>
      </c>
      <c r="C3" s="492" t="s">
        <v>618</v>
      </c>
      <c r="D3" s="492" t="s">
        <v>96</v>
      </c>
      <c r="E3" s="493" t="s">
        <v>619</v>
      </c>
      <c r="F3" s="661"/>
      <c r="G3" s="494">
        <v>57.85</v>
      </c>
      <c r="H3" s="495">
        <v>0.2</v>
      </c>
      <c r="I3" s="495">
        <v>0.18</v>
      </c>
      <c r="J3" s="496" t="s">
        <v>621</v>
      </c>
      <c r="K3" s="497"/>
      <c r="L3" s="497"/>
      <c r="M3" s="498"/>
    </row>
    <row r="4" spans="2:13" ht="28">
      <c r="B4" s="662" t="s">
        <v>622</v>
      </c>
      <c r="C4" s="499" t="s">
        <v>944</v>
      </c>
      <c r="D4" s="500">
        <v>1</v>
      </c>
      <c r="E4" s="501">
        <f>'[7]Calculadora Pick N Send'!H28</f>
        <v>730</v>
      </c>
      <c r="F4" s="501">
        <f t="shared" ref="F4:F10" si="0">D4*E4</f>
        <v>730</v>
      </c>
      <c r="G4" s="501">
        <f>F4*$G$3</f>
        <v>42230.5</v>
      </c>
      <c r="H4" s="501">
        <f>G4*H3</f>
        <v>8446.1</v>
      </c>
      <c r="I4" s="501">
        <f>G4*I3</f>
        <v>7601.49</v>
      </c>
      <c r="J4" s="502">
        <f t="shared" ref="J4:J10" si="1">F4/$F$11</f>
        <v>1</v>
      </c>
      <c r="K4" s="501">
        <f t="shared" ref="K4:K10" si="2">$E$25*J4</f>
        <v>1211.9560587726878</v>
      </c>
      <c r="L4" s="501">
        <f t="shared" ref="L4:L10" si="3">F4+K4</f>
        <v>1941.9560587726878</v>
      </c>
      <c r="M4" s="501">
        <f>L4/D4</f>
        <v>1941.9560587726878</v>
      </c>
    </row>
    <row r="5" spans="2:13">
      <c r="B5" s="662"/>
      <c r="C5" s="503"/>
      <c r="D5" s="504"/>
      <c r="E5" s="505"/>
      <c r="F5" s="505">
        <f t="shared" si="0"/>
        <v>0</v>
      </c>
      <c r="G5" s="505"/>
      <c r="H5" s="505"/>
      <c r="I5" s="505"/>
      <c r="J5" s="506">
        <f t="shared" si="1"/>
        <v>0</v>
      </c>
      <c r="K5" s="505">
        <f t="shared" si="2"/>
        <v>0</v>
      </c>
      <c r="L5" s="505">
        <f t="shared" si="3"/>
        <v>0</v>
      </c>
      <c r="M5" s="505" t="e">
        <f>L5/D5</f>
        <v>#DIV/0!</v>
      </c>
    </row>
    <row r="6" spans="2:13">
      <c r="B6" s="662"/>
      <c r="C6" s="507"/>
      <c r="D6" s="504"/>
      <c r="E6" s="505"/>
      <c r="F6" s="505">
        <f t="shared" si="0"/>
        <v>0</v>
      </c>
      <c r="G6" s="505"/>
      <c r="H6" s="505"/>
      <c r="I6" s="505"/>
      <c r="J6" s="506">
        <f t="shared" si="1"/>
        <v>0</v>
      </c>
      <c r="K6" s="505">
        <f t="shared" si="2"/>
        <v>0</v>
      </c>
      <c r="L6" s="505">
        <f t="shared" si="3"/>
        <v>0</v>
      </c>
      <c r="M6" s="505" t="e">
        <f>L6/D6</f>
        <v>#DIV/0!</v>
      </c>
    </row>
    <row r="7" spans="2:13">
      <c r="B7" s="662"/>
      <c r="C7" s="503"/>
      <c r="D7" s="504"/>
      <c r="E7" s="505"/>
      <c r="F7" s="505">
        <f t="shared" si="0"/>
        <v>0</v>
      </c>
      <c r="G7" s="505"/>
      <c r="H7" s="505"/>
      <c r="I7" s="505"/>
      <c r="J7" s="506">
        <f t="shared" si="1"/>
        <v>0</v>
      </c>
      <c r="K7" s="505">
        <f t="shared" si="2"/>
        <v>0</v>
      </c>
      <c r="L7" s="505">
        <f t="shared" si="3"/>
        <v>0</v>
      </c>
      <c r="M7" s="505" t="e">
        <f>L7/D7</f>
        <v>#DIV/0!</v>
      </c>
    </row>
    <row r="8" spans="2:13">
      <c r="B8" s="663" t="s">
        <v>623</v>
      </c>
      <c r="C8" s="508"/>
      <c r="D8" s="504"/>
      <c r="E8" s="505"/>
      <c r="F8" s="505">
        <f t="shared" si="0"/>
        <v>0</v>
      </c>
      <c r="G8" s="505"/>
      <c r="H8" s="505"/>
      <c r="I8" s="505"/>
      <c r="J8" s="506">
        <f t="shared" si="1"/>
        <v>0</v>
      </c>
      <c r="K8" s="505">
        <f t="shared" si="2"/>
        <v>0</v>
      </c>
      <c r="L8" s="505">
        <f t="shared" si="3"/>
        <v>0</v>
      </c>
      <c r="M8" s="505" t="e">
        <f>L8/D8</f>
        <v>#DIV/0!</v>
      </c>
    </row>
    <row r="9" spans="2:13">
      <c r="B9" s="663"/>
      <c r="C9" s="508"/>
      <c r="D9" s="504"/>
      <c r="E9" s="505"/>
      <c r="F9" s="505">
        <f t="shared" si="0"/>
        <v>0</v>
      </c>
      <c r="G9" s="505"/>
      <c r="H9" s="505"/>
      <c r="I9" s="505"/>
      <c r="J9" s="506">
        <f t="shared" si="1"/>
        <v>0</v>
      </c>
      <c r="K9" s="505">
        <f t="shared" si="2"/>
        <v>0</v>
      </c>
      <c r="L9" s="505">
        <f t="shared" si="3"/>
        <v>0</v>
      </c>
      <c r="M9" s="505" t="e">
        <f>L9/D8</f>
        <v>#DIV/0!</v>
      </c>
    </row>
    <row r="10" spans="2:13" ht="16" thickBot="1">
      <c r="B10" s="504" t="s">
        <v>624</v>
      </c>
      <c r="C10" s="509"/>
      <c r="D10" s="510"/>
      <c r="E10" s="511"/>
      <c r="F10" s="511">
        <f t="shared" si="0"/>
        <v>0</v>
      </c>
      <c r="G10" s="511"/>
      <c r="H10" s="511"/>
      <c r="I10" s="511"/>
      <c r="J10" s="512">
        <f t="shared" si="1"/>
        <v>0</v>
      </c>
      <c r="K10" s="511">
        <f t="shared" si="2"/>
        <v>0</v>
      </c>
      <c r="L10" s="511">
        <f t="shared" si="3"/>
        <v>0</v>
      </c>
      <c r="M10" s="511">
        <f>L10/14</f>
        <v>0</v>
      </c>
    </row>
    <row r="11" spans="2:13" ht="16" thickBot="1">
      <c r="B11" s="513"/>
      <c r="C11" s="664" t="s">
        <v>22</v>
      </c>
      <c r="D11" s="665"/>
      <c r="E11" s="665"/>
      <c r="F11" s="514">
        <f>SUM(F4:F10)</f>
        <v>730</v>
      </c>
      <c r="G11" s="514"/>
      <c r="H11" s="514"/>
      <c r="I11" s="514"/>
      <c r="J11" s="515">
        <f>SUM(J4:J10)</f>
        <v>1</v>
      </c>
      <c r="K11" s="516">
        <f>SUM(K4:K10)</f>
        <v>1211.9560587726878</v>
      </c>
      <c r="L11" s="514">
        <f>SUM(L4:L10)</f>
        <v>1941.9560587726878</v>
      </c>
      <c r="M11" s="517"/>
    </row>
    <row r="12" spans="2:13" ht="16" thickBot="1">
      <c r="B12" s="513"/>
      <c r="C12" s="513"/>
      <c r="D12" s="513"/>
      <c r="E12" s="513"/>
      <c r="F12" s="513"/>
      <c r="G12" s="513"/>
      <c r="H12" s="513"/>
      <c r="I12" s="513"/>
      <c r="J12" s="488"/>
      <c r="K12" s="488"/>
      <c r="L12" s="488"/>
      <c r="M12" s="488"/>
    </row>
    <row r="13" spans="2:13" ht="16" thickBot="1">
      <c r="B13" s="666" t="s">
        <v>625</v>
      </c>
      <c r="C13" s="518" t="s">
        <v>626</v>
      </c>
      <c r="D13" s="519">
        <v>5500</v>
      </c>
      <c r="E13" s="520">
        <f>D13/57.85</f>
        <v>95.073465859982718</v>
      </c>
      <c r="F13" s="488"/>
      <c r="G13" s="488"/>
      <c r="H13" s="488"/>
      <c r="I13" s="488"/>
      <c r="J13" s="488"/>
      <c r="K13" s="488"/>
      <c r="L13" s="488"/>
      <c r="M13" s="488"/>
    </row>
    <row r="14" spans="2:13" ht="16" thickBot="1">
      <c r="B14" s="667"/>
      <c r="C14" s="521" t="s">
        <v>627</v>
      </c>
      <c r="D14" s="522">
        <v>0</v>
      </c>
      <c r="E14" s="520">
        <f t="shared" ref="E14:E25" si="4">D14/57.85</f>
        <v>0</v>
      </c>
      <c r="F14" s="488"/>
      <c r="G14" s="488"/>
      <c r="H14" s="488"/>
      <c r="I14" s="488"/>
      <c r="J14" s="488"/>
      <c r="K14" s="488"/>
      <c r="L14" s="488"/>
      <c r="M14" s="488"/>
    </row>
    <row r="15" spans="2:13" ht="16" thickBot="1">
      <c r="B15" s="667"/>
      <c r="C15" s="521" t="s">
        <v>178</v>
      </c>
      <c r="D15" s="522">
        <v>0</v>
      </c>
      <c r="E15" s="520">
        <f t="shared" si="4"/>
        <v>0</v>
      </c>
      <c r="F15" s="488"/>
      <c r="G15" s="488"/>
      <c r="H15" s="488"/>
      <c r="I15" s="488"/>
      <c r="J15" s="488"/>
      <c r="K15" s="488"/>
      <c r="L15" s="488"/>
      <c r="M15" s="488"/>
    </row>
    <row r="16" spans="2:13" ht="16" thickBot="1">
      <c r="B16" s="667"/>
      <c r="C16" s="521" t="s">
        <v>628</v>
      </c>
      <c r="D16" s="522">
        <v>118.25</v>
      </c>
      <c r="E16" s="520">
        <f t="shared" si="4"/>
        <v>2.0440795159896283</v>
      </c>
      <c r="F16" s="488"/>
      <c r="G16" s="488"/>
      <c r="H16" s="488"/>
      <c r="I16" s="488"/>
      <c r="J16" s="488"/>
      <c r="K16" s="488"/>
      <c r="L16" s="488"/>
      <c r="M16" s="488"/>
    </row>
    <row r="17" spans="2:13" ht="16" thickBot="1">
      <c r="B17" s="667"/>
      <c r="C17" s="521" t="s">
        <v>629</v>
      </c>
      <c r="D17" s="522">
        <f>'[7]Calculadora Pick N Send'!I28*57.2</f>
        <v>2052.9080000000004</v>
      </c>
      <c r="E17" s="520">
        <f t="shared" si="4"/>
        <v>35.486741573033711</v>
      </c>
      <c r="F17" s="488"/>
      <c r="G17" s="488"/>
      <c r="H17" s="488"/>
      <c r="I17" s="488"/>
      <c r="J17" s="488"/>
      <c r="K17" s="488"/>
      <c r="L17" s="488"/>
      <c r="M17" s="488"/>
    </row>
    <row r="18" spans="2:13" ht="16" thickBot="1">
      <c r="B18" s="667"/>
      <c r="C18" s="521" t="s">
        <v>630</v>
      </c>
      <c r="D18" s="522">
        <v>6000</v>
      </c>
      <c r="E18" s="520">
        <f t="shared" si="4"/>
        <v>103.71650821089023</v>
      </c>
      <c r="F18" s="488"/>
      <c r="G18" s="488"/>
      <c r="H18" s="488"/>
      <c r="I18" s="488"/>
      <c r="J18" s="488"/>
      <c r="K18" s="488"/>
      <c r="L18" s="488"/>
      <c r="M18" s="488"/>
    </row>
    <row r="19" spans="2:13" ht="16" thickBot="1">
      <c r="B19" s="667" t="s">
        <v>631</v>
      </c>
      <c r="C19" s="663"/>
      <c r="D19" s="522">
        <v>2000</v>
      </c>
      <c r="E19" s="520">
        <f t="shared" si="4"/>
        <v>34.572169403630078</v>
      </c>
      <c r="F19" s="488"/>
      <c r="G19" s="488"/>
      <c r="H19" s="488"/>
      <c r="I19" s="488"/>
      <c r="J19" s="488"/>
      <c r="K19" s="488"/>
      <c r="L19" s="488"/>
      <c r="M19" s="488"/>
    </row>
    <row r="20" spans="2:13" ht="16" thickBot="1">
      <c r="B20" s="667" t="s">
        <v>632</v>
      </c>
      <c r="C20" s="521" t="s">
        <v>633</v>
      </c>
      <c r="D20" s="522">
        <v>3510</v>
      </c>
      <c r="E20" s="520">
        <f t="shared" si="4"/>
        <v>60.674157303370784</v>
      </c>
      <c r="F20" s="488"/>
      <c r="G20" s="488"/>
      <c r="H20" s="488"/>
      <c r="I20" s="488"/>
      <c r="J20" s="488"/>
      <c r="K20" s="488"/>
      <c r="L20" s="488"/>
      <c r="M20" s="488"/>
    </row>
    <row r="21" spans="2:13" ht="16" thickBot="1">
      <c r="B21" s="667"/>
      <c r="C21" s="521" t="s">
        <v>634</v>
      </c>
      <c r="D21" s="522">
        <v>200</v>
      </c>
      <c r="E21" s="520">
        <f t="shared" si="4"/>
        <v>3.4572169403630078</v>
      </c>
      <c r="F21" s="488"/>
      <c r="G21" s="488"/>
      <c r="H21" s="488"/>
      <c r="I21" s="488"/>
      <c r="J21" s="488"/>
      <c r="K21" s="488"/>
      <c r="L21" s="488"/>
      <c r="M21" s="488"/>
    </row>
    <row r="22" spans="2:13" ht="16" thickBot="1">
      <c r="B22" s="667"/>
      <c r="C22" s="521" t="s">
        <v>635</v>
      </c>
      <c r="D22" s="522">
        <f>G4</f>
        <v>42230.5</v>
      </c>
      <c r="E22" s="520">
        <f t="shared" si="4"/>
        <v>730</v>
      </c>
      <c r="F22" s="488"/>
      <c r="G22" s="488"/>
      <c r="H22" s="488"/>
      <c r="I22" s="488"/>
      <c r="J22" s="488"/>
      <c r="K22" s="488"/>
      <c r="L22" s="488"/>
      <c r="M22" s="488"/>
    </row>
    <row r="23" spans="2:13" ht="16" thickBot="1">
      <c r="B23" s="667"/>
      <c r="C23" s="521" t="s">
        <v>178</v>
      </c>
      <c r="D23" s="522">
        <v>0</v>
      </c>
      <c r="E23" s="520">
        <f t="shared" si="4"/>
        <v>0</v>
      </c>
      <c r="F23" s="488"/>
      <c r="G23" s="488"/>
      <c r="H23" s="488"/>
      <c r="I23" s="488"/>
      <c r="J23" s="488"/>
      <c r="K23" s="488"/>
      <c r="L23" s="488"/>
      <c r="M23" s="488"/>
    </row>
    <row r="24" spans="2:13" ht="16" thickBot="1">
      <c r="B24" s="523" t="s">
        <v>636</v>
      </c>
      <c r="C24" s="524" t="s">
        <v>637</v>
      </c>
      <c r="D24" s="525">
        <v>8500</v>
      </c>
      <c r="E24" s="520">
        <f t="shared" si="4"/>
        <v>146.93171996542782</v>
      </c>
      <c r="F24" s="488"/>
      <c r="G24" s="488"/>
      <c r="H24" s="488"/>
      <c r="I24" s="488"/>
      <c r="J24" s="488"/>
      <c r="K24" s="488"/>
      <c r="L24" s="488"/>
      <c r="M24" s="488"/>
    </row>
    <row r="25" spans="2:13" ht="16" thickBot="1">
      <c r="B25" s="526"/>
      <c r="C25" s="527" t="s">
        <v>18</v>
      </c>
      <c r="D25" s="528">
        <f>SUM(D13:D24)</f>
        <v>70111.657999999996</v>
      </c>
      <c r="E25" s="520">
        <f t="shared" si="4"/>
        <v>1211.9560587726878</v>
      </c>
      <c r="F25" s="488"/>
      <c r="G25" s="488"/>
      <c r="H25" s="488"/>
      <c r="I25" s="488"/>
      <c r="J25" s="488"/>
      <c r="K25" s="488"/>
      <c r="L25" s="488"/>
      <c r="M25" s="488"/>
    </row>
    <row r="26" spans="2:13">
      <c r="J26" s="488"/>
      <c r="K26" s="488"/>
    </row>
    <row r="27" spans="2:13">
      <c r="J27" s="488"/>
      <c r="K27" s="488"/>
    </row>
  </sheetData>
  <mergeCells count="7">
    <mergeCell ref="B19:C19"/>
    <mergeCell ref="B20:B23"/>
    <mergeCell ref="F2:F3"/>
    <mergeCell ref="B4:B7"/>
    <mergeCell ref="B8:B9"/>
    <mergeCell ref="C11:E11"/>
    <mergeCell ref="B13:B18"/>
  </mergeCell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07C29-41A0-4F94-9680-785312C30C8F}">
  <sheetPr codeName="Sheet1"/>
  <dimension ref="A1:J28"/>
  <sheetViews>
    <sheetView workbookViewId="0">
      <selection activeCell="H18" sqref="H18"/>
    </sheetView>
  </sheetViews>
  <sheetFormatPr baseColWidth="10" defaultColWidth="9.1640625" defaultRowHeight="15"/>
  <cols>
    <col min="1" max="1" width="9.1640625" style="3"/>
    <col min="2" max="2" width="26.33203125" style="3" bestFit="1" customWidth="1"/>
    <col min="3" max="3" width="18.6640625" style="3" bestFit="1" customWidth="1"/>
    <col min="4" max="4" width="30.5" style="3" bestFit="1" customWidth="1"/>
    <col min="5" max="8" width="16.83203125" style="3" bestFit="1" customWidth="1"/>
    <col min="9" max="10" width="26.1640625" style="3" bestFit="1" customWidth="1"/>
    <col min="11" max="16384" width="9.1640625" style="3"/>
  </cols>
  <sheetData>
    <row r="1" spans="1:9">
      <c r="A1" s="3" t="s">
        <v>638</v>
      </c>
    </row>
    <row r="2" spans="1:9">
      <c r="D2" s="3" t="s">
        <v>639</v>
      </c>
      <c r="E2" s="136" t="s">
        <v>640</v>
      </c>
      <c r="F2" s="314" t="s">
        <v>641</v>
      </c>
      <c r="G2" s="314"/>
      <c r="H2" s="314" t="s">
        <v>642</v>
      </c>
      <c r="I2" s="314" t="s">
        <v>643</v>
      </c>
    </row>
    <row r="3" spans="1:9">
      <c r="B3" s="668" t="s">
        <v>644</v>
      </c>
      <c r="C3" s="3" t="s">
        <v>645</v>
      </c>
      <c r="D3" s="314"/>
      <c r="E3" s="314">
        <v>1</v>
      </c>
      <c r="F3" s="314">
        <f>VLOOKUP(E3,B13:G23,6,TRUE)</f>
        <v>3.5</v>
      </c>
      <c r="G3" s="137"/>
      <c r="H3" s="138"/>
      <c r="I3" s="139">
        <f>E3*F3</f>
        <v>3.5</v>
      </c>
    </row>
    <row r="4" spans="1:9">
      <c r="B4" s="668"/>
      <c r="C4" s="3" t="s">
        <v>646</v>
      </c>
      <c r="D4" s="314"/>
      <c r="E4" s="314">
        <f>E3</f>
        <v>1</v>
      </c>
      <c r="F4" s="314"/>
      <c r="G4" s="139">
        <v>0.13</v>
      </c>
      <c r="H4" s="314"/>
      <c r="I4" s="139">
        <f>E4*G4</f>
        <v>0.13</v>
      </c>
    </row>
    <row r="5" spans="1:9">
      <c r="B5" s="668"/>
      <c r="C5" s="3" t="s">
        <v>647</v>
      </c>
      <c r="D5" s="314">
        <v>1</v>
      </c>
      <c r="E5" s="314"/>
      <c r="F5" s="314"/>
      <c r="G5" s="314"/>
      <c r="H5" s="140"/>
      <c r="I5" s="139">
        <f>(D5+0.66)*1.18</f>
        <v>1.9588000000000001</v>
      </c>
    </row>
    <row r="6" spans="1:9">
      <c r="I6" s="141">
        <f>SUM(I3:I5)</f>
        <v>5.5888</v>
      </c>
    </row>
    <row r="10" spans="1:9" ht="16" thickBot="1"/>
    <row r="11" spans="1:9">
      <c r="B11" s="674" t="s">
        <v>648</v>
      </c>
      <c r="C11" s="675"/>
      <c r="D11" s="669" t="s">
        <v>649</v>
      </c>
      <c r="E11" s="670"/>
      <c r="F11" s="671"/>
      <c r="G11" s="672" t="s">
        <v>650</v>
      </c>
    </row>
    <row r="12" spans="1:9">
      <c r="B12" s="676"/>
      <c r="C12" s="677"/>
      <c r="D12" s="314" t="s">
        <v>651</v>
      </c>
      <c r="E12" s="314" t="s">
        <v>652</v>
      </c>
      <c r="F12" s="314" t="s">
        <v>653</v>
      </c>
      <c r="G12" s="673"/>
    </row>
    <row r="13" spans="1:9">
      <c r="B13" s="313">
        <v>0</v>
      </c>
      <c r="C13" s="314">
        <v>1.99</v>
      </c>
      <c r="D13" s="314">
        <v>1.98</v>
      </c>
      <c r="E13" s="314">
        <v>1.07</v>
      </c>
      <c r="F13" s="314">
        <v>0.45</v>
      </c>
      <c r="G13" s="132">
        <v>3.5</v>
      </c>
    </row>
    <row r="14" spans="1:9">
      <c r="B14" s="313">
        <v>2</v>
      </c>
      <c r="C14" s="314">
        <v>10.99</v>
      </c>
      <c r="D14" s="314">
        <v>2.2400000000000002</v>
      </c>
      <c r="E14" s="314">
        <v>1.21</v>
      </c>
      <c r="F14" s="314">
        <v>0.45</v>
      </c>
      <c r="G14" s="132">
        <v>3.9</v>
      </c>
    </row>
    <row r="15" spans="1:9">
      <c r="B15" s="313">
        <v>11</v>
      </c>
      <c r="C15" s="314">
        <v>20.99</v>
      </c>
      <c r="D15" s="314">
        <v>2.15</v>
      </c>
      <c r="E15" s="314">
        <v>1.1599999999999999</v>
      </c>
      <c r="F15" s="314">
        <v>0.45</v>
      </c>
      <c r="G15" s="132">
        <v>3.76</v>
      </c>
    </row>
    <row r="16" spans="1:9">
      <c r="B16" s="313">
        <v>21</v>
      </c>
      <c r="C16" s="314">
        <v>30.99</v>
      </c>
      <c r="D16" s="314">
        <v>1.98</v>
      </c>
      <c r="E16" s="314">
        <v>1.07</v>
      </c>
      <c r="F16" s="314">
        <v>0.45</v>
      </c>
      <c r="G16" s="132">
        <v>3.5</v>
      </c>
    </row>
    <row r="17" spans="2:10">
      <c r="B17" s="313">
        <v>31</v>
      </c>
      <c r="C17" s="314">
        <v>40.99</v>
      </c>
      <c r="D17" s="314">
        <v>1.79</v>
      </c>
      <c r="E17" s="314">
        <v>0.97</v>
      </c>
      <c r="F17" s="314">
        <v>0.45</v>
      </c>
      <c r="G17" s="132">
        <v>3.21</v>
      </c>
    </row>
    <row r="18" spans="2:10">
      <c r="B18" s="313">
        <v>41</v>
      </c>
      <c r="C18" s="314">
        <v>55.99</v>
      </c>
      <c r="D18" s="314">
        <v>1.59</v>
      </c>
      <c r="E18" s="314">
        <v>0.86</v>
      </c>
      <c r="F18" s="314">
        <v>0.45</v>
      </c>
      <c r="G18" s="132">
        <v>2.9</v>
      </c>
    </row>
    <row r="19" spans="2:10">
      <c r="B19" s="313">
        <v>56</v>
      </c>
      <c r="C19" s="314">
        <v>70.989999999999995</v>
      </c>
      <c r="D19" s="314">
        <v>0.15</v>
      </c>
      <c r="E19" s="314">
        <v>0.81</v>
      </c>
      <c r="F19" s="314">
        <v>0.45</v>
      </c>
      <c r="G19" s="132">
        <v>2.76</v>
      </c>
    </row>
    <row r="20" spans="2:10">
      <c r="B20" s="313">
        <v>71</v>
      </c>
      <c r="C20" s="314">
        <v>100.99</v>
      </c>
      <c r="D20" s="314">
        <v>0.14000000000000001</v>
      </c>
      <c r="E20" s="314">
        <v>0.76</v>
      </c>
      <c r="F20" s="314">
        <v>0.45</v>
      </c>
      <c r="G20" s="132">
        <v>2.61</v>
      </c>
    </row>
    <row r="21" spans="2:10">
      <c r="B21" s="313">
        <v>101</v>
      </c>
      <c r="C21" s="314">
        <v>150.99</v>
      </c>
      <c r="D21" s="314">
        <v>0.12</v>
      </c>
      <c r="E21" s="314">
        <v>0.65</v>
      </c>
      <c r="F21" s="314">
        <v>0.45</v>
      </c>
      <c r="G21" s="132">
        <v>2.2999999999999998</v>
      </c>
    </row>
    <row r="22" spans="2:10">
      <c r="B22" s="313">
        <v>151</v>
      </c>
      <c r="C22" s="314">
        <v>200.99</v>
      </c>
      <c r="D22" s="314">
        <v>1.01</v>
      </c>
      <c r="E22" s="314">
        <v>0.55000000000000004</v>
      </c>
      <c r="F22" s="314">
        <v>0.45</v>
      </c>
      <c r="G22" s="132">
        <v>2.0099999999999998</v>
      </c>
    </row>
    <row r="23" spans="2:10" ht="16" thickBot="1">
      <c r="B23" s="130">
        <v>201</v>
      </c>
      <c r="C23" s="131" t="s">
        <v>654</v>
      </c>
      <c r="D23" s="131">
        <v>0.78</v>
      </c>
      <c r="E23" s="131">
        <v>0.42</v>
      </c>
      <c r="F23" s="131">
        <v>0.45</v>
      </c>
      <c r="G23" s="133">
        <v>1.65</v>
      </c>
    </row>
    <row r="25" spans="2:10" ht="16" thickBot="1"/>
    <row r="26" spans="2:10" ht="16" thickBot="1">
      <c r="H26" s="312" t="s">
        <v>17</v>
      </c>
      <c r="I26" s="312" t="s">
        <v>655</v>
      </c>
      <c r="J26" s="312" t="s">
        <v>18</v>
      </c>
    </row>
    <row r="27" spans="2:10">
      <c r="F27" s="143" t="s">
        <v>144</v>
      </c>
      <c r="G27" s="143" t="s">
        <v>16</v>
      </c>
      <c r="H27" s="23" t="s">
        <v>151</v>
      </c>
      <c r="I27" s="23" t="s">
        <v>151</v>
      </c>
      <c r="J27" s="23" t="s">
        <v>151</v>
      </c>
    </row>
    <row r="28" spans="2:10" ht="48">
      <c r="B28" s="313">
        <f>+B27+1</f>
        <v>1</v>
      </c>
      <c r="C28" s="171" t="s">
        <v>656</v>
      </c>
      <c r="D28" s="142" t="s">
        <v>657</v>
      </c>
      <c r="E28" s="314"/>
      <c r="F28" s="28" t="s">
        <v>20</v>
      </c>
      <c r="G28" s="33">
        <v>1</v>
      </c>
      <c r="H28" s="139">
        <v>151.69999999999999</v>
      </c>
      <c r="I28" s="314">
        <v>35.89</v>
      </c>
      <c r="J28" s="141">
        <f>G28*(H28+I28)</f>
        <v>187.58999999999997</v>
      </c>
    </row>
  </sheetData>
  <mergeCells count="4">
    <mergeCell ref="B3:B5"/>
    <mergeCell ref="D11:F11"/>
    <mergeCell ref="G11:G12"/>
    <mergeCell ref="B11:C12"/>
  </mergeCells>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CB406-D6DC-4FC0-91C3-E123ACE0A3BB}">
  <sheetPr codeName="Sheet6"/>
  <dimension ref="B1:I36"/>
  <sheetViews>
    <sheetView topLeftCell="B4" zoomScale="98" workbookViewId="0">
      <selection activeCell="A4" sqref="A4:XFD27"/>
    </sheetView>
  </sheetViews>
  <sheetFormatPr baseColWidth="10" defaultColWidth="9.1640625" defaultRowHeight="15"/>
  <cols>
    <col min="1" max="1" width="3.1640625" style="167" customWidth="1"/>
    <col min="2" max="2" width="50.33203125" style="167" customWidth="1"/>
    <col min="3" max="3" width="13.6640625" style="3" customWidth="1"/>
    <col min="4" max="4" width="37.1640625" style="3" bestFit="1" customWidth="1"/>
    <col min="5" max="5" width="13" style="3" customWidth="1"/>
    <col min="6" max="6" width="28.6640625" style="167" bestFit="1" customWidth="1"/>
    <col min="7" max="7" width="51.33203125" style="167" bestFit="1" customWidth="1"/>
    <col min="8" max="8" width="6.1640625" style="3" bestFit="1" customWidth="1"/>
    <col min="9" max="9" width="53.5" style="167" customWidth="1"/>
    <col min="10" max="16384" width="9.1640625" style="167"/>
  </cols>
  <sheetData>
    <row r="1" spans="2:9" ht="20">
      <c r="B1" s="678" t="s">
        <v>658</v>
      </c>
      <c r="C1" s="678"/>
      <c r="D1" s="678"/>
      <c r="E1" s="678"/>
      <c r="F1" s="678"/>
      <c r="G1" s="678"/>
      <c r="H1" s="678"/>
    </row>
    <row r="3" spans="2:9" ht="19">
      <c r="B3" s="168" t="s">
        <v>659</v>
      </c>
      <c r="C3" s="168" t="s">
        <v>660</v>
      </c>
      <c r="D3" s="168" t="s">
        <v>661</v>
      </c>
      <c r="E3" s="168" t="s">
        <v>662</v>
      </c>
      <c r="F3" s="168" t="s">
        <v>663</v>
      </c>
      <c r="G3" s="168" t="s">
        <v>664</v>
      </c>
      <c r="H3" s="168" t="s">
        <v>665</v>
      </c>
      <c r="I3" s="169" t="s">
        <v>666</v>
      </c>
    </row>
    <row r="4" spans="2:9" ht="20" customHeight="1">
      <c r="B4" s="170" t="s">
        <v>667</v>
      </c>
      <c r="C4" s="170"/>
      <c r="D4" s="170"/>
      <c r="E4" s="170" t="s">
        <v>1</v>
      </c>
      <c r="F4" s="170"/>
      <c r="G4" s="170"/>
      <c r="H4" s="27" t="s">
        <v>668</v>
      </c>
      <c r="I4" s="103"/>
    </row>
    <row r="5" spans="2:9" ht="20" customHeight="1">
      <c r="B5" s="170" t="s">
        <v>669</v>
      </c>
      <c r="C5" s="170"/>
      <c r="D5" s="170"/>
      <c r="E5" s="170" t="s">
        <v>1</v>
      </c>
      <c r="F5" s="170"/>
      <c r="G5" s="170"/>
      <c r="H5" s="27" t="s">
        <v>668</v>
      </c>
      <c r="I5" s="103"/>
    </row>
    <row r="6" spans="2:9" ht="20" customHeight="1">
      <c r="B6" s="170" t="s">
        <v>670</v>
      </c>
      <c r="C6" s="485"/>
      <c r="D6" s="170"/>
      <c r="E6" s="170" t="s">
        <v>1</v>
      </c>
      <c r="F6" s="170"/>
      <c r="G6" s="170"/>
      <c r="H6" s="27" t="s">
        <v>668</v>
      </c>
      <c r="I6" s="103"/>
    </row>
    <row r="7" spans="2:9" ht="20" customHeight="1">
      <c r="B7" s="170" t="s">
        <v>671</v>
      </c>
      <c r="C7" s="170">
        <v>131377599</v>
      </c>
      <c r="D7" s="170"/>
      <c r="E7" s="170" t="s">
        <v>1</v>
      </c>
      <c r="F7" s="170" t="s">
        <v>672</v>
      </c>
      <c r="G7" s="170" t="s">
        <v>673</v>
      </c>
      <c r="H7" s="27" t="s">
        <v>668</v>
      </c>
      <c r="I7" s="103"/>
    </row>
    <row r="8" spans="2:9" ht="20" customHeight="1">
      <c r="B8" s="170" t="s">
        <v>674</v>
      </c>
      <c r="C8" s="170">
        <v>101566213</v>
      </c>
      <c r="D8" s="170"/>
      <c r="E8" s="170" t="s">
        <v>1</v>
      </c>
      <c r="F8" s="170" t="s">
        <v>675</v>
      </c>
      <c r="G8" s="170" t="s">
        <v>676</v>
      </c>
      <c r="H8" s="27" t="s">
        <v>668</v>
      </c>
      <c r="I8" s="103"/>
    </row>
    <row r="9" spans="2:9" ht="20" customHeight="1">
      <c r="B9" s="170" t="s">
        <v>677</v>
      </c>
      <c r="C9" s="170" t="s">
        <v>678</v>
      </c>
      <c r="D9" s="170" t="s">
        <v>679</v>
      </c>
      <c r="E9" s="170" t="s">
        <v>1</v>
      </c>
      <c r="F9" s="170" t="s">
        <v>680</v>
      </c>
      <c r="G9" s="484" t="s">
        <v>681</v>
      </c>
      <c r="H9" s="27" t="s">
        <v>668</v>
      </c>
      <c r="I9" s="103" t="s">
        <v>1</v>
      </c>
    </row>
    <row r="10" spans="2:9" ht="20" customHeight="1">
      <c r="B10" s="170" t="s">
        <v>682</v>
      </c>
      <c r="C10" s="170">
        <v>130092621</v>
      </c>
      <c r="D10" s="170"/>
      <c r="E10" s="170" t="s">
        <v>1</v>
      </c>
      <c r="F10" s="103" t="s">
        <v>683</v>
      </c>
      <c r="G10" s="170"/>
      <c r="H10" s="27" t="s">
        <v>668</v>
      </c>
      <c r="I10" s="103" t="s">
        <v>684</v>
      </c>
    </row>
    <row r="11" spans="2:9" ht="20" customHeight="1">
      <c r="B11" s="170" t="s">
        <v>685</v>
      </c>
      <c r="C11" s="170">
        <v>130092621</v>
      </c>
      <c r="D11" s="170"/>
      <c r="E11" s="170" t="s">
        <v>1</v>
      </c>
      <c r="F11" s="103" t="s">
        <v>686</v>
      </c>
      <c r="G11" s="170"/>
      <c r="H11" s="27" t="s">
        <v>668</v>
      </c>
      <c r="I11" s="103" t="s">
        <v>684</v>
      </c>
    </row>
    <row r="12" spans="2:9" s="487" customFormat="1" ht="40" customHeight="1">
      <c r="B12" s="484" t="s">
        <v>687</v>
      </c>
      <c r="C12" s="484">
        <v>101563372</v>
      </c>
      <c r="D12" s="103" t="s">
        <v>688</v>
      </c>
      <c r="E12" s="170" t="s">
        <v>1</v>
      </c>
      <c r="F12" s="484" t="s">
        <v>689</v>
      </c>
      <c r="G12" s="103" t="s">
        <v>690</v>
      </c>
      <c r="H12" s="103" t="s">
        <v>668</v>
      </c>
      <c r="I12" s="103" t="s">
        <v>691</v>
      </c>
    </row>
    <row r="13" spans="2:9" s="487" customFormat="1" ht="40" customHeight="1">
      <c r="B13" s="103" t="s">
        <v>692</v>
      </c>
      <c r="C13" s="484">
        <v>101719257</v>
      </c>
      <c r="D13" s="103" t="s">
        <v>693</v>
      </c>
      <c r="E13" s="170" t="s">
        <v>1</v>
      </c>
      <c r="F13" s="103" t="s">
        <v>694</v>
      </c>
      <c r="G13" s="103" t="s">
        <v>695</v>
      </c>
      <c r="H13" s="103" t="s">
        <v>668</v>
      </c>
      <c r="I13" s="103" t="s">
        <v>696</v>
      </c>
    </row>
    <row r="14" spans="2:9" s="487" customFormat="1" ht="40" customHeight="1">
      <c r="B14" s="484" t="s">
        <v>697</v>
      </c>
      <c r="C14" s="484">
        <v>101563372</v>
      </c>
      <c r="D14" s="103" t="s">
        <v>688</v>
      </c>
      <c r="E14" s="170" t="s">
        <v>1</v>
      </c>
      <c r="F14" s="484" t="s">
        <v>941</v>
      </c>
      <c r="G14" s="103" t="s">
        <v>699</v>
      </c>
      <c r="H14" s="103" t="s">
        <v>668</v>
      </c>
      <c r="I14" s="103" t="s">
        <v>691</v>
      </c>
    </row>
    <row r="15" spans="2:9" s="487" customFormat="1" ht="40" customHeight="1">
      <c r="B15" s="484" t="s">
        <v>5</v>
      </c>
      <c r="C15" s="484">
        <v>101563372</v>
      </c>
      <c r="D15" s="103" t="s">
        <v>688</v>
      </c>
      <c r="E15" s="484">
        <v>2303</v>
      </c>
      <c r="F15" s="484" t="s">
        <v>698</v>
      </c>
      <c r="G15" s="103" t="s">
        <v>699</v>
      </c>
      <c r="H15" s="103" t="s">
        <v>668</v>
      </c>
      <c r="I15" s="103" t="s">
        <v>691</v>
      </c>
    </row>
    <row r="16" spans="2:9" s="487" customFormat="1" ht="40" customHeight="1">
      <c r="B16" s="103" t="s">
        <v>700</v>
      </c>
      <c r="C16" s="484">
        <v>101563372</v>
      </c>
      <c r="D16" s="103" t="s">
        <v>688</v>
      </c>
      <c r="E16" s="484">
        <v>2303</v>
      </c>
      <c r="F16" s="484" t="s">
        <v>702</v>
      </c>
      <c r="G16" s="103" t="s">
        <v>701</v>
      </c>
      <c r="H16" s="103" t="s">
        <v>668</v>
      </c>
      <c r="I16" s="103" t="s">
        <v>691</v>
      </c>
    </row>
    <row r="17" spans="2:9" s="487" customFormat="1" ht="40" customHeight="1">
      <c r="B17" s="484" t="s">
        <v>703</v>
      </c>
      <c r="C17" s="484">
        <v>101563372</v>
      </c>
      <c r="D17" s="103" t="s">
        <v>688</v>
      </c>
      <c r="E17" s="484">
        <v>2302</v>
      </c>
      <c r="F17" s="103" t="s">
        <v>704</v>
      </c>
      <c r="G17" s="484" t="s">
        <v>705</v>
      </c>
      <c r="H17" s="103" t="s">
        <v>668</v>
      </c>
      <c r="I17" s="103" t="s">
        <v>691</v>
      </c>
    </row>
    <row r="18" spans="2:9" s="487" customFormat="1" ht="40" customHeight="1">
      <c r="B18" s="484" t="s">
        <v>706</v>
      </c>
      <c r="C18" s="484">
        <v>101563372</v>
      </c>
      <c r="D18" s="103" t="s">
        <v>688</v>
      </c>
      <c r="E18" s="170" t="s">
        <v>1</v>
      </c>
      <c r="F18" s="103" t="s">
        <v>707</v>
      </c>
      <c r="G18" s="103" t="s">
        <v>708</v>
      </c>
      <c r="H18" s="103" t="s">
        <v>668</v>
      </c>
      <c r="I18" s="103" t="s">
        <v>691</v>
      </c>
    </row>
    <row r="19" spans="2:9" s="487" customFormat="1" ht="40" customHeight="1">
      <c r="B19" s="484" t="s">
        <v>709</v>
      </c>
      <c r="C19" s="484">
        <v>101712325</v>
      </c>
      <c r="D19" s="484" t="s">
        <v>710</v>
      </c>
      <c r="E19" s="170" t="s">
        <v>1</v>
      </c>
      <c r="F19" s="484" t="s">
        <v>711</v>
      </c>
      <c r="G19" s="484" t="s">
        <v>712</v>
      </c>
      <c r="H19" s="103" t="s">
        <v>668</v>
      </c>
      <c r="I19" s="103"/>
    </row>
    <row r="20" spans="2:9" s="487" customFormat="1" ht="60" customHeight="1">
      <c r="B20" s="484" t="s">
        <v>713</v>
      </c>
      <c r="C20" s="484" t="s">
        <v>714</v>
      </c>
      <c r="D20" s="484" t="s">
        <v>715</v>
      </c>
      <c r="E20" s="170" t="s">
        <v>1</v>
      </c>
      <c r="F20" s="484" t="s">
        <v>716</v>
      </c>
      <c r="G20" s="484" t="s">
        <v>717</v>
      </c>
      <c r="H20" s="103" t="s">
        <v>668</v>
      </c>
      <c r="I20" s="103" t="s">
        <v>718</v>
      </c>
    </row>
    <row r="21" spans="2:9" ht="20" customHeight="1">
      <c r="B21" s="170" t="s">
        <v>719</v>
      </c>
      <c r="C21" s="170" t="s">
        <v>678</v>
      </c>
      <c r="D21" s="170"/>
      <c r="E21" s="170" t="s">
        <v>1</v>
      </c>
      <c r="F21" s="170" t="s">
        <v>720</v>
      </c>
      <c r="G21" s="484" t="s">
        <v>721</v>
      </c>
      <c r="H21" s="27" t="s">
        <v>668</v>
      </c>
      <c r="I21" s="103"/>
    </row>
    <row r="22" spans="2:9" ht="20" customHeight="1">
      <c r="B22" s="170" t="s">
        <v>722</v>
      </c>
      <c r="C22" s="170" t="s">
        <v>678</v>
      </c>
      <c r="D22" s="170"/>
      <c r="E22" s="170" t="s">
        <v>1</v>
      </c>
      <c r="F22" s="170" t="s">
        <v>723</v>
      </c>
      <c r="G22" s="484" t="s">
        <v>724</v>
      </c>
      <c r="H22" s="27" t="s">
        <v>668</v>
      </c>
      <c r="I22" s="103"/>
    </row>
    <row r="23" spans="2:9" ht="20" customHeight="1">
      <c r="B23" s="170" t="s">
        <v>725</v>
      </c>
      <c r="C23" s="170">
        <v>101167203</v>
      </c>
      <c r="D23" s="170" t="s">
        <v>761</v>
      </c>
      <c r="E23" s="170" t="s">
        <v>1</v>
      </c>
      <c r="F23" s="170" t="s">
        <v>762</v>
      </c>
      <c r="G23" s="170" t="s">
        <v>726</v>
      </c>
      <c r="H23" s="27" t="s">
        <v>668</v>
      </c>
      <c r="I23" s="170" t="s">
        <v>1</v>
      </c>
    </row>
    <row r="24" spans="2:9" ht="20" customHeight="1">
      <c r="B24" s="170" t="s">
        <v>727</v>
      </c>
      <c r="C24" s="170">
        <v>106014133</v>
      </c>
      <c r="D24" s="170" t="s">
        <v>727</v>
      </c>
      <c r="E24" s="170" t="s">
        <v>1</v>
      </c>
      <c r="F24" s="170" t="s">
        <v>728</v>
      </c>
      <c r="G24" s="170" t="s">
        <v>729</v>
      </c>
      <c r="H24" s="27" t="s">
        <v>668</v>
      </c>
      <c r="I24" s="486" t="s">
        <v>1</v>
      </c>
    </row>
    <row r="25" spans="2:9" ht="20" customHeight="1">
      <c r="B25" s="170" t="s">
        <v>730</v>
      </c>
      <c r="C25" s="170" t="s">
        <v>1</v>
      </c>
      <c r="D25" s="170" t="s">
        <v>1</v>
      </c>
      <c r="E25" s="170" t="s">
        <v>1</v>
      </c>
      <c r="F25" s="170" t="s">
        <v>731</v>
      </c>
      <c r="G25" s="170" t="s">
        <v>732</v>
      </c>
      <c r="H25" s="27" t="s">
        <v>668</v>
      </c>
      <c r="I25" s="486" t="s">
        <v>1</v>
      </c>
    </row>
    <row r="26" spans="2:9" ht="20" customHeight="1">
      <c r="B26" s="170" t="s">
        <v>733</v>
      </c>
      <c r="C26" s="170" t="s">
        <v>1</v>
      </c>
      <c r="D26" s="170" t="s">
        <v>734</v>
      </c>
      <c r="E26" s="170" t="s">
        <v>1</v>
      </c>
      <c r="F26" s="170" t="s">
        <v>735</v>
      </c>
      <c r="G26" s="170" t="s">
        <v>732</v>
      </c>
      <c r="H26" s="27" t="s">
        <v>668</v>
      </c>
      <c r="I26" s="484" t="s">
        <v>736</v>
      </c>
    </row>
    <row r="27" spans="2:9" ht="20" customHeight="1">
      <c r="B27" s="170" t="s">
        <v>878</v>
      </c>
      <c r="C27" s="170" t="s">
        <v>1</v>
      </c>
      <c r="D27" s="170" t="s">
        <v>877</v>
      </c>
      <c r="E27" s="170" t="s">
        <v>1</v>
      </c>
      <c r="F27" s="170" t="s">
        <v>875</v>
      </c>
      <c r="G27" s="170" t="s">
        <v>876</v>
      </c>
      <c r="H27" s="27" t="s">
        <v>668</v>
      </c>
      <c r="I27" s="103" t="s">
        <v>879</v>
      </c>
    </row>
    <row r="28" spans="2:9" ht="20" customHeight="1"/>
    <row r="29" spans="2:9" ht="20" customHeight="1"/>
    <row r="30" spans="2:9" ht="20" customHeight="1"/>
    <row r="31" spans="2:9" ht="20" customHeight="1"/>
    <row r="32" spans="2:9" ht="20" customHeight="1"/>
    <row r="33" ht="20" customHeight="1"/>
    <row r="34" ht="20" customHeight="1"/>
    <row r="35" ht="20" customHeight="1"/>
    <row r="36" ht="20" customHeight="1"/>
  </sheetData>
  <autoFilter ref="B3:I23" xr:uid="{A61370CC-0103-43D2-8CE5-80654D459C57}">
    <sortState xmlns:xlrd2="http://schemas.microsoft.com/office/spreadsheetml/2017/richdata2" ref="B4:I23">
      <sortCondition ref="B4:B23"/>
    </sortState>
  </autoFilter>
  <sortState xmlns:xlrd2="http://schemas.microsoft.com/office/spreadsheetml/2017/richdata2" ref="B4:H23">
    <sortCondition ref="B3"/>
  </sortState>
  <mergeCells count="1">
    <mergeCell ref="B1:H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7CA3E948E9DDD46845F1CC852377EB3" ma:contentTypeVersion="10" ma:contentTypeDescription="Create a new document." ma:contentTypeScope="" ma:versionID="3969ed5886f96c16d7b8670cdfa6659c">
  <xsd:schema xmlns:xsd="http://www.w3.org/2001/XMLSchema" xmlns:xs="http://www.w3.org/2001/XMLSchema" xmlns:p="http://schemas.microsoft.com/office/2006/metadata/properties" xmlns:ns2="f9cbb4cc-b101-4954-8e42-cfff35539a46" xmlns:ns3="522a0268-b4d9-414e-add3-ff0caf4dda5e" targetNamespace="http://schemas.microsoft.com/office/2006/metadata/properties" ma:root="true" ma:fieldsID="616420a5ffe3c3e22798f47ed41fa34e" ns2:_="" ns3:_="">
    <xsd:import namespace="f9cbb4cc-b101-4954-8e42-cfff35539a46"/>
    <xsd:import namespace="522a0268-b4d9-414e-add3-ff0caf4dda5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cbb4cc-b101-4954-8e42-cfff35539a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2a0268-b4d9-414e-add3-ff0caf4dda5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DB955D-669B-4119-A17E-6E09BED7055A}">
  <ds:schemaRefs>
    <ds:schemaRef ds:uri="http://purl.org/dc/terms/"/>
    <ds:schemaRef ds:uri="f9cbb4cc-b101-4954-8e42-cfff35539a46"/>
    <ds:schemaRef ds:uri="http://www.w3.org/XML/1998/namespace"/>
    <ds:schemaRef ds:uri="http://purl.org/dc/elements/1.1/"/>
    <ds:schemaRef ds:uri="http://schemas.microsoft.com/office/2006/documentManagement/types"/>
    <ds:schemaRef ds:uri="522a0268-b4d9-414e-add3-ff0caf4dda5e"/>
    <ds:schemaRef ds:uri="http://schemas.microsoft.com/office/2006/metadata/properties"/>
    <ds:schemaRef ds:uri="http://schemas.openxmlformats.org/package/2006/metadata/core-propertie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EA05400E-628B-40CD-B6FE-7BCED1B72FF4}">
  <ds:schemaRefs>
    <ds:schemaRef ds:uri="http://schemas.microsoft.com/sharepoint/v3/contenttype/forms"/>
  </ds:schemaRefs>
</ds:datastoreItem>
</file>

<file path=customXml/itemProps3.xml><?xml version="1.0" encoding="utf-8"?>
<ds:datastoreItem xmlns:ds="http://schemas.openxmlformats.org/officeDocument/2006/customXml" ds:itemID="{0D4E7BA3-5C3E-4014-BFBC-BECE3C356D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cbb4cc-b101-4954-8e42-cfff35539a46"/>
    <ds:schemaRef ds:uri="522a0268-b4d9-414e-add3-ff0caf4dda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9</vt:i4>
      </vt:variant>
      <vt:variant>
        <vt:lpstr>Rangos con nombre</vt:lpstr>
      </vt:variant>
      <vt:variant>
        <vt:i4>17</vt:i4>
      </vt:variant>
    </vt:vector>
  </HeadingPairs>
  <TitlesOfParts>
    <vt:vector size="26" baseType="lpstr">
      <vt:lpstr>1. OFERTA</vt:lpstr>
      <vt:lpstr>2. COSTO INDIRECTO</vt:lpstr>
      <vt:lpstr>3. DESGLOSE DE MATERIALES</vt:lpstr>
      <vt:lpstr>4. MODULOS</vt:lpstr>
      <vt:lpstr>MATERIALES</vt:lpstr>
      <vt:lpstr>LISTAS</vt:lpstr>
      <vt:lpstr>Calculadora Internacional</vt:lpstr>
      <vt:lpstr>Calculadora Pick N Send</vt:lpstr>
      <vt:lpstr>Lista de Clientes</vt:lpstr>
      <vt:lpstr>LISTAS!cond_am</vt:lpstr>
      <vt:lpstr>cond_am</vt:lpstr>
      <vt:lpstr>LISTAS!cond_eu</vt:lpstr>
      <vt:lpstr>cond_eu</vt:lpstr>
      <vt:lpstr>MATERIALES!Conductores</vt:lpstr>
      <vt:lpstr>MATERIALES!diametro</vt:lpstr>
      <vt:lpstr>'1. OFERTA'!m_5843577754375898640_StreetAddress</vt:lpstr>
      <vt:lpstr>Marca_ilum</vt:lpstr>
      <vt:lpstr>Marca_Luminaria</vt:lpstr>
      <vt:lpstr>Marca_tomas</vt:lpstr>
      <vt:lpstr>sistema</vt:lpstr>
      <vt:lpstr>Tipo_apagadores</vt:lpstr>
      <vt:lpstr>LISTAS!Tipo_condut</vt:lpstr>
      <vt:lpstr>Tipo_condut</vt:lpstr>
      <vt:lpstr>Tipo_embellecedores</vt:lpstr>
      <vt:lpstr>Tipo_luminaria</vt:lpstr>
      <vt:lpstr>Tipo_tomas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dc:creator>
  <cp:keywords/>
  <dc:description/>
  <cp:lastModifiedBy>Gabriel Valverde</cp:lastModifiedBy>
  <cp:revision/>
  <dcterms:created xsi:type="dcterms:W3CDTF">2015-03-05T02:29:50Z</dcterms:created>
  <dcterms:modified xsi:type="dcterms:W3CDTF">2021-04-10T19:10:04Z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0x01010027CA3E948E9DDD46845F1CC852377EB3</vt:lpwstr>
  </property>
</Properties>
</file>