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ário memor\Documentos\Escola\Opção\TCC\"/>
    </mc:Choice>
  </mc:AlternateContent>
  <bookViews>
    <workbookView xWindow="0" yWindow="0" windowWidth="6900" windowHeight="5628" activeTab="1" xr2:uid="{03B53A7C-240A-4251-8E15-74269A2F7DB7}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8" i="2" s="1"/>
  <c r="C17" i="2"/>
  <c r="B18" i="2"/>
  <c r="B17" i="2"/>
  <c r="B16" i="2"/>
  <c r="B13" i="2"/>
  <c r="A13" i="2"/>
  <c r="B28" i="1"/>
  <c r="B26" i="1"/>
  <c r="B24" i="1"/>
  <c r="B23" i="1"/>
  <c r="M25" i="1"/>
  <c r="M24" i="1"/>
  <c r="M22" i="1"/>
  <c r="M21" i="1"/>
  <c r="M18" i="1"/>
  <c r="M20" i="1"/>
  <c r="C17" i="1"/>
  <c r="C16" i="1"/>
  <c r="F28" i="1"/>
  <c r="N12" i="1" l="1"/>
  <c r="P12" i="1" s="1"/>
  <c r="F15" i="1"/>
  <c r="G15" i="1" s="1"/>
  <c r="N11" i="1"/>
  <c r="O11" i="1" s="1"/>
  <c r="F16" i="1"/>
  <c r="H16" i="1" s="1"/>
  <c r="C6" i="1"/>
  <c r="F29" i="1"/>
  <c r="G29" i="1" s="1"/>
  <c r="G28" i="1"/>
  <c r="C10" i="1"/>
  <c r="P11" i="1" l="1"/>
  <c r="O12" i="1"/>
  <c r="H15" i="1"/>
  <c r="G16" i="1"/>
  <c r="H28" i="1"/>
  <c r="H29" i="1"/>
</calcChain>
</file>

<file path=xl/sharedStrings.xml><?xml version="1.0" encoding="utf-8"?>
<sst xmlns="http://schemas.openxmlformats.org/spreadsheetml/2006/main" count="139" uniqueCount="89">
  <si>
    <t>Variáveis</t>
  </si>
  <si>
    <t>m1</t>
  </si>
  <si>
    <t>m2</t>
  </si>
  <si>
    <t>Unidades</t>
  </si>
  <si>
    <t>kg</t>
  </si>
  <si>
    <t>Valores</t>
  </si>
  <si>
    <t>m3</t>
  </si>
  <si>
    <t>m</t>
  </si>
  <si>
    <t>theta1</t>
  </si>
  <si>
    <t>theta2</t>
  </si>
  <si>
    <t>rad/s</t>
  </si>
  <si>
    <t>rad</t>
  </si>
  <si>
    <t>Vtheta1</t>
  </si>
  <si>
    <t>Vtheta2</t>
  </si>
  <si>
    <t>Atheta1</t>
  </si>
  <si>
    <t>Atheta2</t>
  </si>
  <si>
    <t>rad/s^2</t>
  </si>
  <si>
    <t>rad/s^s</t>
  </si>
  <si>
    <t>g</t>
  </si>
  <si>
    <t>m/s^2</t>
  </si>
  <si>
    <t>a1</t>
  </si>
  <si>
    <t>a2</t>
  </si>
  <si>
    <t>I1</t>
  </si>
  <si>
    <t>I2</t>
  </si>
  <si>
    <t>Torque 1</t>
  </si>
  <si>
    <t>Torque 2</t>
  </si>
  <si>
    <t>kg m^2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</si>
  <si>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</si>
  <si>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</si>
  <si>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</si>
  <si>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</si>
  <si>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</si>
  <si>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</si>
  <si>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</si>
  <si>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</si>
  <si>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</si>
  <si>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</si>
  <si>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</si>
  <si>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</si>
  <si>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</si>
  <si>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</si>
  <si>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</si>
  <si>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</si>
  <si>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</si>
  <si>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</si>
  <si>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</si>
  <si>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</si>
  <si>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</si>
  <si>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</si>
  <si>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</si>
  <si>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</si>
  <si>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</si>
  <si>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Nm</t>
  </si>
  <si>
    <t>kgfcm</t>
  </si>
  <si>
    <t>Nmm</t>
  </si>
  <si>
    <t>kgf cm</t>
  </si>
  <si>
    <t>lg2</t>
  </si>
  <si>
    <t>s</t>
  </si>
  <si>
    <t>grau</t>
  </si>
  <si>
    <t>rpm</t>
  </si>
  <si>
    <t>Pot</t>
  </si>
  <si>
    <t>Torque</t>
  </si>
  <si>
    <t>CV</t>
  </si>
  <si>
    <t>W</t>
  </si>
  <si>
    <t>K</t>
  </si>
  <si>
    <t xml:space="preserve">Tempo </t>
  </si>
  <si>
    <t>Aceleração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</si>
  <si>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</si>
  <si>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</si>
  <si>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</si>
  <si>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</si>
  <si>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</si>
  <si>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</si>
  <si>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</si>
  <si>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</si>
  <si>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</si>
  <si>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</si>
  <si>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</si>
  <si>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</si>
  <si>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</si>
  <si>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</si>
  <si>
    <t>IA</t>
  </si>
  <si>
    <t>ID</t>
  </si>
  <si>
    <t>Acel 1</t>
  </si>
  <si>
    <t>Acel 2</t>
  </si>
  <si>
    <t>L1</t>
  </si>
  <si>
    <t>L2</t>
  </si>
  <si>
    <t>r2</t>
  </si>
  <si>
    <t>theta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</si>
</sst>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_-;\-* #,##0.000_-;_-* &quot;-&quot;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8</xdr:row>
      <xdr:rowOff>22860</xdr:rowOff>
    </xdr:from>
    <xdr:to>
      <xdr:col>11</xdr:col>
      <xdr:colOff>205740</xdr:colOff>
      <xdr:row>13</xdr:row>
      <xdr:rowOff>15319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B8B9DA6-484D-489A-973E-A8A776611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485900"/>
          <a:ext cx="4899660" cy="90685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17</xdr:row>
      <xdr:rowOff>175260</xdr:rowOff>
    </xdr:from>
    <xdr:to>
      <xdr:col>10</xdr:col>
      <xdr:colOff>706755</xdr:colOff>
      <xdr:row>25</xdr:row>
      <xdr:rowOff>102870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C273E0A-F48E-4A0B-8E90-909205C69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" y="3101340"/>
          <a:ext cx="4714875" cy="1390650"/>
        </a:xfrm>
        <a:prstGeom prst="rect">
          <a:avLst/>
        </a:prstGeom>
      </xdr:spPr>
    </xdr:pic>
    <xdr:clientData/>
  </xdr:twoCellAnchor>
  <xdr:twoCellAnchor editAs="oneCell">
    <xdr:from>
      <xdr:col>11</xdr:col>
      <xdr:colOff>708660</xdr:colOff>
      <xdr:row>2</xdr:row>
      <xdr:rowOff>121920</xdr:rowOff>
    </xdr:from>
    <xdr:to>
      <xdr:col>19</xdr:col>
      <xdr:colOff>419100</xdr:colOff>
      <xdr:row>6</xdr:row>
      <xdr:rowOff>160020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592EEAF-1A4B-477C-A92E-916B98D76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780" y="487680"/>
          <a:ext cx="5501640" cy="76962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6</xdr:row>
      <xdr:rowOff>160020</xdr:rowOff>
    </xdr:from>
    <xdr:to>
      <xdr:col>20</xdr:col>
      <xdr:colOff>99060</xdr:colOff>
      <xdr:row>9</xdr:row>
      <xdr:rowOff>38100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9F16CE0-B4AD-49A3-9AC1-E8603C20B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240" y="1257300"/>
          <a:ext cx="6035040" cy="42672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2</xdr:row>
      <xdr:rowOff>15240</xdr:rowOff>
    </xdr:from>
    <xdr:to>
      <xdr:col>10</xdr:col>
      <xdr:colOff>686203</xdr:colOff>
      <xdr:row>8</xdr:row>
      <xdr:rowOff>152507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9ECFF1-3EAB-4DDB-B61D-BF421D9B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1000"/>
          <a:ext cx="4656223" cy="1234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22860</xdr:rowOff>
    </xdr:from>
    <xdr:to>
      <xdr:col>7</xdr:col>
      <xdr:colOff>150495</xdr:colOff>
      <xdr:row>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AEDF47-5BB8-425E-946C-1BA8199D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205740"/>
          <a:ext cx="4714875" cy="1390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349D9-9DC9-4A5E-912B-BCE92A8EE85F}" name="Tabela1" displayName="Tabela1" ref="A1:Y32" totalsRowShown="0">
  <autoFilter ref="A1:Y32" xr:uid="{E00616BD-B512-4B9D-931D-78E2ED10BF80}"/>
  <tableColumns count="25">
    <tableColumn id="1" xr3:uid="{22448E43-BC82-433F-81B1-56EB65C338BA}" name="Coluna1"/>
    <tableColumn id="2" xr3:uid="{2FEBB9BC-D49E-492F-B982-6D8C9090EFB7}" name="Coluna2"/>
    <tableColumn id="3" xr3:uid="{CF75D498-013A-4746-A581-5ABA0F7EDD3E}" name="Coluna3"/>
    <tableColumn id="4" xr3:uid="{C7ADE1D9-9509-4E78-B399-1C882ECD8DD6}" name="Coluna4"/>
    <tableColumn id="5" xr3:uid="{0547900C-CBF3-4CE8-AB02-791F872351FC}" name="Coluna5"/>
    <tableColumn id="6" xr3:uid="{541A2827-42E0-48D6-A472-82263114E289}" name="Coluna6"/>
    <tableColumn id="7" xr3:uid="{1472CE0A-F97B-4F6A-B356-4CA684800A0B}" name="Coluna7"/>
    <tableColumn id="8" xr3:uid="{00855465-0034-4EEC-B9EC-EF1E6F9A3333}" name="Coluna8"/>
    <tableColumn id="9" xr3:uid="{4EFE5A73-80F4-4AB0-8B6C-A03504B333AA}" name="Coluna9"/>
    <tableColumn id="10" xr3:uid="{D24A2A81-A2FD-464E-93A5-5CF5582315F9}" name="Coluna10"/>
    <tableColumn id="11" xr3:uid="{9D1DEBBB-0BD0-4D1F-B648-1A7793C2DA93}" name="Coluna11"/>
    <tableColumn id="12" xr3:uid="{BE635A4E-0E9F-476C-8C60-9376FE26E2D7}" name="Coluna12"/>
    <tableColumn id="13" xr3:uid="{EC9FC7AC-8A01-4667-A9D5-3AF8AAA68409}" name="Coluna13"/>
    <tableColumn id="14" xr3:uid="{09E257DF-A51A-4C3A-9A99-E75D642F82D9}" name="Coluna14"/>
    <tableColumn id="15" xr3:uid="{E0F357A7-9913-4033-8EF3-A0847E74930C}" name="Coluna15"/>
    <tableColumn id="16" xr3:uid="{6112FC23-04C9-47B0-B333-40B4952A7FB2}" name="Coluna16"/>
    <tableColumn id="17" xr3:uid="{F4EF312D-0D16-402C-8904-33A30A9B5439}" name="Coluna17"/>
    <tableColumn id="18" xr3:uid="{B3F589F9-E6C6-48B1-83D5-5B450076AFF2}" name="Coluna18"/>
    <tableColumn id="19" xr3:uid="{6A11E75A-266D-420B-AD61-A5C9E7BFCCEF}" name="Coluna19"/>
    <tableColumn id="20" xr3:uid="{8212FB76-7260-400A-BCD6-2E99D6C9CFAF}" name="Coluna20"/>
    <tableColumn id="21" xr3:uid="{02767851-A82A-4FDF-8DC0-632117F4B571}" name="Coluna21"/>
    <tableColumn id="22" xr3:uid="{AEB3A456-45C6-4ED0-8DA7-09040D7BB93C}" name="Coluna22"/>
    <tableColumn id="23" xr3:uid="{E76BFACE-E328-44FD-B21C-772D036F5E3F}" name="Coluna23"/>
    <tableColumn id="24" xr3:uid="{F4394B4D-74CE-407E-A417-FAA849635EA8}" name="Coluna24"/>
    <tableColumn id="25" xr3:uid="{B91D999D-7544-4C93-9748-AF48CCA7526B}" name="Coluna25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704D5-BA7B-459D-B0E7-23AEEA3C7BBB}" name="Tabela2" displayName="Tabela2" ref="A1:AM148" totalsRowShown="0">
  <autoFilter ref="A1:AM148" xr:uid="{3A2277A2-EC2A-45D9-9E81-519CE5F6C7E3}"/>
  <tableColumns count="39">
    <tableColumn id="1" xr3:uid="{9EBEA78D-BAB2-4D0D-8E84-E26C553D13D4}" name="Coluna1"/>
    <tableColumn id="2" xr3:uid="{FAB37F52-C1EA-4CF1-85E6-B0DFD7801BD0}" name="Coluna2"/>
    <tableColumn id="3" xr3:uid="{FC036A39-B2E2-4A3C-86F6-E92174325958}" name="Coluna3"/>
    <tableColumn id="4" xr3:uid="{BE7D6862-3A90-46A6-B3D2-5931F02AD0C6}" name="Coluna4"/>
    <tableColumn id="5" xr3:uid="{58903003-9026-4D03-BFB2-6BF02F6ECD85}" name="Coluna5"/>
    <tableColumn id="6" xr3:uid="{002778F6-E7BB-46A1-A72B-048EAE53F5D4}" name="Coluna6"/>
    <tableColumn id="7" xr3:uid="{44366AA7-E727-4521-92CB-8CB05488FD87}" name="Coluna7"/>
    <tableColumn id="8" xr3:uid="{ABBE7E42-A6E8-40BF-8CFE-AD503CCCD456}" name="Coluna8"/>
    <tableColumn id="9" xr3:uid="{16B953AC-8872-4BE6-ADBA-FE5401D8FC4D}" name="Coluna9"/>
    <tableColumn id="10" xr3:uid="{3AA69CAA-2C34-49A8-B241-42FB8E773761}" name="Coluna10"/>
    <tableColumn id="11" xr3:uid="{E1E027E2-C947-46FC-AA3F-CF4173F5FC67}" name="Coluna11"/>
    <tableColumn id="12" xr3:uid="{6E3140B8-BA31-4771-A665-10B96A3E3E17}" name="Coluna12"/>
    <tableColumn id="13" xr3:uid="{89C29A81-7FF0-461D-88EE-A889C464D58E}" name="Coluna13"/>
    <tableColumn id="14" xr3:uid="{307C2BB8-7125-466F-AABD-2AF42B3B8A88}" name="Coluna14"/>
    <tableColumn id="15" xr3:uid="{AE117049-4A2B-4F15-8ED4-4A862D6DDF75}" name="Coluna15"/>
    <tableColumn id="16" xr3:uid="{A0C31CB4-A50E-4F71-9F54-4B8AE0DD0FCF}" name="Coluna16"/>
    <tableColumn id="17" xr3:uid="{262956DD-AEF3-4160-A60E-493D2CD5DB6C}" name="Coluna17"/>
    <tableColumn id="18" xr3:uid="{54CD862B-47F3-4FF0-819A-BCF41735FDF6}" name="Coluna18"/>
    <tableColumn id="19" xr3:uid="{EC2651D2-6BE4-4FD1-84DE-9ED98CCFB316}" name="Coluna19"/>
    <tableColumn id="20" xr3:uid="{680B9DAE-C14F-4B1A-8055-79B7B9024E8C}" name="Coluna20"/>
    <tableColumn id="21" xr3:uid="{A27A50EA-8953-498C-9D38-4E682E9B311D}" name="Coluna21"/>
    <tableColumn id="22" xr3:uid="{0E8AF34A-2D09-4673-B457-84A5680D1462}" name="Coluna22"/>
    <tableColumn id="23" xr3:uid="{C339E49B-47FB-4259-B699-6A37845EDD5C}" name="Coluna23"/>
    <tableColumn id="24" xr3:uid="{1E6735D9-3828-4446-9371-AA3F950D8A5C}" name="Coluna24"/>
    <tableColumn id="25" xr3:uid="{DBEE12F0-5AEA-4BF1-B133-1596637878E8}" name="Coluna25"/>
    <tableColumn id="26" xr3:uid="{E1855C79-4B23-4B98-B0F1-6B0AAC8065BD}" name="Coluna26"/>
    <tableColumn id="27" xr3:uid="{E83D4026-CEB5-4961-816F-BC94718AC3B1}" name="Coluna27"/>
    <tableColumn id="28" xr3:uid="{1D30A2B1-A6D7-4CB1-81BA-65EDE4A79B15}" name="Coluna28"/>
    <tableColumn id="29" xr3:uid="{49C5C237-BB01-45DD-B2B7-F9EA5F7DCAF0}" name="Coluna29"/>
    <tableColumn id="30" xr3:uid="{E0358A48-3C92-4503-A70B-0A644B1AB876}" name="Coluna30"/>
    <tableColumn id="31" xr3:uid="{BCEBD1A3-D8F7-4F7B-831A-450FADD9B91C}" name="Coluna31"/>
    <tableColumn id="32" xr3:uid="{A70AA7CA-7B1D-4E4D-8E32-82F243EC8376}" name="Coluna32"/>
    <tableColumn id="33" xr3:uid="{22242F1C-9009-49E5-8C89-D2CCA2E268CA}" name="Coluna33"/>
    <tableColumn id="34" xr3:uid="{8C73FF62-373E-4C3B-899D-ED63FAFC4167}" name="Coluna34"/>
    <tableColumn id="35" xr3:uid="{34866916-40D6-4339-AEB6-9D94086D27F2}" name="Coluna35"/>
    <tableColumn id="36" xr3:uid="{D30C234C-3BC6-471A-9DF0-04861B836C4B}" name="Coluna36"/>
    <tableColumn id="37" xr3:uid="{D2396FB7-42CF-40DF-B7F2-DA652F2F23FA}" name="Coluna37"/>
    <tableColumn id="38" xr3:uid="{530D5B91-53B9-4D2A-BDF2-A37BFA0BAF86}" name="Coluna38"/>
    <tableColumn id="39" xr3:uid="{6AFE3A2E-1575-44C1-980D-85FA4E0B13D5}" name="Coluna39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7616-0F15-46F5-A211-187C5435E7D0}">
  <dimension ref="A1:Y29"/>
  <sheetViews>
    <sheetView topLeftCell="A7" workbookViewId="0">
      <selection activeCell="C15" sqref="C15"/>
    </sheetView>
  </sheetViews>
  <sheetFormatPr defaultRowHeight="14.4" x14ac:dyDescent="0.3"/>
  <cols>
    <col min="1" max="1" width="10.5546875" customWidth="1"/>
    <col min="2" max="5" width="9.5546875" customWidth="1"/>
    <col min="6" max="6" width="9.88671875" bestFit="1" customWidth="1"/>
    <col min="7" max="9" width="9.5546875" customWidth="1"/>
    <col min="10" max="25" width="10.5546875" customWidth="1"/>
  </cols>
  <sheetData>
    <row r="1" spans="1:25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</row>
    <row r="2" spans="1:25" x14ac:dyDescent="0.3">
      <c r="A2" s="1" t="s">
        <v>0</v>
      </c>
      <c r="B2" s="1" t="s">
        <v>3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5" x14ac:dyDescent="0.3">
      <c r="A4" s="1" t="s">
        <v>1</v>
      </c>
      <c r="B4" s="1" t="s">
        <v>4</v>
      </c>
      <c r="C4" s="3">
        <v>0.221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5" x14ac:dyDescent="0.3">
      <c r="A5" s="1" t="s">
        <v>2</v>
      </c>
      <c r="B5" s="1" t="s">
        <v>4</v>
      </c>
      <c r="C5" s="3">
        <v>0.34399999999999997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5" x14ac:dyDescent="0.3">
      <c r="A6" s="1" t="s">
        <v>6</v>
      </c>
      <c r="B6" s="1" t="s">
        <v>4</v>
      </c>
      <c r="C6" s="3">
        <f>45/1000</f>
        <v>4.4999999999999998E-2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5" x14ac:dyDescent="0.3">
      <c r="A7" s="1" t="s">
        <v>20</v>
      </c>
      <c r="B7" s="1" t="s">
        <v>7</v>
      </c>
      <c r="C7" s="3">
        <v>0.13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5" x14ac:dyDescent="0.3">
      <c r="A8" s="1" t="s">
        <v>21</v>
      </c>
      <c r="B8" s="1" t="s">
        <v>7</v>
      </c>
      <c r="C8" s="3">
        <v>0.13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5" x14ac:dyDescent="0.3">
      <c r="A9" s="1" t="s">
        <v>8</v>
      </c>
      <c r="B9" s="1" t="s">
        <v>11</v>
      </c>
      <c r="C9" s="3">
        <v>0</v>
      </c>
      <c r="D9" s="1"/>
      <c r="E9" s="1"/>
      <c r="F9" s="1"/>
      <c r="G9" s="1"/>
      <c r="H9" s="1"/>
      <c r="I9" s="1"/>
      <c r="J9" s="1"/>
      <c r="K9" s="1"/>
      <c r="L9" s="1"/>
    </row>
    <row r="10" spans="1:25" x14ac:dyDescent="0.3">
      <c r="A10" s="1" t="s">
        <v>9</v>
      </c>
      <c r="B10" s="1" t="s">
        <v>11</v>
      </c>
      <c r="C10" s="3">
        <f>0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 t="s">
        <v>52</v>
      </c>
      <c r="O10" s="1" t="s">
        <v>54</v>
      </c>
      <c r="P10" s="1" t="s">
        <v>55</v>
      </c>
    </row>
    <row r="11" spans="1:25" x14ac:dyDescent="0.3">
      <c r="A11" s="1" t="s">
        <v>12</v>
      </c>
      <c r="B11" s="1" t="s">
        <v>10</v>
      </c>
      <c r="C11" s="3">
        <v>1.163</v>
      </c>
      <c r="D11" s="1"/>
      <c r="E11" s="1"/>
      <c r="F11" s="1"/>
      <c r="G11" s="1"/>
      <c r="H11" s="1"/>
      <c r="I11" s="1"/>
      <c r="J11" s="1"/>
      <c r="K11" s="1"/>
      <c r="L11" s="1"/>
      <c r="M11" s="2" t="s">
        <v>24</v>
      </c>
      <c r="N11" s="2">
        <f>(C4*POWER(C19,2)+C5*POWER(C7,2)+C5*POWER(C18,2)+C16+C17+2*C5*C7*C18*COS(C10))*C13+(C5*POWER(C18,2)+C17+C5*C7*C18*COS(C10))*C14-C5*C7*C18*(2*C11+C12)*C12*SIN(C10)+(C4*C15*C19+C5*C15*C7)*COS(C9)+C5*C15*C18*COS(C9+C10)</f>
        <v>2.2383950144639999</v>
      </c>
      <c r="O11" s="2">
        <f>Tabela1[[#This Row],[Coluna14]]*1000</f>
        <v>2238.3950144639998</v>
      </c>
      <c r="P11" s="2">
        <f>Tabela1[[#This Row],[Coluna14]]*100/9.81</f>
        <v>22.817482308501528</v>
      </c>
      <c r="Q11" s="7"/>
    </row>
    <row r="12" spans="1:25" x14ac:dyDescent="0.3">
      <c r="A12" s="1" t="s">
        <v>13</v>
      </c>
      <c r="B12" s="1" t="s">
        <v>10</v>
      </c>
      <c r="C12" s="3">
        <v>1.163</v>
      </c>
      <c r="D12" s="1"/>
      <c r="E12" s="1"/>
      <c r="F12" s="1"/>
      <c r="G12" s="1"/>
      <c r="H12" s="1"/>
      <c r="I12" s="1"/>
      <c r="J12" s="1"/>
      <c r="K12" s="1"/>
      <c r="L12" s="1"/>
      <c r="M12" s="2" t="s">
        <v>25</v>
      </c>
      <c r="N12" s="2">
        <f>(C5*POWER(C18,2)+C17+C5*C7*C18*COS(C10))*C13+(C5*POWER(C18,2)+C17)*C14+C5*C7*C18*POWER(C11,2)*SIN(C10)+C5*C15*C18*COS(C9+C10)</f>
        <v>1.0360491658240001</v>
      </c>
      <c r="O12" s="2">
        <f>Tabela1[[#This Row],[Coluna14]]*1000</f>
        <v>1036.0491658240001</v>
      </c>
      <c r="P12" s="2">
        <f>Tabela1[[#This Row],[Coluna14]]*100/9.81</f>
        <v>10.561153576187564</v>
      </c>
      <c r="Q12" s="7"/>
    </row>
    <row r="13" spans="1:25" x14ac:dyDescent="0.3">
      <c r="A13" s="1" t="s">
        <v>14</v>
      </c>
      <c r="B13" s="1" t="s">
        <v>16</v>
      </c>
      <c r="C13" s="3">
        <v>49.372</v>
      </c>
      <c r="D13" s="1"/>
      <c r="I13" s="1"/>
      <c r="J13" s="1"/>
      <c r="K13" s="1"/>
      <c r="L13" s="1"/>
      <c r="M13" s="2"/>
      <c r="N13" s="2"/>
      <c r="O13" s="2"/>
      <c r="P13" s="2"/>
      <c r="Q13" s="7"/>
    </row>
    <row r="14" spans="1:25" x14ac:dyDescent="0.3">
      <c r="A14" s="1" t="s">
        <v>15</v>
      </c>
      <c r="B14" s="1" t="s">
        <v>17</v>
      </c>
      <c r="C14" s="3">
        <v>49.372</v>
      </c>
      <c r="D14" s="1"/>
      <c r="E14" s="1"/>
      <c r="F14" s="1" t="s">
        <v>52</v>
      </c>
      <c r="G14" s="1" t="s">
        <v>54</v>
      </c>
      <c r="H14" s="1" t="s">
        <v>53</v>
      </c>
      <c r="I14" s="1"/>
      <c r="J14" s="1"/>
      <c r="K14" s="1"/>
      <c r="L14" s="1"/>
      <c r="M14" s="1"/>
      <c r="N14" s="1"/>
      <c r="O14" s="1"/>
      <c r="P14" s="1"/>
    </row>
    <row r="15" spans="1:25" x14ac:dyDescent="0.3">
      <c r="A15" s="1" t="s">
        <v>18</v>
      </c>
      <c r="B15" s="1" t="s">
        <v>19</v>
      </c>
      <c r="C15" s="3">
        <v>9.81</v>
      </c>
      <c r="D15" s="1"/>
      <c r="E15" s="1" t="s">
        <v>24</v>
      </c>
      <c r="F15" s="2">
        <f xml:space="preserve"> ((C4/3+C5+C6)*POWER(C7,2)+(C5+2*C6)*C7*C8*COS(C10)+(C5/3+C6)*POWER(C8,2))*C13-((C5/2+C6)*C7*C8*COS(C10)+(C5/3+C6)*POWER(C8,2))*POWER(C14,2)-C7*C8*SIN(C10)*((C5+2*C6)*C11*C12-(C5/2+C6)*POWER(C11,2))</f>
        <v>-14.635522727349331</v>
      </c>
      <c r="G15" s="2">
        <f>1000*Tabela1[[#This Row],[Coluna6]]</f>
        <v>-14635.522727349331</v>
      </c>
      <c r="H15" s="2">
        <f>Tabela1[[#This Row],[Coluna6]]*100/9.81</f>
        <v>-149.18983412180765</v>
      </c>
      <c r="I15" s="1"/>
      <c r="J15" s="1"/>
      <c r="K15" s="1"/>
      <c r="L15" s="1"/>
      <c r="M15" s="1"/>
      <c r="N15" s="1"/>
      <c r="O15" s="1"/>
      <c r="P15" s="1"/>
    </row>
    <row r="16" spans="1:25" x14ac:dyDescent="0.3">
      <c r="A16" s="1" t="s">
        <v>22</v>
      </c>
      <c r="B16" s="1" t="s">
        <v>26</v>
      </c>
      <c r="C16" s="3">
        <f>2.23/1000</f>
        <v>2.2299999999999998E-3</v>
      </c>
      <c r="D16" s="1"/>
      <c r="E16" s="1" t="s">
        <v>25</v>
      </c>
      <c r="F16" s="2">
        <f>-((C5/2+C6)*C7*C8*COS(C10)+(C5/3+C6)*POWER(C8,2))*C13+(C5/3+C6)*POWER(C8,2)*C14+(C5/3+C6)*C7*C8*SIN(C10)*POWER(C11,2)</f>
        <v>-0.18106193559999995</v>
      </c>
      <c r="G16" s="2">
        <f>1000*Tabela1[[#This Row],[Coluna6]]</f>
        <v>-181.06193559999994</v>
      </c>
      <c r="H16" s="2">
        <f>Tabela1[[#This Row],[Coluna6]]*100/9.81</f>
        <v>-1.8456874169215081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 t="s">
        <v>23</v>
      </c>
      <c r="B17" s="1" t="s">
        <v>26</v>
      </c>
      <c r="C17" s="3">
        <f>3.43/1000</f>
        <v>3.4300000000000003E-3</v>
      </c>
      <c r="D17" s="1"/>
      <c r="E17" s="1"/>
      <c r="F17" s="1"/>
      <c r="G17" s="1"/>
      <c r="H17" s="1"/>
      <c r="I17" s="1"/>
      <c r="J17" s="1"/>
      <c r="K17" s="6"/>
      <c r="L17" s="1"/>
      <c r="M17" s="5"/>
      <c r="N17" s="1"/>
      <c r="O17" s="1"/>
      <c r="P17" s="1"/>
    </row>
    <row r="18" spans="1:16" x14ac:dyDescent="0.3">
      <c r="A18" s="1" t="s">
        <v>56</v>
      </c>
      <c r="B18" s="1" t="s">
        <v>7</v>
      </c>
      <c r="C18" s="3">
        <v>8.3000000000000004E-2</v>
      </c>
      <c r="D18" s="1"/>
      <c r="E18" s="1"/>
      <c r="F18" s="1"/>
      <c r="G18" s="1"/>
      <c r="H18" s="1"/>
      <c r="I18" s="1"/>
      <c r="J18" s="1"/>
      <c r="K18" s="1"/>
      <c r="L18" s="2" t="s">
        <v>57</v>
      </c>
      <c r="M18" s="2">
        <f>15/1000</f>
        <v>1.4999999999999999E-2</v>
      </c>
      <c r="N18" s="1"/>
      <c r="O18" s="1"/>
      <c r="P18" s="1"/>
    </row>
    <row r="19" spans="1:16" x14ac:dyDescent="0.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2" t="s">
        <v>58</v>
      </c>
      <c r="M19" s="2">
        <v>1</v>
      </c>
      <c r="N19" s="4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 t="s">
        <v>11</v>
      </c>
      <c r="M20" s="2">
        <f>M19*PI()/180</f>
        <v>1.7453292519943295E-2</v>
      </c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 t="s">
        <v>10</v>
      </c>
      <c r="M21" s="8">
        <f>M20/M18</f>
        <v>1.1635528346628865</v>
      </c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 t="s">
        <v>59</v>
      </c>
      <c r="M22" s="2">
        <f>M21/(2*PI()/60)</f>
        <v>11.111111111111112</v>
      </c>
      <c r="N22" s="1"/>
      <c r="O22" s="1"/>
      <c r="P22" s="1"/>
    </row>
    <row r="23" spans="1:16" x14ac:dyDescent="0.3">
      <c r="A23" s="2" t="s">
        <v>64</v>
      </c>
      <c r="B23" s="2">
        <f>POWER(C11,2)*(0.5*(C16+C17+C5*POWER(C7,2)+C5*POWER(C18,2))+C5*C7*C18*COS(0))+POWER(C12,2)*(0.5*(C17+C5*POWER(C18,2)))+C11*C12*(0.5*(C17+C5*POWER(C8,2))+C5*C7*COS(0)*C18)</f>
        <v>2.9576539758584007E-2</v>
      </c>
      <c r="C23" s="1"/>
      <c r="D23" s="1"/>
      <c r="E23" s="1"/>
      <c r="F23" s="1"/>
      <c r="G23" s="1"/>
      <c r="H23" s="1"/>
      <c r="I23" s="1"/>
      <c r="J23" s="1"/>
      <c r="K23" s="1"/>
      <c r="L23" s="2" t="s">
        <v>61</v>
      </c>
      <c r="M23" s="2">
        <v>110</v>
      </c>
      <c r="N23" s="1"/>
      <c r="O23" s="1"/>
      <c r="P23" s="1"/>
    </row>
    <row r="24" spans="1:16" x14ac:dyDescent="0.3">
      <c r="A24" s="2"/>
      <c r="B24" s="2">
        <f>B23*1000</f>
        <v>29.576539758584008</v>
      </c>
      <c r="C24" s="1"/>
      <c r="D24" s="1"/>
      <c r="E24" s="1"/>
      <c r="F24" s="1"/>
      <c r="G24" s="1"/>
      <c r="H24" s="1"/>
      <c r="I24" s="1"/>
      <c r="J24" s="1"/>
      <c r="K24" s="1"/>
      <c r="L24" s="2" t="s">
        <v>60</v>
      </c>
      <c r="M24" s="2">
        <f>M23*M22/716200</f>
        <v>1.7065375903689227E-3</v>
      </c>
      <c r="N24" s="1" t="s">
        <v>62</v>
      </c>
      <c r="O24" s="1"/>
      <c r="P24" s="1"/>
    </row>
    <row r="25" spans="1:16" x14ac:dyDescent="0.3">
      <c r="A25" s="2"/>
      <c r="B25" s="2"/>
      <c r="C25" s="1"/>
      <c r="D25" s="1"/>
      <c r="E25" s="1"/>
      <c r="F25" s="1"/>
      <c r="G25" s="1"/>
      <c r="H25" s="1"/>
      <c r="I25" s="1"/>
      <c r="J25" s="1"/>
      <c r="K25" s="1"/>
      <c r="L25" s="2"/>
      <c r="M25" s="2">
        <f>M24*735.75</f>
        <v>1.255585032113935</v>
      </c>
      <c r="N25" s="1" t="s">
        <v>63</v>
      </c>
      <c r="O25" s="1"/>
      <c r="P25" s="1"/>
    </row>
    <row r="26" spans="1:16" x14ac:dyDescent="0.3">
      <c r="A26" s="2" t="s">
        <v>65</v>
      </c>
      <c r="B26" s="2">
        <f>B23/M25</f>
        <v>2.3555983069333177E-2</v>
      </c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1"/>
      <c r="O26" s="1"/>
      <c r="P26" s="1"/>
    </row>
    <row r="27" spans="1:16" x14ac:dyDescent="0.3">
      <c r="A27" s="2"/>
      <c r="B27" s="2"/>
      <c r="C27" s="1"/>
      <c r="D27" s="1"/>
      <c r="E27" s="1"/>
      <c r="F27" s="1" t="s">
        <v>52</v>
      </c>
      <c r="G27" s="1" t="s">
        <v>54</v>
      </c>
      <c r="H27" s="1" t="s">
        <v>53</v>
      </c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2" t="s">
        <v>66</v>
      </c>
      <c r="B28" s="2">
        <f>C11/B26</f>
        <v>49.371745453242177</v>
      </c>
      <c r="C28" s="1"/>
      <c r="D28" s="1"/>
      <c r="E28" s="1" t="s">
        <v>24</v>
      </c>
      <c r="F28" s="2">
        <f>C13*(0.5*C16+0.5*C17+0.5*C4*(POWER(C7,2))+C5*C7*C18*(COS(0))+0.5*C5*(POWER(C18,2)))+C14*(0.5*C17+C5*C7*C18*(COS(0))+0.5*C5*(POWER(C18,2)))</f>
        <v>0.80011206639200005</v>
      </c>
      <c r="G28" s="2">
        <f>1000*Tabela1[[#This Row],[Coluna6]]</f>
        <v>800.11206639200009</v>
      </c>
      <c r="H28" s="2">
        <f>Tabela1[[#This Row],[Coluna6]]*100/9.81</f>
        <v>8.1560863036901132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 t="s">
        <v>25</v>
      </c>
      <c r="F29" s="2">
        <f>C14*(0.5*C17+0.5*C5*POWER(C18,2))+C13*(0.5*C17+C5*C7*C18*COS(C10)+0.5*C5*POWER(C18,2))</f>
        <v>0.46960553027200003</v>
      </c>
      <c r="G29" s="2">
        <f>1000*Tabela1[[#This Row],[Coluna6]]</f>
        <v>469.60553027200001</v>
      </c>
      <c r="H29" s="2">
        <f>Tabela1[[#This Row],[Coluna6]]*100/9.81</f>
        <v>4.7870084635270134</v>
      </c>
      <c r="I29" s="1"/>
      <c r="J29" s="1"/>
      <c r="K29" s="1"/>
      <c r="L29" s="1"/>
      <c r="M29" s="1"/>
      <c r="N29" s="1"/>
      <c r="O29" s="1"/>
      <c r="P29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BCD8-478F-4FE4-B92D-809082835933}">
  <dimension ref="A1:AM23"/>
  <sheetViews>
    <sheetView tabSelected="1" workbookViewId="0">
      <selection activeCell="C17" sqref="C17"/>
    </sheetView>
  </sheetViews>
  <sheetFormatPr defaultRowHeight="14.4" x14ac:dyDescent="0.3"/>
  <cols>
    <col min="1" max="9" width="9.5546875" customWidth="1"/>
    <col min="10" max="39" width="10.5546875" customWidth="1"/>
  </cols>
  <sheetData>
    <row r="1" spans="1:3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</row>
    <row r="11" spans="1:3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39" x14ac:dyDescent="0.3">
      <c r="A12" s="2" t="s">
        <v>81</v>
      </c>
      <c r="B12" s="2" t="s">
        <v>82</v>
      </c>
      <c r="C12" s="2" t="s">
        <v>1</v>
      </c>
      <c r="D12" s="2" t="s">
        <v>2</v>
      </c>
      <c r="E12" s="2" t="s">
        <v>83</v>
      </c>
      <c r="F12" s="2" t="s">
        <v>84</v>
      </c>
      <c r="G12" s="2" t="s">
        <v>85</v>
      </c>
      <c r="H12" s="2" t="s">
        <v>86</v>
      </c>
      <c r="I12" s="2" t="s">
        <v>87</v>
      </c>
      <c r="J12" s="2" t="s">
        <v>88</v>
      </c>
    </row>
    <row r="13" spans="1:39" x14ac:dyDescent="0.3">
      <c r="A13" s="2">
        <f>2.23/1000</f>
        <v>2.2299999999999998E-3</v>
      </c>
      <c r="B13" s="2">
        <f>3.34/1000</f>
        <v>3.3399999999999997E-3</v>
      </c>
      <c r="C13" s="2">
        <v>0.221</v>
      </c>
      <c r="D13" s="2">
        <v>0.34399999999999997</v>
      </c>
      <c r="E13" s="2">
        <v>49.372</v>
      </c>
      <c r="F13" s="2">
        <v>49.372</v>
      </c>
      <c r="G13" s="2">
        <v>0.13</v>
      </c>
      <c r="H13" s="2">
        <v>0.13</v>
      </c>
      <c r="I13" s="2">
        <v>8.3000000000000004E-2</v>
      </c>
      <c r="J13" s="2">
        <v>0</v>
      </c>
    </row>
    <row r="14" spans="1:39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39" x14ac:dyDescent="0.3">
      <c r="A15" s="2"/>
      <c r="B15" s="2" t="s">
        <v>24</v>
      </c>
      <c r="C15" s="2" t="s">
        <v>25</v>
      </c>
      <c r="D15" s="2"/>
      <c r="E15" s="2"/>
      <c r="F15" s="2"/>
      <c r="G15" s="2"/>
      <c r="H15" s="2"/>
      <c r="I15" s="2"/>
      <c r="J15" s="2"/>
    </row>
    <row r="16" spans="1:39" x14ac:dyDescent="0.3">
      <c r="A16" s="2" t="s">
        <v>52</v>
      </c>
      <c r="B16" s="2">
        <f>E13*(0.5*(A13+B13+D13*POWER(G13,2)+D13*POWER(I13,2))+D13*G13*I13*COS(J13))+F13*(0.5*(B13+D13*POWER(I13,2))+D13*G13*I13*COS(J13))</f>
        <v>0.8469833745919999</v>
      </c>
      <c r="C16" s="2">
        <f>F13*(0.5*(B13+D13*POWER(I13,2))) + E13*(0.5*(B13+D13*POWER(I13,2))+D13*G13*I13*COS(J13))</f>
        <v>0.46516205027199997</v>
      </c>
      <c r="D16" s="2"/>
      <c r="E16" s="2"/>
      <c r="F16" s="2"/>
      <c r="G16" s="2"/>
      <c r="H16" s="2"/>
      <c r="I16" s="2"/>
      <c r="J16" s="2"/>
    </row>
    <row r="17" spans="1:10" x14ac:dyDescent="0.3">
      <c r="A17" s="2" t="s">
        <v>54</v>
      </c>
      <c r="B17" s="2">
        <f>B16*1000</f>
        <v>846.9833745919999</v>
      </c>
      <c r="C17" s="2">
        <f>C16*1000</f>
        <v>465.16205027199999</v>
      </c>
      <c r="D17" s="2"/>
      <c r="E17" s="2"/>
      <c r="F17" s="2"/>
      <c r="G17" s="2"/>
      <c r="H17" s="2"/>
      <c r="I17" s="2"/>
      <c r="J17" s="2"/>
    </row>
    <row r="18" spans="1:10" x14ac:dyDescent="0.3">
      <c r="A18" s="2" t="s">
        <v>55</v>
      </c>
      <c r="B18" s="2">
        <f>B16*100/9.81</f>
        <v>8.6338774168399581</v>
      </c>
      <c r="C18" s="2">
        <f>C16*100/9.81</f>
        <v>4.7417130506829759</v>
      </c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memor</dc:creator>
  <cp:lastModifiedBy>memor</cp:lastModifiedBy>
  <dcterms:created xsi:type="dcterms:W3CDTF">2017-11-06T20:00:32Z</dcterms:created>
  <dcterms:modified xsi:type="dcterms:W3CDTF">2017-11-09T20:44:29Z</dcterms:modified>
</cp:coreProperties>
</file>