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abriel\Desenvolvimento 2\structured-simulator\docs\"/>
    </mc:Choice>
  </mc:AlternateContent>
  <xr:revisionPtr revIDLastSave="0" documentId="13_ncr:1_{FFA124D6-275E-4611-99BF-A899E4AA1E1B}" xr6:coauthVersionLast="47" xr6:coauthVersionMax="47" xr10:uidLastSave="{00000000-0000-0000-0000-000000000000}"/>
  <bookViews>
    <workbookView xWindow="-108" yWindow="-108" windowWidth="23256" windowHeight="12576" tabRatio="807" firstSheet="1" activeTab="1" xr2:uid="{00000000-000D-0000-FFFF-FFFF00000000}"/>
  </bookViews>
  <sheets>
    <sheet name="Tabela" sheetId="11" state="hidden" r:id="rId1"/>
    <sheet name="Imovel Geral" sheetId="40" r:id="rId2"/>
    <sheet name="IMOVEL ATÉ 55% LANCE" sheetId="48" r:id="rId3"/>
    <sheet name="IMOVEL ACIMA DE 5 CONTEMP." sheetId="49" r:id="rId4"/>
    <sheet name="GRUPOS TOP LIMITADO A 60%" sheetId="46" r:id="rId5"/>
    <sheet name="PESADOS" sheetId="37" r:id="rId6"/>
    <sheet name="AUTOS GERAL" sheetId="39" r:id="rId7"/>
    <sheet name="AUTOS TOP" sheetId="47" r:id="rId8"/>
    <sheet name="10MM (3)" sheetId="17" state="hidden" r:id="rId9"/>
  </sheets>
  <definedNames>
    <definedName name="_xlnm._FilterDatabase" localSheetId="8" hidden="1">'10MM (3)'!$C$7:$X$15</definedName>
    <definedName name="_xlnm.Print_Area" localSheetId="8">'10MM (3)'!$A$1:$Y$122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0" l="1"/>
  <c r="J11" i="40"/>
  <c r="K20" i="40" s="1"/>
  <c r="K21" i="40"/>
  <c r="L9" i="40"/>
  <c r="I9" i="40"/>
  <c r="T10" i="37"/>
  <c r="R10" i="37"/>
  <c r="S10" i="37" s="1"/>
  <c r="P10" i="37"/>
  <c r="O10" i="37"/>
  <c r="J10" i="37"/>
  <c r="L10" i="37" s="1"/>
  <c r="I10" i="37"/>
  <c r="B10" i="37"/>
  <c r="D82" i="46"/>
  <c r="H70" i="46"/>
  <c r="H62" i="46"/>
  <c r="Q62" i="46" s="1"/>
  <c r="G62" i="46"/>
  <c r="D62" i="46"/>
  <c r="T60" i="46"/>
  <c r="R60" i="46"/>
  <c r="S60" i="46" s="1"/>
  <c r="O60" i="46"/>
  <c r="P60" i="46" s="1"/>
  <c r="J60" i="46"/>
  <c r="L60" i="46" s="1"/>
  <c r="I60" i="46"/>
  <c r="B60" i="46"/>
  <c r="AD59" i="46"/>
  <c r="AC59" i="46"/>
  <c r="AB59" i="46"/>
  <c r="T59" i="46"/>
  <c r="R59" i="46"/>
  <c r="S59" i="46" s="1"/>
  <c r="O59" i="46"/>
  <c r="P59" i="46" s="1"/>
  <c r="J59" i="46"/>
  <c r="K59" i="46" s="1"/>
  <c r="M59" i="46" s="1"/>
  <c r="I59" i="46"/>
  <c r="B59" i="46"/>
  <c r="T58" i="46"/>
  <c r="R58" i="46"/>
  <c r="S58" i="46" s="1"/>
  <c r="O58" i="46"/>
  <c r="P58" i="46" s="1"/>
  <c r="J58" i="46"/>
  <c r="I58" i="46"/>
  <c r="B58" i="46"/>
  <c r="T57" i="46"/>
  <c r="R57" i="46"/>
  <c r="S57" i="46" s="1"/>
  <c r="O57" i="46"/>
  <c r="P57" i="46" s="1"/>
  <c r="J57" i="46"/>
  <c r="L57" i="46" s="1"/>
  <c r="I57" i="46"/>
  <c r="B57" i="46"/>
  <c r="AD56" i="46"/>
  <c r="AC56" i="46"/>
  <c r="AB56" i="46"/>
  <c r="AA56" i="46"/>
  <c r="T56" i="46"/>
  <c r="R56" i="46"/>
  <c r="S56" i="46" s="1"/>
  <c r="O56" i="46"/>
  <c r="P56" i="46" s="1"/>
  <c r="J56" i="46"/>
  <c r="L56" i="46" s="1"/>
  <c r="I56" i="46"/>
  <c r="B56" i="46"/>
  <c r="T55" i="46"/>
  <c r="R55" i="46"/>
  <c r="S55" i="46" s="1"/>
  <c r="O55" i="46"/>
  <c r="J55" i="46"/>
  <c r="L55" i="46" s="1"/>
  <c r="I55" i="46"/>
  <c r="B55" i="46"/>
  <c r="T54" i="46"/>
  <c r="R54" i="46"/>
  <c r="S54" i="46" s="1"/>
  <c r="O54" i="46"/>
  <c r="P54" i="46" s="1"/>
  <c r="J54" i="46"/>
  <c r="L54" i="46" s="1"/>
  <c r="I54" i="46"/>
  <c r="B54" i="46"/>
  <c r="T53" i="46"/>
  <c r="R53" i="46"/>
  <c r="O53" i="46"/>
  <c r="P53" i="46" s="1"/>
  <c r="J53" i="46"/>
  <c r="L53" i="46" s="1"/>
  <c r="I53" i="46"/>
  <c r="B53" i="46"/>
  <c r="T52" i="46"/>
  <c r="R52" i="46"/>
  <c r="S52" i="46" s="1"/>
  <c r="O52" i="46"/>
  <c r="P52" i="46" s="1"/>
  <c r="J52" i="46"/>
  <c r="L52" i="46" s="1"/>
  <c r="I52" i="46"/>
  <c r="B52" i="46"/>
  <c r="T51" i="46"/>
  <c r="R51" i="46"/>
  <c r="S51" i="46" s="1"/>
  <c r="O51" i="46"/>
  <c r="P51" i="46" s="1"/>
  <c r="J51" i="46"/>
  <c r="L51" i="46" s="1"/>
  <c r="I51" i="46"/>
  <c r="B51" i="46"/>
  <c r="AD50" i="46"/>
  <c r="AC50" i="46"/>
  <c r="AB50" i="46"/>
  <c r="AA50" i="46"/>
  <c r="T50" i="46"/>
  <c r="R50" i="46"/>
  <c r="S50" i="46" s="1"/>
  <c r="O50" i="46"/>
  <c r="P50" i="46" s="1"/>
  <c r="J50" i="46"/>
  <c r="L50" i="46" s="1"/>
  <c r="I50" i="46"/>
  <c r="B50" i="46"/>
  <c r="T49" i="46"/>
  <c r="R49" i="46"/>
  <c r="S49" i="46" s="1"/>
  <c r="O49" i="46"/>
  <c r="P49" i="46" s="1"/>
  <c r="J49" i="46"/>
  <c r="L49" i="46" s="1"/>
  <c r="I49" i="46"/>
  <c r="B49" i="46"/>
  <c r="T48" i="46"/>
  <c r="R48" i="46"/>
  <c r="S48" i="46" s="1"/>
  <c r="O48" i="46"/>
  <c r="P48" i="46" s="1"/>
  <c r="J48" i="46"/>
  <c r="L48" i="46" s="1"/>
  <c r="I48" i="46"/>
  <c r="B48" i="46"/>
  <c r="T47" i="46"/>
  <c r="R47" i="46"/>
  <c r="S47" i="46" s="1"/>
  <c r="O47" i="46"/>
  <c r="J47" i="46"/>
  <c r="L47" i="46" s="1"/>
  <c r="I47" i="46"/>
  <c r="B47" i="46"/>
  <c r="T46" i="46"/>
  <c r="R46" i="46"/>
  <c r="S46" i="46" s="1"/>
  <c r="O46" i="46"/>
  <c r="J46" i="46"/>
  <c r="K46" i="46" s="1"/>
  <c r="M46" i="46" s="1"/>
  <c r="I46" i="46"/>
  <c r="B46" i="46"/>
  <c r="T45" i="46"/>
  <c r="R45" i="46"/>
  <c r="S45" i="46" s="1"/>
  <c r="O45" i="46"/>
  <c r="P45" i="46" s="1"/>
  <c r="J45" i="46"/>
  <c r="L45" i="46" s="1"/>
  <c r="I45" i="46"/>
  <c r="B45" i="46"/>
  <c r="T44" i="46"/>
  <c r="R44" i="46"/>
  <c r="S44" i="46" s="1"/>
  <c r="O44" i="46"/>
  <c r="J44" i="46"/>
  <c r="L44" i="46" s="1"/>
  <c r="I44" i="46"/>
  <c r="B44" i="46"/>
  <c r="T43" i="46"/>
  <c r="R43" i="46"/>
  <c r="S43" i="46" s="1"/>
  <c r="O43" i="46"/>
  <c r="J43" i="46"/>
  <c r="K43" i="46" s="1"/>
  <c r="M43" i="46" s="1"/>
  <c r="I43" i="46"/>
  <c r="B43" i="46"/>
  <c r="AD42" i="46"/>
  <c r="AC42" i="46"/>
  <c r="AB42" i="46"/>
  <c r="AA42" i="46"/>
  <c r="T42" i="46"/>
  <c r="R42" i="46"/>
  <c r="S42" i="46" s="1"/>
  <c r="O42" i="46"/>
  <c r="P42" i="46" s="1"/>
  <c r="J42" i="46"/>
  <c r="L42" i="46" s="1"/>
  <c r="I42" i="46"/>
  <c r="B42" i="46"/>
  <c r="T41" i="46"/>
  <c r="R41" i="46"/>
  <c r="S41" i="46" s="1"/>
  <c r="O41" i="46"/>
  <c r="P41" i="46" s="1"/>
  <c r="J41" i="46"/>
  <c r="L41" i="46" s="1"/>
  <c r="I41" i="46"/>
  <c r="B41" i="46"/>
  <c r="T40" i="46"/>
  <c r="R40" i="46"/>
  <c r="S40" i="46" s="1"/>
  <c r="O40" i="46"/>
  <c r="P40" i="46" s="1"/>
  <c r="J40" i="46"/>
  <c r="L40" i="46" s="1"/>
  <c r="I40" i="46"/>
  <c r="B40" i="46"/>
  <c r="T39" i="46"/>
  <c r="R39" i="46"/>
  <c r="S39" i="46" s="1"/>
  <c r="O39" i="46"/>
  <c r="P39" i="46" s="1"/>
  <c r="J39" i="46"/>
  <c r="I39" i="46"/>
  <c r="B39" i="46"/>
  <c r="T38" i="46"/>
  <c r="R38" i="46"/>
  <c r="S38" i="46" s="1"/>
  <c r="O38" i="46"/>
  <c r="J38" i="46"/>
  <c r="L38" i="46" s="1"/>
  <c r="I38" i="46"/>
  <c r="B38" i="46"/>
  <c r="T37" i="46"/>
  <c r="R37" i="46"/>
  <c r="S37" i="46" s="1"/>
  <c r="O37" i="46"/>
  <c r="P37" i="46" s="1"/>
  <c r="J37" i="46"/>
  <c r="L37" i="46" s="1"/>
  <c r="I37" i="46"/>
  <c r="B37" i="46"/>
  <c r="T36" i="46"/>
  <c r="R36" i="46"/>
  <c r="S36" i="46" s="1"/>
  <c r="O36" i="46"/>
  <c r="P36" i="46" s="1"/>
  <c r="J36" i="46"/>
  <c r="I36" i="46"/>
  <c r="B36" i="46"/>
  <c r="T35" i="46"/>
  <c r="R35" i="46"/>
  <c r="S35" i="46" s="1"/>
  <c r="O35" i="46"/>
  <c r="P35" i="46" s="1"/>
  <c r="J35" i="46"/>
  <c r="I35" i="46"/>
  <c r="B35" i="46"/>
  <c r="T34" i="46"/>
  <c r="R34" i="46"/>
  <c r="S34" i="46" s="1"/>
  <c r="O34" i="46"/>
  <c r="J34" i="46"/>
  <c r="I34" i="46"/>
  <c r="B34" i="46"/>
  <c r="T33" i="46"/>
  <c r="R33" i="46"/>
  <c r="S33" i="46" s="1"/>
  <c r="O33" i="46"/>
  <c r="P33" i="46" s="1"/>
  <c r="J33" i="46"/>
  <c r="K33" i="46" s="1"/>
  <c r="M33" i="46" s="1"/>
  <c r="I33" i="46"/>
  <c r="B33" i="46"/>
  <c r="T32" i="46"/>
  <c r="R32" i="46"/>
  <c r="S32" i="46" s="1"/>
  <c r="O32" i="46"/>
  <c r="J32" i="46"/>
  <c r="K32" i="46" s="1"/>
  <c r="M32" i="46" s="1"/>
  <c r="I32" i="46"/>
  <c r="B32" i="46"/>
  <c r="AD31" i="46"/>
  <c r="AC31" i="46"/>
  <c r="AB31" i="46"/>
  <c r="AA31" i="46"/>
  <c r="T31" i="46"/>
  <c r="R31" i="46"/>
  <c r="S31" i="46" s="1"/>
  <c r="O31" i="46"/>
  <c r="P31" i="46" s="1"/>
  <c r="J31" i="46"/>
  <c r="K31" i="46" s="1"/>
  <c r="M31" i="46" s="1"/>
  <c r="I31" i="46"/>
  <c r="B31" i="46"/>
  <c r="T30" i="46"/>
  <c r="R30" i="46"/>
  <c r="S30" i="46" s="1"/>
  <c r="O30" i="46"/>
  <c r="J30" i="46"/>
  <c r="L30" i="46" s="1"/>
  <c r="I30" i="46"/>
  <c r="B30" i="46"/>
  <c r="T29" i="46"/>
  <c r="R29" i="46"/>
  <c r="S29" i="46" s="1"/>
  <c r="O29" i="46"/>
  <c r="J29" i="46"/>
  <c r="K29" i="46" s="1"/>
  <c r="M29" i="46" s="1"/>
  <c r="I29" i="46"/>
  <c r="B29" i="46"/>
  <c r="T28" i="46"/>
  <c r="R28" i="46"/>
  <c r="S28" i="46" s="1"/>
  <c r="O28" i="46"/>
  <c r="J28" i="46"/>
  <c r="L28" i="46" s="1"/>
  <c r="I28" i="46"/>
  <c r="B28" i="46"/>
  <c r="AD27" i="46"/>
  <c r="AC27" i="46"/>
  <c r="AB27" i="46"/>
  <c r="AA27" i="46"/>
  <c r="T27" i="46"/>
  <c r="R27" i="46"/>
  <c r="S27" i="46" s="1"/>
  <c r="O27" i="46"/>
  <c r="P27" i="46" s="1"/>
  <c r="J27" i="46"/>
  <c r="L27" i="46" s="1"/>
  <c r="I27" i="46"/>
  <c r="B27" i="46"/>
  <c r="T26" i="46"/>
  <c r="R26" i="46"/>
  <c r="S26" i="46" s="1"/>
  <c r="O26" i="46"/>
  <c r="J26" i="46"/>
  <c r="K26" i="46" s="1"/>
  <c r="M26" i="46" s="1"/>
  <c r="I26" i="46"/>
  <c r="B26" i="46"/>
  <c r="T25" i="46"/>
  <c r="R25" i="46"/>
  <c r="S25" i="46" s="1"/>
  <c r="O25" i="46"/>
  <c r="J25" i="46"/>
  <c r="K25" i="46" s="1"/>
  <c r="M25" i="46" s="1"/>
  <c r="I25" i="46"/>
  <c r="B25" i="46"/>
  <c r="T24" i="46"/>
  <c r="R24" i="46"/>
  <c r="S24" i="46" s="1"/>
  <c r="O24" i="46"/>
  <c r="J24" i="46"/>
  <c r="I24" i="46"/>
  <c r="B24" i="46"/>
  <c r="T23" i="46"/>
  <c r="R23" i="46"/>
  <c r="S23" i="46" s="1"/>
  <c r="O23" i="46"/>
  <c r="P23" i="46" s="1"/>
  <c r="J23" i="46"/>
  <c r="K23" i="46" s="1"/>
  <c r="M23" i="46" s="1"/>
  <c r="I23" i="46"/>
  <c r="B23" i="46"/>
  <c r="T22" i="46"/>
  <c r="R22" i="46"/>
  <c r="S22" i="46" s="1"/>
  <c r="O22" i="46"/>
  <c r="P22" i="46" s="1"/>
  <c r="J22" i="46"/>
  <c r="I22" i="46"/>
  <c r="B22" i="46"/>
  <c r="T21" i="46"/>
  <c r="R21" i="46"/>
  <c r="S21" i="46" s="1"/>
  <c r="O21" i="46"/>
  <c r="J21" i="46"/>
  <c r="L21" i="46" s="1"/>
  <c r="I21" i="46"/>
  <c r="B21" i="46"/>
  <c r="T20" i="46"/>
  <c r="R20" i="46"/>
  <c r="O20" i="46"/>
  <c r="P20" i="46" s="1"/>
  <c r="J20" i="46"/>
  <c r="L20" i="46" s="1"/>
  <c r="I20" i="46"/>
  <c r="B20" i="46"/>
  <c r="T19" i="46"/>
  <c r="R19" i="46"/>
  <c r="S19" i="46" s="1"/>
  <c r="O19" i="46"/>
  <c r="P19" i="46" s="1"/>
  <c r="J19" i="46"/>
  <c r="I19" i="46"/>
  <c r="B19" i="46"/>
  <c r="T18" i="46"/>
  <c r="R18" i="46"/>
  <c r="S18" i="46" s="1"/>
  <c r="O18" i="46"/>
  <c r="J18" i="46"/>
  <c r="L18" i="46" s="1"/>
  <c r="I18" i="46"/>
  <c r="B18" i="46"/>
  <c r="T17" i="46"/>
  <c r="R17" i="46"/>
  <c r="S17" i="46" s="1"/>
  <c r="O17" i="46"/>
  <c r="P17" i="46" s="1"/>
  <c r="J17" i="46"/>
  <c r="L17" i="46" s="1"/>
  <c r="I17" i="46"/>
  <c r="B17" i="46"/>
  <c r="T16" i="46"/>
  <c r="R16" i="46"/>
  <c r="S16" i="46" s="1"/>
  <c r="O16" i="46"/>
  <c r="P16" i="46" s="1"/>
  <c r="J16" i="46"/>
  <c r="K16" i="46" s="1"/>
  <c r="M16" i="46" s="1"/>
  <c r="I16" i="46"/>
  <c r="B16" i="46"/>
  <c r="T15" i="46"/>
  <c r="R15" i="46"/>
  <c r="S15" i="46" s="1"/>
  <c r="O15" i="46"/>
  <c r="J15" i="46"/>
  <c r="I15" i="46"/>
  <c r="B15" i="46"/>
  <c r="AD14" i="46"/>
  <c r="AC14" i="46"/>
  <c r="AB14" i="46"/>
  <c r="AA14" i="46"/>
  <c r="T14" i="46"/>
  <c r="R14" i="46"/>
  <c r="S14" i="46" s="1"/>
  <c r="O14" i="46"/>
  <c r="P14" i="46" s="1"/>
  <c r="J14" i="46"/>
  <c r="L14" i="46" s="1"/>
  <c r="I14" i="46"/>
  <c r="B14" i="46"/>
  <c r="T13" i="46"/>
  <c r="R13" i="46"/>
  <c r="S13" i="46" s="1"/>
  <c r="O13" i="46"/>
  <c r="P13" i="46" s="1"/>
  <c r="J13" i="46"/>
  <c r="I13" i="46"/>
  <c r="B13" i="46"/>
  <c r="T12" i="46"/>
  <c r="R12" i="46"/>
  <c r="S12" i="46" s="1"/>
  <c r="O12" i="46"/>
  <c r="P12" i="46" s="1"/>
  <c r="J12" i="46"/>
  <c r="L12" i="46" s="1"/>
  <c r="I12" i="46"/>
  <c r="B12" i="46"/>
  <c r="T11" i="46"/>
  <c r="R11" i="46"/>
  <c r="S11" i="46" s="1"/>
  <c r="O11" i="46"/>
  <c r="J11" i="46"/>
  <c r="L11" i="46" s="1"/>
  <c r="I11" i="46"/>
  <c r="B11" i="46"/>
  <c r="T10" i="46"/>
  <c r="R10" i="46"/>
  <c r="S10" i="46" s="1"/>
  <c r="O10" i="46"/>
  <c r="J10" i="46"/>
  <c r="L10" i="46" s="1"/>
  <c r="I10" i="46"/>
  <c r="B10" i="46"/>
  <c r="T9" i="46"/>
  <c r="R9" i="46"/>
  <c r="S9" i="46" s="1"/>
  <c r="O9" i="46"/>
  <c r="J9" i="46"/>
  <c r="I9" i="46"/>
  <c r="B9" i="46"/>
  <c r="D4" i="46"/>
  <c r="N1" i="46"/>
  <c r="D85" i="49"/>
  <c r="H73" i="49"/>
  <c r="H65" i="49"/>
  <c r="Q65" i="49" s="1"/>
  <c r="G65" i="49"/>
  <c r="D65" i="49"/>
  <c r="T63" i="49"/>
  <c r="R63" i="49"/>
  <c r="S63" i="49" s="1"/>
  <c r="O63" i="49"/>
  <c r="J63" i="49"/>
  <c r="L63" i="49" s="1"/>
  <c r="I63" i="49"/>
  <c r="B63" i="49"/>
  <c r="AD62" i="49"/>
  <c r="AC62" i="49"/>
  <c r="AB62" i="49"/>
  <c r="T62" i="49"/>
  <c r="R62" i="49"/>
  <c r="S62" i="49" s="1"/>
  <c r="O62" i="49"/>
  <c r="P62" i="49" s="1"/>
  <c r="J62" i="49"/>
  <c r="I62" i="49"/>
  <c r="B62" i="49"/>
  <c r="T61" i="49"/>
  <c r="R61" i="49"/>
  <c r="S61" i="49" s="1"/>
  <c r="O61" i="49"/>
  <c r="J61" i="49"/>
  <c r="K61" i="49" s="1"/>
  <c r="M61" i="49" s="1"/>
  <c r="I61" i="49"/>
  <c r="B61" i="49"/>
  <c r="T60" i="49"/>
  <c r="R60" i="49"/>
  <c r="S60" i="49" s="1"/>
  <c r="O60" i="49"/>
  <c r="J60" i="49"/>
  <c r="L60" i="49" s="1"/>
  <c r="I60" i="49"/>
  <c r="B60" i="49"/>
  <c r="T59" i="49"/>
  <c r="R59" i="49"/>
  <c r="S59" i="49" s="1"/>
  <c r="O59" i="49"/>
  <c r="P59" i="49" s="1"/>
  <c r="J59" i="49"/>
  <c r="L59" i="49" s="1"/>
  <c r="I59" i="49"/>
  <c r="B59" i="49"/>
  <c r="T58" i="49"/>
  <c r="R58" i="49"/>
  <c r="S58" i="49" s="1"/>
  <c r="O58" i="49"/>
  <c r="J58" i="49"/>
  <c r="K58" i="49" s="1"/>
  <c r="M58" i="49" s="1"/>
  <c r="I58" i="49"/>
  <c r="B58" i="49"/>
  <c r="T57" i="49"/>
  <c r="R57" i="49"/>
  <c r="S57" i="49" s="1"/>
  <c r="O57" i="49"/>
  <c r="P57" i="49" s="1"/>
  <c r="J57" i="49"/>
  <c r="L57" i="49" s="1"/>
  <c r="I57" i="49"/>
  <c r="B57" i="49"/>
  <c r="AD56" i="49"/>
  <c r="AC56" i="49"/>
  <c r="AB56" i="49"/>
  <c r="AA56" i="49"/>
  <c r="T56" i="49"/>
  <c r="R56" i="49"/>
  <c r="S56" i="49" s="1"/>
  <c r="O56" i="49"/>
  <c r="P56" i="49" s="1"/>
  <c r="J56" i="49"/>
  <c r="L56" i="49" s="1"/>
  <c r="I56" i="49"/>
  <c r="B56" i="49"/>
  <c r="T55" i="49"/>
  <c r="R55" i="49"/>
  <c r="S55" i="49" s="1"/>
  <c r="O55" i="49"/>
  <c r="J55" i="49"/>
  <c r="L55" i="49" s="1"/>
  <c r="I55" i="49"/>
  <c r="B55" i="49"/>
  <c r="T54" i="49"/>
  <c r="R54" i="49"/>
  <c r="O54" i="49"/>
  <c r="P54" i="49" s="1"/>
  <c r="J54" i="49"/>
  <c r="L54" i="49" s="1"/>
  <c r="I54" i="49"/>
  <c r="B54" i="49"/>
  <c r="T53" i="49"/>
  <c r="R53" i="49"/>
  <c r="S53" i="49" s="1"/>
  <c r="O53" i="49"/>
  <c r="P53" i="49" s="1"/>
  <c r="J53" i="49"/>
  <c r="L53" i="49" s="1"/>
  <c r="I53" i="49"/>
  <c r="B53" i="49"/>
  <c r="T52" i="49"/>
  <c r="R52" i="49"/>
  <c r="S52" i="49" s="1"/>
  <c r="O52" i="49"/>
  <c r="P52" i="49" s="1"/>
  <c r="J52" i="49"/>
  <c r="L52" i="49" s="1"/>
  <c r="I52" i="49"/>
  <c r="B52" i="49"/>
  <c r="T51" i="49"/>
  <c r="R51" i="49"/>
  <c r="O51" i="49"/>
  <c r="P51" i="49" s="1"/>
  <c r="J51" i="49"/>
  <c r="I51" i="49"/>
  <c r="B51" i="49"/>
  <c r="AD50" i="49"/>
  <c r="AC50" i="49"/>
  <c r="AB50" i="49"/>
  <c r="AA50" i="49"/>
  <c r="T50" i="49"/>
  <c r="R50" i="49"/>
  <c r="O50" i="49"/>
  <c r="P50" i="49" s="1"/>
  <c r="J50" i="49"/>
  <c r="L50" i="49" s="1"/>
  <c r="I50" i="49"/>
  <c r="B50" i="49"/>
  <c r="T49" i="49"/>
  <c r="R49" i="49"/>
  <c r="S49" i="49" s="1"/>
  <c r="O49" i="49"/>
  <c r="P49" i="49" s="1"/>
  <c r="J49" i="49"/>
  <c r="L49" i="49" s="1"/>
  <c r="I49" i="49"/>
  <c r="B49" i="49"/>
  <c r="T48" i="49"/>
  <c r="R48" i="49"/>
  <c r="S48" i="49" s="1"/>
  <c r="O48" i="49"/>
  <c r="P48" i="49" s="1"/>
  <c r="J48" i="49"/>
  <c r="L48" i="49" s="1"/>
  <c r="I48" i="49"/>
  <c r="B48" i="49"/>
  <c r="T47" i="49"/>
  <c r="R47" i="49"/>
  <c r="S47" i="49" s="1"/>
  <c r="O47" i="49"/>
  <c r="P47" i="49" s="1"/>
  <c r="J47" i="49"/>
  <c r="I47" i="49"/>
  <c r="B47" i="49"/>
  <c r="T46" i="49"/>
  <c r="R46" i="49"/>
  <c r="S46" i="49" s="1"/>
  <c r="O46" i="49"/>
  <c r="J46" i="49"/>
  <c r="L46" i="49" s="1"/>
  <c r="I46" i="49"/>
  <c r="B46" i="49"/>
  <c r="T45" i="49"/>
  <c r="R45" i="49"/>
  <c r="S45" i="49" s="1"/>
  <c r="O45" i="49"/>
  <c r="J45" i="49"/>
  <c r="L45" i="49" s="1"/>
  <c r="I45" i="49"/>
  <c r="B45" i="49"/>
  <c r="T44" i="49"/>
  <c r="R44" i="49"/>
  <c r="S44" i="49" s="1"/>
  <c r="O44" i="49"/>
  <c r="P44" i="49" s="1"/>
  <c r="J44" i="49"/>
  <c r="K44" i="49" s="1"/>
  <c r="M44" i="49" s="1"/>
  <c r="I44" i="49"/>
  <c r="B44" i="49"/>
  <c r="AD43" i="49"/>
  <c r="AC43" i="49"/>
  <c r="AB43" i="49"/>
  <c r="AA43" i="49"/>
  <c r="T43" i="49"/>
  <c r="R43" i="49"/>
  <c r="S43" i="49" s="1"/>
  <c r="O43" i="49"/>
  <c r="P43" i="49" s="1"/>
  <c r="J43" i="49"/>
  <c r="L43" i="49" s="1"/>
  <c r="I43" i="49"/>
  <c r="B43" i="49"/>
  <c r="T42" i="49"/>
  <c r="R42" i="49"/>
  <c r="S42" i="49" s="1"/>
  <c r="O42" i="49"/>
  <c r="J42" i="49"/>
  <c r="K42" i="49" s="1"/>
  <c r="M42" i="49" s="1"/>
  <c r="I42" i="49"/>
  <c r="B42" i="49"/>
  <c r="T41" i="49"/>
  <c r="R41" i="49"/>
  <c r="S41" i="49" s="1"/>
  <c r="O41" i="49"/>
  <c r="P41" i="49" s="1"/>
  <c r="J41" i="49"/>
  <c r="L41" i="49" s="1"/>
  <c r="I41" i="49"/>
  <c r="B41" i="49"/>
  <c r="T40" i="49"/>
  <c r="R40" i="49"/>
  <c r="S40" i="49" s="1"/>
  <c r="O40" i="49"/>
  <c r="P40" i="49" s="1"/>
  <c r="J40" i="49"/>
  <c r="L40" i="49" s="1"/>
  <c r="I40" i="49"/>
  <c r="B40" i="49"/>
  <c r="T39" i="49"/>
  <c r="R39" i="49"/>
  <c r="O39" i="49"/>
  <c r="P39" i="49" s="1"/>
  <c r="J39" i="49"/>
  <c r="I39" i="49"/>
  <c r="B39" i="49"/>
  <c r="T38" i="49"/>
  <c r="R38" i="49"/>
  <c r="S38" i="49" s="1"/>
  <c r="O38" i="49"/>
  <c r="P38" i="49" s="1"/>
  <c r="J38" i="49"/>
  <c r="L38" i="49" s="1"/>
  <c r="I38" i="49"/>
  <c r="B38" i="49"/>
  <c r="T37" i="49"/>
  <c r="R37" i="49"/>
  <c r="S37" i="49" s="1"/>
  <c r="O37" i="49"/>
  <c r="J37" i="49"/>
  <c r="I37" i="49"/>
  <c r="B37" i="49"/>
  <c r="T36" i="49"/>
  <c r="R36" i="49"/>
  <c r="S36" i="49" s="1"/>
  <c r="O36" i="49"/>
  <c r="P36" i="49" s="1"/>
  <c r="J36" i="49"/>
  <c r="L36" i="49" s="1"/>
  <c r="I36" i="49"/>
  <c r="B36" i="49"/>
  <c r="T35" i="49"/>
  <c r="R35" i="49"/>
  <c r="S35" i="49" s="1"/>
  <c r="O35" i="49"/>
  <c r="P35" i="49" s="1"/>
  <c r="J35" i="49"/>
  <c r="K35" i="49" s="1"/>
  <c r="M35" i="49" s="1"/>
  <c r="I35" i="49"/>
  <c r="B35" i="49"/>
  <c r="T34" i="49"/>
  <c r="R34" i="49"/>
  <c r="S34" i="49" s="1"/>
  <c r="O34" i="49"/>
  <c r="P34" i="49" s="1"/>
  <c r="J34" i="49"/>
  <c r="L34" i="49" s="1"/>
  <c r="I34" i="49"/>
  <c r="B34" i="49"/>
  <c r="T33" i="49"/>
  <c r="R33" i="49"/>
  <c r="S33" i="49" s="1"/>
  <c r="O33" i="49"/>
  <c r="P33" i="49" s="1"/>
  <c r="J33" i="49"/>
  <c r="K33" i="49" s="1"/>
  <c r="M33" i="49" s="1"/>
  <c r="I33" i="49"/>
  <c r="B33" i="49"/>
  <c r="T32" i="49"/>
  <c r="R32" i="49"/>
  <c r="S32" i="49" s="1"/>
  <c r="O32" i="49"/>
  <c r="P32" i="49" s="1"/>
  <c r="J32" i="49"/>
  <c r="L32" i="49" s="1"/>
  <c r="I32" i="49"/>
  <c r="B32" i="49"/>
  <c r="T31" i="49"/>
  <c r="R31" i="49"/>
  <c r="S31" i="49" s="1"/>
  <c r="O31" i="49"/>
  <c r="P31" i="49" s="1"/>
  <c r="J31" i="49"/>
  <c r="K31" i="49" s="1"/>
  <c r="M31" i="49" s="1"/>
  <c r="I31" i="49"/>
  <c r="B31" i="49"/>
  <c r="T30" i="49"/>
  <c r="R30" i="49"/>
  <c r="S30" i="49" s="1"/>
  <c r="O30" i="49"/>
  <c r="J30" i="49"/>
  <c r="L30" i="49" s="1"/>
  <c r="I30" i="49"/>
  <c r="B30" i="49"/>
  <c r="T29" i="49"/>
  <c r="R29" i="49"/>
  <c r="O29" i="49"/>
  <c r="P29" i="49" s="1"/>
  <c r="J29" i="49"/>
  <c r="K29" i="49" s="1"/>
  <c r="M29" i="49" s="1"/>
  <c r="I29" i="49"/>
  <c r="B29" i="49"/>
  <c r="T28" i="49"/>
  <c r="R28" i="49"/>
  <c r="S28" i="49" s="1"/>
  <c r="O28" i="49"/>
  <c r="J28" i="49"/>
  <c r="L28" i="49" s="1"/>
  <c r="I28" i="49"/>
  <c r="B28" i="49"/>
  <c r="T27" i="49"/>
  <c r="R27" i="49"/>
  <c r="S27" i="49" s="1"/>
  <c r="O27" i="49"/>
  <c r="J27" i="49"/>
  <c r="K27" i="49" s="1"/>
  <c r="M27" i="49" s="1"/>
  <c r="I27" i="49"/>
  <c r="B27" i="49"/>
  <c r="T26" i="49"/>
  <c r="R26" i="49"/>
  <c r="S26" i="49" s="1"/>
  <c r="O26" i="49"/>
  <c r="J26" i="49"/>
  <c r="L26" i="49" s="1"/>
  <c r="I26" i="49"/>
  <c r="B26" i="49"/>
  <c r="T25" i="49"/>
  <c r="R25" i="49"/>
  <c r="S25" i="49" s="1"/>
  <c r="O25" i="49"/>
  <c r="P25" i="49" s="1"/>
  <c r="J25" i="49"/>
  <c r="K25" i="49" s="1"/>
  <c r="M25" i="49" s="1"/>
  <c r="I25" i="49"/>
  <c r="B25" i="49"/>
  <c r="T24" i="49"/>
  <c r="R24" i="49"/>
  <c r="S24" i="49" s="1"/>
  <c r="O24" i="49"/>
  <c r="P24" i="49" s="1"/>
  <c r="J24" i="49"/>
  <c r="L24" i="49" s="1"/>
  <c r="I24" i="49"/>
  <c r="B24" i="49"/>
  <c r="T23" i="49"/>
  <c r="R23" i="49"/>
  <c r="S23" i="49" s="1"/>
  <c r="O23" i="49"/>
  <c r="P23" i="49" s="1"/>
  <c r="J23" i="49"/>
  <c r="L23" i="49" s="1"/>
  <c r="I23" i="49"/>
  <c r="B23" i="49"/>
  <c r="T22" i="49"/>
  <c r="R22" i="49"/>
  <c r="S22" i="49" s="1"/>
  <c r="O22" i="49"/>
  <c r="P22" i="49" s="1"/>
  <c r="J22" i="49"/>
  <c r="L22" i="49" s="1"/>
  <c r="I22" i="49"/>
  <c r="B22" i="49"/>
  <c r="T21" i="49"/>
  <c r="R21" i="49"/>
  <c r="S21" i="49" s="1"/>
  <c r="O21" i="49"/>
  <c r="P21" i="49" s="1"/>
  <c r="J21" i="49"/>
  <c r="L21" i="49" s="1"/>
  <c r="I21" i="49"/>
  <c r="B21" i="49"/>
  <c r="T20" i="49"/>
  <c r="R20" i="49"/>
  <c r="O20" i="49"/>
  <c r="P20" i="49" s="1"/>
  <c r="J20" i="49"/>
  <c r="L20" i="49" s="1"/>
  <c r="I20" i="49"/>
  <c r="B20" i="49"/>
  <c r="T19" i="49"/>
  <c r="R19" i="49"/>
  <c r="S19" i="49" s="1"/>
  <c r="O19" i="49"/>
  <c r="P19" i="49" s="1"/>
  <c r="J19" i="49"/>
  <c r="K19" i="49" s="1"/>
  <c r="M19" i="49" s="1"/>
  <c r="I19" i="49"/>
  <c r="B19" i="49"/>
  <c r="AD18" i="49"/>
  <c r="AC18" i="49"/>
  <c r="AB18" i="49"/>
  <c r="AA18" i="49"/>
  <c r="T18" i="49"/>
  <c r="R18" i="49"/>
  <c r="S18" i="49" s="1"/>
  <c r="O18" i="49"/>
  <c r="P18" i="49" s="1"/>
  <c r="J18" i="49"/>
  <c r="I18" i="49"/>
  <c r="B18" i="49"/>
  <c r="T17" i="49"/>
  <c r="R17" i="49"/>
  <c r="S17" i="49" s="1"/>
  <c r="O17" i="49"/>
  <c r="P17" i="49" s="1"/>
  <c r="J17" i="49"/>
  <c r="L17" i="49" s="1"/>
  <c r="I17" i="49"/>
  <c r="B17" i="49"/>
  <c r="T16" i="49"/>
  <c r="R16" i="49"/>
  <c r="O16" i="49"/>
  <c r="P16" i="49" s="1"/>
  <c r="J16" i="49"/>
  <c r="L16" i="49" s="1"/>
  <c r="I16" i="49"/>
  <c r="B16" i="49"/>
  <c r="T15" i="49"/>
  <c r="R15" i="49"/>
  <c r="S15" i="49" s="1"/>
  <c r="O15" i="49"/>
  <c r="J15" i="49"/>
  <c r="K15" i="49" s="1"/>
  <c r="M15" i="49" s="1"/>
  <c r="I15" i="49"/>
  <c r="B15" i="49"/>
  <c r="T14" i="49"/>
  <c r="R14" i="49"/>
  <c r="S14" i="49" s="1"/>
  <c r="O14" i="49"/>
  <c r="J14" i="49"/>
  <c r="L14" i="49" s="1"/>
  <c r="I14" i="49"/>
  <c r="B14" i="49"/>
  <c r="T13" i="49"/>
  <c r="R13" i="49"/>
  <c r="S13" i="49" s="1"/>
  <c r="O13" i="49"/>
  <c r="J13" i="49"/>
  <c r="K13" i="49" s="1"/>
  <c r="M13" i="49" s="1"/>
  <c r="I13" i="49"/>
  <c r="B13" i="49"/>
  <c r="T12" i="49"/>
  <c r="R12" i="49"/>
  <c r="S12" i="49" s="1"/>
  <c r="O12" i="49"/>
  <c r="P12" i="49" s="1"/>
  <c r="J12" i="49"/>
  <c r="K12" i="49" s="1"/>
  <c r="M12" i="49" s="1"/>
  <c r="I12" i="49"/>
  <c r="B12" i="49"/>
  <c r="T11" i="49"/>
  <c r="R11" i="49"/>
  <c r="S11" i="49" s="1"/>
  <c r="O11" i="49"/>
  <c r="P11" i="49" s="1"/>
  <c r="J11" i="49"/>
  <c r="I11" i="49"/>
  <c r="B11" i="49"/>
  <c r="T10" i="49"/>
  <c r="R10" i="49"/>
  <c r="S10" i="49" s="1"/>
  <c r="O10" i="49"/>
  <c r="P10" i="49" s="1"/>
  <c r="J10" i="49"/>
  <c r="K10" i="49" s="1"/>
  <c r="M10" i="49" s="1"/>
  <c r="I10" i="49"/>
  <c r="B10" i="49"/>
  <c r="T9" i="49"/>
  <c r="R9" i="49"/>
  <c r="S9" i="49" s="1"/>
  <c r="O9" i="49"/>
  <c r="P9" i="49" s="1"/>
  <c r="J9" i="49"/>
  <c r="K9" i="49" s="1"/>
  <c r="M9" i="49" s="1"/>
  <c r="I9" i="49"/>
  <c r="B9" i="49"/>
  <c r="D4" i="49"/>
  <c r="N1" i="49"/>
  <c r="D50" i="48"/>
  <c r="H38" i="48"/>
  <c r="Q30" i="48"/>
  <c r="N30" i="48"/>
  <c r="H30" i="48"/>
  <c r="G30" i="48"/>
  <c r="D30" i="48"/>
  <c r="T28" i="48"/>
  <c r="R28" i="48"/>
  <c r="S28" i="48" s="1"/>
  <c r="O28" i="48"/>
  <c r="J28" i="48"/>
  <c r="L28" i="48" s="1"/>
  <c r="I28" i="48"/>
  <c r="B28" i="48"/>
  <c r="T27" i="48"/>
  <c r="R27" i="48"/>
  <c r="S27" i="48" s="1"/>
  <c r="O27" i="48"/>
  <c r="P27" i="48" s="1"/>
  <c r="J27" i="48"/>
  <c r="K27" i="48" s="1"/>
  <c r="M27" i="48" s="1"/>
  <c r="I27" i="48"/>
  <c r="B27" i="48"/>
  <c r="T26" i="48"/>
  <c r="R26" i="48"/>
  <c r="O26" i="48"/>
  <c r="P26" i="48" s="1"/>
  <c r="J26" i="48"/>
  <c r="L26" i="48" s="1"/>
  <c r="I26" i="48"/>
  <c r="B26" i="48"/>
  <c r="T25" i="48"/>
  <c r="R25" i="48"/>
  <c r="S25" i="48" s="1"/>
  <c r="O25" i="48"/>
  <c r="J25" i="48"/>
  <c r="K25" i="48" s="1"/>
  <c r="M25" i="48" s="1"/>
  <c r="I25" i="48"/>
  <c r="B25" i="48"/>
  <c r="T24" i="48"/>
  <c r="R24" i="48"/>
  <c r="S24" i="48" s="1"/>
  <c r="O24" i="48"/>
  <c r="P24" i="48" s="1"/>
  <c r="J24" i="48"/>
  <c r="I24" i="48"/>
  <c r="B24" i="48"/>
  <c r="T23" i="48"/>
  <c r="R23" i="48"/>
  <c r="S23" i="48" s="1"/>
  <c r="O23" i="48"/>
  <c r="P23" i="48" s="1"/>
  <c r="J23" i="48"/>
  <c r="L23" i="48" s="1"/>
  <c r="I23" i="48"/>
  <c r="B23" i="48"/>
  <c r="T22" i="48"/>
  <c r="R22" i="48"/>
  <c r="O22" i="48"/>
  <c r="P22" i="48" s="1"/>
  <c r="J22" i="48"/>
  <c r="K22" i="48" s="1"/>
  <c r="M22" i="48" s="1"/>
  <c r="I22" i="48"/>
  <c r="B22" i="48"/>
  <c r="AD21" i="48"/>
  <c r="AC21" i="48"/>
  <c r="AB21" i="48"/>
  <c r="AA21" i="48"/>
  <c r="T21" i="48"/>
  <c r="R21" i="48"/>
  <c r="S21" i="48" s="1"/>
  <c r="O21" i="48"/>
  <c r="P21" i="48" s="1"/>
  <c r="J21" i="48"/>
  <c r="K21" i="48" s="1"/>
  <c r="M21" i="48" s="1"/>
  <c r="I21" i="48"/>
  <c r="B21" i="48"/>
  <c r="T20" i="48"/>
  <c r="R20" i="48"/>
  <c r="S20" i="48" s="1"/>
  <c r="O20" i="48"/>
  <c r="P20" i="48" s="1"/>
  <c r="J20" i="48"/>
  <c r="L20" i="48" s="1"/>
  <c r="I20" i="48"/>
  <c r="B20" i="48"/>
  <c r="T19" i="48"/>
  <c r="R19" i="48"/>
  <c r="S19" i="48" s="1"/>
  <c r="O19" i="48"/>
  <c r="J19" i="48"/>
  <c r="L19" i="48" s="1"/>
  <c r="I19" i="48"/>
  <c r="B19" i="48"/>
  <c r="T18" i="48"/>
  <c r="R18" i="48"/>
  <c r="S18" i="48" s="1"/>
  <c r="O18" i="48"/>
  <c r="J18" i="48"/>
  <c r="K18" i="48" s="1"/>
  <c r="M18" i="48" s="1"/>
  <c r="I18" i="48"/>
  <c r="B18" i="48"/>
  <c r="T17" i="48"/>
  <c r="R17" i="48"/>
  <c r="S17" i="48" s="1"/>
  <c r="O17" i="48"/>
  <c r="P17" i="48" s="1"/>
  <c r="J17" i="48"/>
  <c r="I17" i="48"/>
  <c r="B17" i="48"/>
  <c r="T16" i="48"/>
  <c r="R16" i="48"/>
  <c r="O16" i="48"/>
  <c r="P16" i="48" s="1"/>
  <c r="J16" i="48"/>
  <c r="L16" i="48" s="1"/>
  <c r="I16" i="48"/>
  <c r="B16" i="48"/>
  <c r="T15" i="48"/>
  <c r="R15" i="48"/>
  <c r="S15" i="48" s="1"/>
  <c r="O15" i="48"/>
  <c r="P15" i="48" s="1"/>
  <c r="J15" i="48"/>
  <c r="K15" i="48" s="1"/>
  <c r="M15" i="48" s="1"/>
  <c r="I15" i="48"/>
  <c r="B15" i="48"/>
  <c r="T14" i="48"/>
  <c r="R14" i="48"/>
  <c r="S14" i="48" s="1"/>
  <c r="O14" i="48"/>
  <c r="P14" i="48" s="1"/>
  <c r="J14" i="48"/>
  <c r="I14" i="48"/>
  <c r="B14" i="48"/>
  <c r="T13" i="48"/>
  <c r="R13" i="48"/>
  <c r="S13" i="48" s="1"/>
  <c r="O13" i="48"/>
  <c r="P13" i="48" s="1"/>
  <c r="J13" i="48"/>
  <c r="L13" i="48" s="1"/>
  <c r="I13" i="48"/>
  <c r="B13" i="48"/>
  <c r="T12" i="48"/>
  <c r="R12" i="48"/>
  <c r="O12" i="48"/>
  <c r="P12" i="48" s="1"/>
  <c r="J12" i="48"/>
  <c r="L12" i="48" s="1"/>
  <c r="I12" i="48"/>
  <c r="B12" i="48"/>
  <c r="T11" i="48"/>
  <c r="R11" i="48"/>
  <c r="S11" i="48" s="1"/>
  <c r="O11" i="48"/>
  <c r="J11" i="48"/>
  <c r="L11" i="48" s="1"/>
  <c r="I11" i="48"/>
  <c r="B11" i="48"/>
  <c r="T10" i="48"/>
  <c r="R10" i="48"/>
  <c r="S10" i="48" s="1"/>
  <c r="O10" i="48"/>
  <c r="J10" i="48"/>
  <c r="L10" i="48" s="1"/>
  <c r="I10" i="48"/>
  <c r="B10" i="48"/>
  <c r="T9" i="48"/>
  <c r="R9" i="48"/>
  <c r="S9" i="48" s="1"/>
  <c r="O9" i="48"/>
  <c r="J9" i="48"/>
  <c r="L9" i="48" s="1"/>
  <c r="I9" i="48"/>
  <c r="B9" i="48"/>
  <c r="D4" i="48"/>
  <c r="N1" i="48"/>
  <c r="U10" i="37" l="1"/>
  <c r="K10" i="37"/>
  <c r="M10" i="37" s="1"/>
  <c r="V10" i="37"/>
  <c r="X10" i="37" s="1"/>
  <c r="N62" i="46"/>
  <c r="U10" i="46"/>
  <c r="U13" i="46"/>
  <c r="U15" i="46"/>
  <c r="U37" i="46"/>
  <c r="K11" i="46"/>
  <c r="M11" i="46" s="1"/>
  <c r="U31" i="46"/>
  <c r="K42" i="46"/>
  <c r="M42" i="46" s="1"/>
  <c r="K51" i="46"/>
  <c r="M51" i="46" s="1"/>
  <c r="K10" i="46"/>
  <c r="M10" i="46" s="1"/>
  <c r="U28" i="46"/>
  <c r="U30" i="46"/>
  <c r="U42" i="46"/>
  <c r="U51" i="46"/>
  <c r="U55" i="46"/>
  <c r="U41" i="46"/>
  <c r="V26" i="46"/>
  <c r="X26" i="46" s="1"/>
  <c r="V30" i="46"/>
  <c r="W30" i="46" s="1"/>
  <c r="L32" i="46"/>
  <c r="L16" i="46"/>
  <c r="V56" i="46"/>
  <c r="X56" i="46" s="1"/>
  <c r="L25" i="46"/>
  <c r="V47" i="46"/>
  <c r="W47" i="46" s="1"/>
  <c r="U23" i="46"/>
  <c r="V29" i="46"/>
  <c r="W29" i="46" s="1"/>
  <c r="U19" i="46"/>
  <c r="U40" i="46"/>
  <c r="L23" i="46"/>
  <c r="P26" i="46"/>
  <c r="K37" i="46"/>
  <c r="M37" i="46" s="1"/>
  <c r="V53" i="46"/>
  <c r="X53" i="46" s="1"/>
  <c r="U59" i="46"/>
  <c r="U12" i="46"/>
  <c r="K20" i="46"/>
  <c r="M20" i="46" s="1"/>
  <c r="U35" i="46"/>
  <c r="L43" i="46"/>
  <c r="U9" i="46"/>
  <c r="V23" i="46"/>
  <c r="W23" i="46" s="1"/>
  <c r="U25" i="46"/>
  <c r="K54" i="46"/>
  <c r="M54" i="46" s="1"/>
  <c r="V11" i="46"/>
  <c r="W11" i="46" s="1"/>
  <c r="L26" i="46"/>
  <c r="L29" i="46"/>
  <c r="K55" i="46"/>
  <c r="M55" i="46" s="1"/>
  <c r="V57" i="46"/>
  <c r="W57" i="46" s="1"/>
  <c r="P11" i="46"/>
  <c r="K28" i="46"/>
  <c r="M28" i="46" s="1"/>
  <c r="K41" i="46"/>
  <c r="M41" i="46" s="1"/>
  <c r="U45" i="46"/>
  <c r="L46" i="46"/>
  <c r="P47" i="46"/>
  <c r="V49" i="46"/>
  <c r="W49" i="46" s="1"/>
  <c r="V51" i="46"/>
  <c r="V54" i="46"/>
  <c r="X54" i="46" s="1"/>
  <c r="U22" i="46"/>
  <c r="U24" i="46"/>
  <c r="V44" i="46"/>
  <c r="W44" i="46" s="1"/>
  <c r="V16" i="46"/>
  <c r="X16" i="46" s="1"/>
  <c r="U18" i="46"/>
  <c r="V45" i="46"/>
  <c r="X45" i="46" s="1"/>
  <c r="P29" i="46"/>
  <c r="V37" i="46"/>
  <c r="X37" i="46" s="1"/>
  <c r="U38" i="46"/>
  <c r="U60" i="46"/>
  <c r="U17" i="46"/>
  <c r="U32" i="46"/>
  <c r="V36" i="46"/>
  <c r="X36" i="46" s="1"/>
  <c r="K36" i="46"/>
  <c r="M36" i="46" s="1"/>
  <c r="K45" i="46"/>
  <c r="M45" i="46" s="1"/>
  <c r="V60" i="46"/>
  <c r="X60" i="46" s="1"/>
  <c r="U21" i="46"/>
  <c r="L31" i="46"/>
  <c r="L36" i="46"/>
  <c r="V41" i="46"/>
  <c r="X41" i="46" s="1"/>
  <c r="U46" i="46"/>
  <c r="S53" i="46"/>
  <c r="U53" i="46" s="1"/>
  <c r="U54" i="46"/>
  <c r="U29" i="46"/>
  <c r="V38" i="46"/>
  <c r="P38" i="46"/>
  <c r="J62" i="46"/>
  <c r="L9" i="46"/>
  <c r="K9" i="46"/>
  <c r="L15" i="46"/>
  <c r="K15" i="46"/>
  <c r="M15" i="46" s="1"/>
  <c r="P18" i="46"/>
  <c r="V18" i="46"/>
  <c r="U26" i="46"/>
  <c r="K19" i="46"/>
  <c r="M19" i="46" s="1"/>
  <c r="L19" i="46"/>
  <c r="V24" i="46"/>
  <c r="U27" i="46"/>
  <c r="V28" i="46"/>
  <c r="P28" i="46"/>
  <c r="L13" i="46"/>
  <c r="K13" i="46"/>
  <c r="M13" i="46" s="1"/>
  <c r="L24" i="46"/>
  <c r="K24" i="46"/>
  <c r="M24" i="46" s="1"/>
  <c r="V32" i="46"/>
  <c r="P32" i="46"/>
  <c r="V9" i="46"/>
  <c r="O62" i="46"/>
  <c r="P9" i="46"/>
  <c r="V15" i="46"/>
  <c r="V25" i="46"/>
  <c r="P25" i="46"/>
  <c r="U39" i="46"/>
  <c r="U11" i="46"/>
  <c r="U14" i="46"/>
  <c r="U16" i="46"/>
  <c r="S20" i="46"/>
  <c r="U20" i="46" s="1"/>
  <c r="V20" i="46"/>
  <c r="U36" i="46"/>
  <c r="V42" i="46"/>
  <c r="K22" i="46"/>
  <c r="M22" i="46" s="1"/>
  <c r="L22" i="46"/>
  <c r="L35" i="46"/>
  <c r="K35" i="46"/>
  <c r="M35" i="46" s="1"/>
  <c r="V10" i="46"/>
  <c r="P10" i="46"/>
  <c r="P21" i="46"/>
  <c r="V21" i="46"/>
  <c r="L34" i="46"/>
  <c r="K34" i="46"/>
  <c r="M34" i="46" s="1"/>
  <c r="V13" i="46"/>
  <c r="P15" i="46"/>
  <c r="K18" i="46"/>
  <c r="M18" i="46" s="1"/>
  <c r="V19" i="46"/>
  <c r="K21" i="46"/>
  <c r="M21" i="46" s="1"/>
  <c r="V22" i="46"/>
  <c r="P24" i="46"/>
  <c r="P30" i="46"/>
  <c r="U33" i="46"/>
  <c r="V34" i="46"/>
  <c r="V40" i="46"/>
  <c r="U43" i="46"/>
  <c r="U47" i="46"/>
  <c r="U48" i="46"/>
  <c r="L39" i="46"/>
  <c r="K39" i="46"/>
  <c r="M39" i="46" s="1"/>
  <c r="R62" i="46"/>
  <c r="K12" i="46"/>
  <c r="M12" i="46" s="1"/>
  <c r="K14" i="46"/>
  <c r="M14" i="46" s="1"/>
  <c r="K17" i="46"/>
  <c r="M17" i="46" s="1"/>
  <c r="K27" i="46"/>
  <c r="M27" i="46" s="1"/>
  <c r="V33" i="46"/>
  <c r="P34" i="46"/>
  <c r="K40" i="46"/>
  <c r="M40" i="46" s="1"/>
  <c r="U56" i="46"/>
  <c r="U57" i="46"/>
  <c r="U58" i="46"/>
  <c r="V35" i="46"/>
  <c r="I62" i="46"/>
  <c r="E66" i="46" s="1"/>
  <c r="D83" i="46" s="1"/>
  <c r="V12" i="46"/>
  <c r="V14" i="46"/>
  <c r="V17" i="46"/>
  <c r="V27" i="46"/>
  <c r="V31" i="46"/>
  <c r="L33" i="46"/>
  <c r="V39" i="46"/>
  <c r="U44" i="46"/>
  <c r="V46" i="46"/>
  <c r="P46" i="46"/>
  <c r="V48" i="46"/>
  <c r="U49" i="46"/>
  <c r="U50" i="46"/>
  <c r="U52" i="46"/>
  <c r="V58" i="46"/>
  <c r="L58" i="46"/>
  <c r="K58" i="46"/>
  <c r="M58" i="46" s="1"/>
  <c r="V59" i="46"/>
  <c r="L59" i="46"/>
  <c r="V55" i="46"/>
  <c r="P55" i="46"/>
  <c r="V43" i="46"/>
  <c r="P43" i="46"/>
  <c r="V50" i="46"/>
  <c r="V52" i="46"/>
  <c r="K30" i="46"/>
  <c r="M30" i="46" s="1"/>
  <c r="U34" i="46"/>
  <c r="P44" i="46"/>
  <c r="W53" i="46"/>
  <c r="X57" i="46"/>
  <c r="T62" i="46"/>
  <c r="K53" i="46"/>
  <c r="M53" i="46" s="1"/>
  <c r="K57" i="46"/>
  <c r="M57" i="46" s="1"/>
  <c r="K48" i="46"/>
  <c r="M48" i="46" s="1"/>
  <c r="K50" i="46"/>
  <c r="M50" i="46" s="1"/>
  <c r="K52" i="46"/>
  <c r="M52" i="46" s="1"/>
  <c r="K56" i="46"/>
  <c r="M56" i="46" s="1"/>
  <c r="K60" i="46"/>
  <c r="M60" i="46" s="1"/>
  <c r="K38" i="46"/>
  <c r="M38" i="46" s="1"/>
  <c r="K44" i="46"/>
  <c r="M44" i="46" s="1"/>
  <c r="K47" i="46"/>
  <c r="M47" i="46" s="1"/>
  <c r="K49" i="46"/>
  <c r="M49" i="46" s="1"/>
  <c r="U41" i="49"/>
  <c r="U38" i="49"/>
  <c r="U57" i="49"/>
  <c r="L25" i="49"/>
  <c r="K23" i="49"/>
  <c r="M23" i="49" s="1"/>
  <c r="N65" i="49"/>
  <c r="T65" i="49" s="1"/>
  <c r="L15" i="49"/>
  <c r="V13" i="49"/>
  <c r="X13" i="49" s="1"/>
  <c r="L12" i="49"/>
  <c r="U11" i="49"/>
  <c r="U25" i="49"/>
  <c r="V34" i="49"/>
  <c r="X34" i="49" s="1"/>
  <c r="V44" i="49"/>
  <c r="X44" i="49" s="1"/>
  <c r="K22" i="49"/>
  <c r="M22" i="49" s="1"/>
  <c r="L42" i="49"/>
  <c r="L44" i="49"/>
  <c r="K53" i="49"/>
  <c r="M53" i="49" s="1"/>
  <c r="K14" i="49"/>
  <c r="M14" i="49" s="1"/>
  <c r="U46" i="49"/>
  <c r="U9" i="49"/>
  <c r="K50" i="49"/>
  <c r="M50" i="49" s="1"/>
  <c r="U14" i="49"/>
  <c r="L35" i="49"/>
  <c r="U48" i="49"/>
  <c r="L31" i="49"/>
  <c r="K32" i="49"/>
  <c r="M32" i="49" s="1"/>
  <c r="K17" i="49"/>
  <c r="M17" i="49" s="1"/>
  <c r="K48" i="49"/>
  <c r="M48" i="49" s="1"/>
  <c r="U49" i="49"/>
  <c r="U12" i="49"/>
  <c r="U13" i="49"/>
  <c r="V24" i="49"/>
  <c r="X24" i="49" s="1"/>
  <c r="K26" i="49"/>
  <c r="M26" i="49" s="1"/>
  <c r="U32" i="49"/>
  <c r="V60" i="49"/>
  <c r="X60" i="49" s="1"/>
  <c r="L33" i="49"/>
  <c r="U40" i="49"/>
  <c r="V51" i="49"/>
  <c r="X51" i="49" s="1"/>
  <c r="U60" i="49"/>
  <c r="U24" i="49"/>
  <c r="U28" i="49"/>
  <c r="U44" i="49"/>
  <c r="U53" i="49"/>
  <c r="P13" i="49"/>
  <c r="V31" i="49"/>
  <c r="W31" i="49" s="1"/>
  <c r="K40" i="49"/>
  <c r="M40" i="49" s="1"/>
  <c r="U37" i="49"/>
  <c r="V45" i="49"/>
  <c r="W45" i="49" s="1"/>
  <c r="K46" i="49"/>
  <c r="M46" i="49" s="1"/>
  <c r="P45" i="49"/>
  <c r="V53" i="49"/>
  <c r="X53" i="49" s="1"/>
  <c r="V61" i="49"/>
  <c r="X61" i="49" s="1"/>
  <c r="U63" i="49"/>
  <c r="U22" i="49"/>
  <c r="U52" i="49"/>
  <c r="U23" i="49"/>
  <c r="L10" i="49"/>
  <c r="V10" i="49"/>
  <c r="V11" i="49"/>
  <c r="W11" i="49" s="1"/>
  <c r="V12" i="49"/>
  <c r="W12" i="49" s="1"/>
  <c r="V15" i="49"/>
  <c r="X15" i="49" s="1"/>
  <c r="U26" i="49"/>
  <c r="U34" i="49"/>
  <c r="V46" i="49"/>
  <c r="X46" i="49" s="1"/>
  <c r="U47" i="49"/>
  <c r="V54" i="49"/>
  <c r="X54" i="49" s="1"/>
  <c r="L19" i="49"/>
  <c r="K11" i="49"/>
  <c r="M11" i="49" s="1"/>
  <c r="P15" i="49"/>
  <c r="U19" i="49"/>
  <c r="V22" i="49"/>
  <c r="X22" i="49" s="1"/>
  <c r="V36" i="49"/>
  <c r="W36" i="49" s="1"/>
  <c r="U43" i="49"/>
  <c r="P46" i="49"/>
  <c r="S51" i="49"/>
  <c r="U51" i="49" s="1"/>
  <c r="L58" i="49"/>
  <c r="V59" i="49"/>
  <c r="W59" i="49" s="1"/>
  <c r="K60" i="49"/>
  <c r="M60" i="49" s="1"/>
  <c r="L61" i="49"/>
  <c r="U62" i="49"/>
  <c r="K21" i="49"/>
  <c r="M21" i="49" s="1"/>
  <c r="K30" i="49"/>
  <c r="M30" i="49" s="1"/>
  <c r="U33" i="49"/>
  <c r="K36" i="49"/>
  <c r="M36" i="49" s="1"/>
  <c r="K41" i="49"/>
  <c r="M41" i="49" s="1"/>
  <c r="V41" i="49"/>
  <c r="W41" i="49" s="1"/>
  <c r="V43" i="49"/>
  <c r="X43" i="49" s="1"/>
  <c r="K49" i="49"/>
  <c r="M49" i="49" s="1"/>
  <c r="V49" i="49"/>
  <c r="W49" i="49" s="1"/>
  <c r="K54" i="49"/>
  <c r="M54" i="49" s="1"/>
  <c r="U55" i="49"/>
  <c r="K57" i="49"/>
  <c r="M57" i="49" s="1"/>
  <c r="V57" i="49"/>
  <c r="X57" i="49" s="1"/>
  <c r="P60" i="49"/>
  <c r="P61" i="49"/>
  <c r="L13" i="49"/>
  <c r="V19" i="49"/>
  <c r="W19" i="49" s="1"/>
  <c r="K24" i="49"/>
  <c r="M24" i="49" s="1"/>
  <c r="K34" i="49"/>
  <c r="M34" i="49" s="1"/>
  <c r="V39" i="49"/>
  <c r="W39" i="49" s="1"/>
  <c r="V50" i="49"/>
  <c r="U15" i="49"/>
  <c r="U17" i="49"/>
  <c r="U18" i="49"/>
  <c r="V25" i="49"/>
  <c r="U35" i="49"/>
  <c r="S39" i="49"/>
  <c r="U39" i="49" s="1"/>
  <c r="U45" i="49"/>
  <c r="K55" i="49"/>
  <c r="M55" i="49" s="1"/>
  <c r="U56" i="49"/>
  <c r="V63" i="49"/>
  <c r="X63" i="49" s="1"/>
  <c r="U31" i="49"/>
  <c r="K52" i="49"/>
  <c r="M52" i="49" s="1"/>
  <c r="P63" i="49"/>
  <c r="V23" i="49"/>
  <c r="W23" i="49" s="1"/>
  <c r="U42" i="49"/>
  <c r="V56" i="49"/>
  <c r="W56" i="49" s="1"/>
  <c r="U58" i="49"/>
  <c r="U59" i="49"/>
  <c r="I65" i="49"/>
  <c r="E69" i="49" s="1"/>
  <c r="D86" i="49" s="1"/>
  <c r="L18" i="49"/>
  <c r="V18" i="49"/>
  <c r="K18" i="49"/>
  <c r="M18" i="49" s="1"/>
  <c r="V20" i="49"/>
  <c r="S20" i="49"/>
  <c r="U20" i="49" s="1"/>
  <c r="V27" i="49"/>
  <c r="P27" i="49"/>
  <c r="L37" i="49"/>
  <c r="K37" i="49"/>
  <c r="M37" i="49" s="1"/>
  <c r="L62" i="49"/>
  <c r="K62" i="49"/>
  <c r="M62" i="49" s="1"/>
  <c r="U10" i="49"/>
  <c r="O65" i="49"/>
  <c r="V14" i="49"/>
  <c r="P14" i="49"/>
  <c r="V29" i="49"/>
  <c r="S29" i="49"/>
  <c r="U29" i="49" s="1"/>
  <c r="V9" i="49"/>
  <c r="L9" i="49"/>
  <c r="U21" i="49"/>
  <c r="R65" i="49"/>
  <c r="V16" i="49"/>
  <c r="S16" i="49"/>
  <c r="U16" i="49" s="1"/>
  <c r="U30" i="49"/>
  <c r="L11" i="49"/>
  <c r="V33" i="49"/>
  <c r="U36" i="49"/>
  <c r="P30" i="49"/>
  <c r="V30" i="49"/>
  <c r="P37" i="49"/>
  <c r="V37" i="49"/>
  <c r="J65" i="49"/>
  <c r="K16" i="49"/>
  <c r="M16" i="49" s="1"/>
  <c r="V17" i="49"/>
  <c r="K20" i="49"/>
  <c r="M20" i="49" s="1"/>
  <c r="V21" i="49"/>
  <c r="K28" i="49"/>
  <c r="M28" i="49" s="1"/>
  <c r="K38" i="49"/>
  <c r="M38" i="49" s="1"/>
  <c r="V42" i="49"/>
  <c r="P42" i="49"/>
  <c r="L47" i="49"/>
  <c r="K47" i="49"/>
  <c r="M47" i="49" s="1"/>
  <c r="V55" i="49"/>
  <c r="P55" i="49"/>
  <c r="P26" i="49"/>
  <c r="V26" i="49"/>
  <c r="U27" i="49"/>
  <c r="L29" i="49"/>
  <c r="V32" i="49"/>
  <c r="V35" i="49"/>
  <c r="W54" i="49"/>
  <c r="V28" i="49"/>
  <c r="U61" i="49"/>
  <c r="L27" i="49"/>
  <c r="P28" i="49"/>
  <c r="V47" i="49"/>
  <c r="L39" i="49"/>
  <c r="K39" i="49"/>
  <c r="M39" i="49" s="1"/>
  <c r="L51" i="49"/>
  <c r="K51" i="49"/>
  <c r="M51" i="49" s="1"/>
  <c r="V58" i="49"/>
  <c r="P58" i="49"/>
  <c r="V38" i="49"/>
  <c r="V40" i="49"/>
  <c r="V48" i="49"/>
  <c r="V52" i="49"/>
  <c r="V62" i="49"/>
  <c r="K43" i="49"/>
  <c r="M43" i="49" s="1"/>
  <c r="K45" i="49"/>
  <c r="M45" i="49" s="1"/>
  <c r="S50" i="49"/>
  <c r="U50" i="49" s="1"/>
  <c r="S54" i="49"/>
  <c r="U54" i="49" s="1"/>
  <c r="K56" i="49"/>
  <c r="M56" i="49" s="1"/>
  <c r="K59" i="49"/>
  <c r="M59" i="49" s="1"/>
  <c r="K63" i="49"/>
  <c r="M63" i="49" s="1"/>
  <c r="U17" i="48"/>
  <c r="L22" i="48"/>
  <c r="K26" i="48"/>
  <c r="M26" i="48" s="1"/>
  <c r="L21" i="48"/>
  <c r="K23" i="48"/>
  <c r="M23" i="48" s="1"/>
  <c r="U20" i="48"/>
  <c r="V21" i="48"/>
  <c r="X21" i="48" s="1"/>
  <c r="K16" i="48"/>
  <c r="M16" i="48" s="1"/>
  <c r="L27" i="48"/>
  <c r="U19" i="48"/>
  <c r="K20" i="48"/>
  <c r="M20" i="48" s="1"/>
  <c r="V27" i="48"/>
  <c r="X27" i="48" s="1"/>
  <c r="V16" i="48"/>
  <c r="X16" i="48" s="1"/>
  <c r="L15" i="48"/>
  <c r="V19" i="48"/>
  <c r="W19" i="48" s="1"/>
  <c r="V15" i="48"/>
  <c r="X15" i="48" s="1"/>
  <c r="U28" i="48"/>
  <c r="U14" i="48"/>
  <c r="U11" i="48"/>
  <c r="U15" i="48"/>
  <c r="S16" i="48"/>
  <c r="U16" i="48" s="1"/>
  <c r="U18" i="48"/>
  <c r="U21" i="48"/>
  <c r="V23" i="48"/>
  <c r="X23" i="48" s="1"/>
  <c r="U25" i="48"/>
  <c r="K9" i="48"/>
  <c r="M9" i="48" s="1"/>
  <c r="U10" i="48"/>
  <c r="K11" i="48"/>
  <c r="M11" i="48" s="1"/>
  <c r="U13" i="48"/>
  <c r="L18" i="48"/>
  <c r="V20" i="48"/>
  <c r="X20" i="48" s="1"/>
  <c r="L25" i="48"/>
  <c r="V11" i="48"/>
  <c r="X11" i="48" s="1"/>
  <c r="V14" i="48"/>
  <c r="X14" i="48" s="1"/>
  <c r="V18" i="48"/>
  <c r="W18" i="48" s="1"/>
  <c r="V25" i="48"/>
  <c r="V10" i="48"/>
  <c r="W10" i="48" s="1"/>
  <c r="P11" i="48"/>
  <c r="V12" i="48"/>
  <c r="W12" i="48" s="1"/>
  <c r="K13" i="48"/>
  <c r="M13" i="48" s="1"/>
  <c r="V17" i="48"/>
  <c r="X17" i="48" s="1"/>
  <c r="P18" i="48"/>
  <c r="V28" i="48"/>
  <c r="W28" i="48" s="1"/>
  <c r="P28" i="48"/>
  <c r="U23" i="48"/>
  <c r="V13" i="48"/>
  <c r="X13" i="48" s="1"/>
  <c r="V22" i="48"/>
  <c r="X22" i="48" s="1"/>
  <c r="O30" i="48"/>
  <c r="P10" i="48"/>
  <c r="S12" i="48"/>
  <c r="U12" i="48" s="1"/>
  <c r="K14" i="48"/>
  <c r="M14" i="48" s="1"/>
  <c r="K17" i="48"/>
  <c r="M17" i="48" s="1"/>
  <c r="P19" i="48"/>
  <c r="V26" i="48"/>
  <c r="S26" i="48"/>
  <c r="U26" i="48" s="1"/>
  <c r="L14" i="48"/>
  <c r="L17" i="48"/>
  <c r="R30" i="48"/>
  <c r="K12" i="48"/>
  <c r="M12" i="48" s="1"/>
  <c r="S22" i="48"/>
  <c r="U22" i="48" s="1"/>
  <c r="T30" i="48"/>
  <c r="U24" i="48"/>
  <c r="U27" i="48"/>
  <c r="I30" i="48"/>
  <c r="E34" i="48" s="1"/>
  <c r="D51" i="48" s="1"/>
  <c r="J30" i="48"/>
  <c r="K10" i="48"/>
  <c r="M10" i="48" s="1"/>
  <c r="K19" i="48"/>
  <c r="M19" i="48" s="1"/>
  <c r="L24" i="48"/>
  <c r="K24" i="48"/>
  <c r="M24" i="48" s="1"/>
  <c r="U9" i="48"/>
  <c r="P9" i="48"/>
  <c r="V9" i="48"/>
  <c r="V24" i="48"/>
  <c r="P25" i="48"/>
  <c r="K28" i="48"/>
  <c r="M28" i="48" s="1"/>
  <c r="W10" i="37" l="1"/>
  <c r="X29" i="46"/>
  <c r="X23" i="46"/>
  <c r="W45" i="46"/>
  <c r="W56" i="46"/>
  <c r="W26" i="46"/>
  <c r="W54" i="46"/>
  <c r="X44" i="46"/>
  <c r="X11" i="46"/>
  <c r="X47" i="46"/>
  <c r="X30" i="46"/>
  <c r="W37" i="46"/>
  <c r="W36" i="46"/>
  <c r="W41" i="46"/>
  <c r="S62" i="46"/>
  <c r="E71" i="46" s="1"/>
  <c r="X51" i="46"/>
  <c r="W51" i="46"/>
  <c r="U62" i="46"/>
  <c r="E73" i="46" s="1"/>
  <c r="W16" i="46"/>
  <c r="W60" i="46"/>
  <c r="X49" i="46"/>
  <c r="X19" i="46"/>
  <c r="W19" i="46"/>
  <c r="W43" i="46"/>
  <c r="X43" i="46"/>
  <c r="X58" i="46"/>
  <c r="W58" i="46"/>
  <c r="X39" i="46"/>
  <c r="W39" i="46"/>
  <c r="X12" i="46"/>
  <c r="W12" i="46"/>
  <c r="W33" i="46"/>
  <c r="X33" i="46"/>
  <c r="W25" i="46"/>
  <c r="X25" i="46"/>
  <c r="W38" i="46"/>
  <c r="X38" i="46"/>
  <c r="W34" i="46"/>
  <c r="X34" i="46"/>
  <c r="X35" i="46"/>
  <c r="W35" i="46"/>
  <c r="X13" i="46"/>
  <c r="W13" i="46"/>
  <c r="W21" i="46"/>
  <c r="X21" i="46"/>
  <c r="X15" i="46"/>
  <c r="W15" i="46"/>
  <c r="W46" i="46"/>
  <c r="X46" i="46"/>
  <c r="W32" i="46"/>
  <c r="X32" i="46"/>
  <c r="W31" i="46"/>
  <c r="X31" i="46"/>
  <c r="X40" i="46"/>
  <c r="W40" i="46"/>
  <c r="X20" i="46"/>
  <c r="W20" i="46"/>
  <c r="P62" i="46"/>
  <c r="W28" i="46"/>
  <c r="X28" i="46"/>
  <c r="K62" i="46"/>
  <c r="M9" i="46"/>
  <c r="M62" i="46" s="1"/>
  <c r="X14" i="46"/>
  <c r="W14" i="46"/>
  <c r="X52" i="46"/>
  <c r="W52" i="46"/>
  <c r="L62" i="46"/>
  <c r="E67" i="46" s="1"/>
  <c r="AA59" i="46" s="1"/>
  <c r="X50" i="46"/>
  <c r="W50" i="46"/>
  <c r="W10" i="46"/>
  <c r="X10" i="46"/>
  <c r="X27" i="46"/>
  <c r="W27" i="46"/>
  <c r="X22" i="46"/>
  <c r="W22" i="46"/>
  <c r="X9" i="46"/>
  <c r="V62" i="46"/>
  <c r="W9" i="46"/>
  <c r="X24" i="46"/>
  <c r="W24" i="46"/>
  <c r="W18" i="46"/>
  <c r="X18" i="46"/>
  <c r="X55" i="46"/>
  <c r="W55" i="46"/>
  <c r="X59" i="46"/>
  <c r="W59" i="46"/>
  <c r="X48" i="46"/>
  <c r="W48" i="46"/>
  <c r="X17" i="46"/>
  <c r="W17" i="46"/>
  <c r="X42" i="46"/>
  <c r="W42" i="46"/>
  <c r="W51" i="49"/>
  <c r="W34" i="49"/>
  <c r="X41" i="49"/>
  <c r="W44" i="49"/>
  <c r="X49" i="49"/>
  <c r="X59" i="49"/>
  <c r="X36" i="49"/>
  <c r="W13" i="49"/>
  <c r="X45" i="49"/>
  <c r="W46" i="49"/>
  <c r="W63" i="49"/>
  <c r="X12" i="49"/>
  <c r="W24" i="49"/>
  <c r="X11" i="49"/>
  <c r="W61" i="49"/>
  <c r="W57" i="49"/>
  <c r="W43" i="49"/>
  <c r="W60" i="49"/>
  <c r="X31" i="49"/>
  <c r="X39" i="49"/>
  <c r="X19" i="49"/>
  <c r="W22" i="49"/>
  <c r="W53" i="49"/>
  <c r="X56" i="49"/>
  <c r="P65" i="49"/>
  <c r="E73" i="49" s="1"/>
  <c r="L65" i="49"/>
  <c r="E70" i="49" s="1"/>
  <c r="AA62" i="49" s="1"/>
  <c r="X23" i="49"/>
  <c r="X10" i="49"/>
  <c r="W10" i="49"/>
  <c r="X50" i="49"/>
  <c r="W50" i="49"/>
  <c r="W25" i="49"/>
  <c r="X25" i="49"/>
  <c r="W15" i="49"/>
  <c r="X38" i="49"/>
  <c r="W38" i="49"/>
  <c r="W42" i="49"/>
  <c r="X42" i="49"/>
  <c r="X27" i="49"/>
  <c r="W27" i="49"/>
  <c r="X32" i="49"/>
  <c r="W32" i="49"/>
  <c r="W14" i="49"/>
  <c r="X14" i="49"/>
  <c r="X17" i="49"/>
  <c r="W17" i="49"/>
  <c r="X29" i="49"/>
  <c r="W29" i="49"/>
  <c r="W30" i="49"/>
  <c r="X30" i="49"/>
  <c r="S65" i="49"/>
  <c r="E74" i="49" s="1"/>
  <c r="W55" i="49"/>
  <c r="X55" i="49"/>
  <c r="X62" i="49"/>
  <c r="W62" i="49"/>
  <c r="X20" i="49"/>
  <c r="W20" i="49"/>
  <c r="X21" i="49"/>
  <c r="W21" i="49"/>
  <c r="K65" i="49"/>
  <c r="M65" i="49"/>
  <c r="W58" i="49"/>
  <c r="X58" i="49"/>
  <c r="X26" i="49"/>
  <c r="W26" i="49"/>
  <c r="X52" i="49"/>
  <c r="W52" i="49"/>
  <c r="X47" i="49"/>
  <c r="W47" i="49"/>
  <c r="W37" i="49"/>
  <c r="X37" i="49"/>
  <c r="X33" i="49"/>
  <c r="W33" i="49"/>
  <c r="W9" i="49"/>
  <c r="X9" i="49"/>
  <c r="V65" i="49"/>
  <c r="U65" i="49"/>
  <c r="E76" i="49" s="1"/>
  <c r="X40" i="49"/>
  <c r="W40" i="49"/>
  <c r="X48" i="49"/>
  <c r="W48" i="49"/>
  <c r="X28" i="49"/>
  <c r="W28" i="49"/>
  <c r="X35" i="49"/>
  <c r="W35" i="49"/>
  <c r="X16" i="49"/>
  <c r="W16" i="49"/>
  <c r="X18" i="49"/>
  <c r="W18" i="49"/>
  <c r="W11" i="48"/>
  <c r="W16" i="48"/>
  <c r="X28" i="48"/>
  <c r="X12" i="48"/>
  <c r="W17" i="48"/>
  <c r="W23" i="48"/>
  <c r="X18" i="48"/>
  <c r="W20" i="48"/>
  <c r="W13" i="48"/>
  <c r="X10" i="48"/>
  <c r="W21" i="48"/>
  <c r="X19" i="48"/>
  <c r="W27" i="48"/>
  <c r="W15" i="48"/>
  <c r="L30" i="48"/>
  <c r="E35" i="48" s="1"/>
  <c r="M30" i="48"/>
  <c r="W14" i="48"/>
  <c r="W22" i="48"/>
  <c r="X25" i="48"/>
  <c r="W25" i="48"/>
  <c r="V30" i="48"/>
  <c r="X9" i="48"/>
  <c r="W9" i="48"/>
  <c r="U30" i="48"/>
  <c r="E41" i="48" s="1"/>
  <c r="K30" i="48"/>
  <c r="X26" i="48"/>
  <c r="W26" i="48"/>
  <c r="P30" i="48"/>
  <c r="S30" i="48"/>
  <c r="E39" i="48" s="1"/>
  <c r="X24" i="48"/>
  <c r="W24" i="48"/>
  <c r="W62" i="46" l="1"/>
  <c r="X62" i="46"/>
  <c r="E74" i="46" s="1"/>
  <c r="E70" i="46"/>
  <c r="D81" i="46" s="1"/>
  <c r="D84" i="46" s="1"/>
  <c r="D85" i="46" s="1"/>
  <c r="E69" i="46"/>
  <c r="D84" i="49"/>
  <c r="D87" i="49" s="1"/>
  <c r="D88" i="49" s="1"/>
  <c r="X65" i="49"/>
  <c r="E77" i="49" s="1"/>
  <c r="W65" i="49"/>
  <c r="E72" i="49"/>
  <c r="W30" i="48"/>
  <c r="X30" i="48"/>
  <c r="E42" i="48" s="1"/>
  <c r="E38" i="48"/>
  <c r="D49" i="48" s="1"/>
  <c r="D52" i="48" s="1"/>
  <c r="D53" i="48" s="1"/>
  <c r="E37" i="48"/>
  <c r="D58" i="47" l="1"/>
  <c r="H46" i="47"/>
  <c r="N38" i="47"/>
  <c r="H38" i="47"/>
  <c r="Q38" i="47" s="1"/>
  <c r="G38" i="47"/>
  <c r="D38" i="47"/>
  <c r="T36" i="47"/>
  <c r="R36" i="47"/>
  <c r="S36" i="47" s="1"/>
  <c r="O36" i="47"/>
  <c r="J36" i="47"/>
  <c r="L36" i="47" s="1"/>
  <c r="I36" i="47"/>
  <c r="B36" i="47"/>
  <c r="T35" i="47"/>
  <c r="R35" i="47"/>
  <c r="S35" i="47" s="1"/>
  <c r="O35" i="47"/>
  <c r="P35" i="47" s="1"/>
  <c r="J35" i="47"/>
  <c r="K35" i="47" s="1"/>
  <c r="M35" i="47" s="1"/>
  <c r="I35" i="47"/>
  <c r="B35" i="47"/>
  <c r="T34" i="47"/>
  <c r="R34" i="47"/>
  <c r="S34" i="47" s="1"/>
  <c r="O34" i="47"/>
  <c r="P34" i="47" s="1"/>
  <c r="L34" i="47"/>
  <c r="J34" i="47"/>
  <c r="K34" i="47" s="1"/>
  <c r="M34" i="47" s="1"/>
  <c r="I34" i="47"/>
  <c r="B34" i="47"/>
  <c r="T33" i="47"/>
  <c r="R33" i="47"/>
  <c r="S33" i="47" s="1"/>
  <c r="O33" i="47"/>
  <c r="P33" i="47" s="1"/>
  <c r="J33" i="47"/>
  <c r="K33" i="47" s="1"/>
  <c r="M33" i="47" s="1"/>
  <c r="I33" i="47"/>
  <c r="B33" i="47"/>
  <c r="T32" i="47"/>
  <c r="S32" i="47"/>
  <c r="R32" i="47"/>
  <c r="O32" i="47"/>
  <c r="P32" i="47" s="1"/>
  <c r="J32" i="47"/>
  <c r="I32" i="47"/>
  <c r="B32" i="47"/>
  <c r="T31" i="47"/>
  <c r="R31" i="47"/>
  <c r="S31" i="47" s="1"/>
  <c r="O31" i="47"/>
  <c r="P31" i="47" s="1"/>
  <c r="J31" i="47"/>
  <c r="L31" i="47" s="1"/>
  <c r="I31" i="47"/>
  <c r="B31" i="47"/>
  <c r="AD30" i="47"/>
  <c r="AC30" i="47"/>
  <c r="AB30" i="47"/>
  <c r="AA30" i="47"/>
  <c r="T30" i="47"/>
  <c r="R30" i="47"/>
  <c r="S30" i="47" s="1"/>
  <c r="O30" i="47"/>
  <c r="P30" i="47" s="1"/>
  <c r="J30" i="47"/>
  <c r="L30" i="47" s="1"/>
  <c r="I30" i="47"/>
  <c r="B30" i="47"/>
  <c r="T29" i="47"/>
  <c r="R29" i="47"/>
  <c r="S29" i="47" s="1"/>
  <c r="O29" i="47"/>
  <c r="P29" i="47" s="1"/>
  <c r="J29" i="47"/>
  <c r="I29" i="47"/>
  <c r="B29" i="47"/>
  <c r="T28" i="47"/>
  <c r="R28" i="47"/>
  <c r="S28" i="47" s="1"/>
  <c r="O28" i="47"/>
  <c r="P28" i="47" s="1"/>
  <c r="J28" i="47"/>
  <c r="I28" i="47"/>
  <c r="B28" i="47"/>
  <c r="T27" i="47"/>
  <c r="R27" i="47"/>
  <c r="O27" i="47"/>
  <c r="P27" i="47" s="1"/>
  <c r="J27" i="47"/>
  <c r="L27" i="47" s="1"/>
  <c r="I27" i="47"/>
  <c r="B27" i="47"/>
  <c r="T26" i="47"/>
  <c r="R26" i="47"/>
  <c r="O26" i="47"/>
  <c r="P26" i="47" s="1"/>
  <c r="J26" i="47"/>
  <c r="L26" i="47" s="1"/>
  <c r="I26" i="47"/>
  <c r="B26" i="47"/>
  <c r="T25" i="47"/>
  <c r="R25" i="47"/>
  <c r="S25" i="47" s="1"/>
  <c r="P25" i="47"/>
  <c r="O25" i="47"/>
  <c r="J25" i="47"/>
  <c r="L25" i="47" s="1"/>
  <c r="I25" i="47"/>
  <c r="B25" i="47"/>
  <c r="T24" i="47"/>
  <c r="R24" i="47"/>
  <c r="S24" i="47" s="1"/>
  <c r="O24" i="47"/>
  <c r="J24" i="47"/>
  <c r="L24" i="47" s="1"/>
  <c r="I24" i="47"/>
  <c r="B24" i="47"/>
  <c r="T23" i="47"/>
  <c r="R23" i="47"/>
  <c r="S23" i="47" s="1"/>
  <c r="O23" i="47"/>
  <c r="J23" i="47"/>
  <c r="L23" i="47" s="1"/>
  <c r="I23" i="47"/>
  <c r="B23" i="47"/>
  <c r="AD22" i="47"/>
  <c r="AC22" i="47"/>
  <c r="AB22" i="47"/>
  <c r="AA22" i="47"/>
  <c r="T22" i="47"/>
  <c r="R22" i="47"/>
  <c r="O22" i="47"/>
  <c r="P22" i="47" s="1"/>
  <c r="J22" i="47"/>
  <c r="L22" i="47" s="1"/>
  <c r="I22" i="47"/>
  <c r="B22" i="47"/>
  <c r="T21" i="47"/>
  <c r="R21" i="47"/>
  <c r="S21" i="47" s="1"/>
  <c r="O21" i="47"/>
  <c r="P21" i="47" s="1"/>
  <c r="J21" i="47"/>
  <c r="L21" i="47" s="1"/>
  <c r="I21" i="47"/>
  <c r="B21" i="47"/>
  <c r="T20" i="47"/>
  <c r="R20" i="47"/>
  <c r="S20" i="47" s="1"/>
  <c r="O20" i="47"/>
  <c r="J20" i="47"/>
  <c r="L20" i="47" s="1"/>
  <c r="I20" i="47"/>
  <c r="B20" i="47"/>
  <c r="T19" i="47"/>
  <c r="R19" i="47"/>
  <c r="O19" i="47"/>
  <c r="P19" i="47" s="1"/>
  <c r="J19" i="47"/>
  <c r="K19" i="47" s="1"/>
  <c r="M19" i="47" s="1"/>
  <c r="I19" i="47"/>
  <c r="B19" i="47"/>
  <c r="T18" i="47"/>
  <c r="R18" i="47"/>
  <c r="S18" i="47" s="1"/>
  <c r="O18" i="47"/>
  <c r="P18" i="47" s="1"/>
  <c r="J18" i="47"/>
  <c r="K18" i="47" s="1"/>
  <c r="M18" i="47" s="1"/>
  <c r="I18" i="47"/>
  <c r="B18" i="47"/>
  <c r="T17" i="47"/>
  <c r="R17" i="47"/>
  <c r="S17" i="47" s="1"/>
  <c r="O17" i="47"/>
  <c r="P17" i="47" s="1"/>
  <c r="J17" i="47"/>
  <c r="I17" i="47"/>
  <c r="B17" i="47"/>
  <c r="T16" i="47"/>
  <c r="R16" i="47"/>
  <c r="S16" i="47" s="1"/>
  <c r="O16" i="47"/>
  <c r="P16" i="47" s="1"/>
  <c r="J16" i="47"/>
  <c r="I16" i="47"/>
  <c r="B16" i="47"/>
  <c r="AD15" i="47"/>
  <c r="AC15" i="47"/>
  <c r="AB15" i="47"/>
  <c r="AA15" i="47"/>
  <c r="T15" i="47"/>
  <c r="R15" i="47"/>
  <c r="O15" i="47"/>
  <c r="P15" i="47" s="1"/>
  <c r="J15" i="47"/>
  <c r="L15" i="47" s="1"/>
  <c r="I15" i="47"/>
  <c r="B15" i="47"/>
  <c r="T14" i="47"/>
  <c r="R14" i="47"/>
  <c r="S14" i="47" s="1"/>
  <c r="O14" i="47"/>
  <c r="P14" i="47" s="1"/>
  <c r="J14" i="47"/>
  <c r="I14" i="47"/>
  <c r="B14" i="47"/>
  <c r="T13" i="47"/>
  <c r="R13" i="47"/>
  <c r="S13" i="47" s="1"/>
  <c r="O13" i="47"/>
  <c r="P13" i="47" s="1"/>
  <c r="J13" i="47"/>
  <c r="I13" i="47"/>
  <c r="B13" i="47"/>
  <c r="T12" i="47"/>
  <c r="R12" i="47"/>
  <c r="S12" i="47" s="1"/>
  <c r="O12" i="47"/>
  <c r="P12" i="47" s="1"/>
  <c r="J12" i="47"/>
  <c r="I12" i="47"/>
  <c r="B12" i="47"/>
  <c r="T11" i="47"/>
  <c r="R11" i="47"/>
  <c r="O11" i="47"/>
  <c r="P11" i="47" s="1"/>
  <c r="J11" i="47"/>
  <c r="L11" i="47" s="1"/>
  <c r="I11" i="47"/>
  <c r="B11" i="47"/>
  <c r="T10" i="47"/>
  <c r="R10" i="47"/>
  <c r="O10" i="47"/>
  <c r="P10" i="47" s="1"/>
  <c r="J10" i="47"/>
  <c r="L10" i="47" s="1"/>
  <c r="I10" i="47"/>
  <c r="B10" i="47"/>
  <c r="T9" i="47"/>
  <c r="R9" i="47"/>
  <c r="O9" i="47"/>
  <c r="P9" i="47" s="1"/>
  <c r="J9" i="47"/>
  <c r="L9" i="47" s="1"/>
  <c r="I9" i="47"/>
  <c r="B9" i="47"/>
  <c r="D4" i="47"/>
  <c r="N1" i="47"/>
  <c r="T42" i="39"/>
  <c r="R42" i="39"/>
  <c r="S42" i="39" s="1"/>
  <c r="O42" i="39"/>
  <c r="J42" i="39"/>
  <c r="L42" i="39" s="1"/>
  <c r="I42" i="39"/>
  <c r="B42" i="39"/>
  <c r="T41" i="39"/>
  <c r="R41" i="39"/>
  <c r="S41" i="39" s="1"/>
  <c r="O41" i="39"/>
  <c r="J41" i="39"/>
  <c r="L41" i="39" s="1"/>
  <c r="I41" i="39"/>
  <c r="B41" i="39"/>
  <c r="T40" i="39"/>
  <c r="R40" i="39"/>
  <c r="S40" i="39" s="1"/>
  <c r="O40" i="39"/>
  <c r="J40" i="39"/>
  <c r="L40" i="39" s="1"/>
  <c r="I40" i="39"/>
  <c r="B40" i="39"/>
  <c r="T39" i="39"/>
  <c r="R39" i="39"/>
  <c r="S39" i="39" s="1"/>
  <c r="O39" i="39"/>
  <c r="P39" i="39" s="1"/>
  <c r="J39" i="39"/>
  <c r="K39" i="39" s="1"/>
  <c r="M39" i="39" s="1"/>
  <c r="I39" i="39"/>
  <c r="B39" i="39"/>
  <c r="T38" i="39"/>
  <c r="R38" i="39"/>
  <c r="S38" i="39" s="1"/>
  <c r="O38" i="39"/>
  <c r="P38" i="39" s="1"/>
  <c r="J38" i="39"/>
  <c r="L38" i="39" s="1"/>
  <c r="I38" i="39"/>
  <c r="B38" i="39"/>
  <c r="AD37" i="39"/>
  <c r="AC37" i="39"/>
  <c r="AB37" i="39"/>
  <c r="AA37" i="39"/>
  <c r="T37" i="39"/>
  <c r="R37" i="39"/>
  <c r="S37" i="39" s="1"/>
  <c r="O37" i="39"/>
  <c r="J37" i="39"/>
  <c r="L37" i="39" s="1"/>
  <c r="I37" i="39"/>
  <c r="B37" i="39"/>
  <c r="T36" i="39"/>
  <c r="R36" i="39"/>
  <c r="S36" i="39" s="1"/>
  <c r="O36" i="39"/>
  <c r="J36" i="39"/>
  <c r="L36" i="39" s="1"/>
  <c r="I36" i="39"/>
  <c r="B36" i="39"/>
  <c r="T35" i="39"/>
  <c r="R35" i="39"/>
  <c r="S35" i="39" s="1"/>
  <c r="O35" i="39"/>
  <c r="P35" i="39" s="1"/>
  <c r="J35" i="39"/>
  <c r="K35" i="39" s="1"/>
  <c r="M35" i="39" s="1"/>
  <c r="I35" i="39"/>
  <c r="B35" i="39"/>
  <c r="T34" i="39"/>
  <c r="R34" i="39"/>
  <c r="S34" i="39" s="1"/>
  <c r="O34" i="39"/>
  <c r="P34" i="39" s="1"/>
  <c r="J34" i="39"/>
  <c r="L34" i="39" s="1"/>
  <c r="I34" i="39"/>
  <c r="B34" i="39"/>
  <c r="T33" i="39"/>
  <c r="R33" i="39"/>
  <c r="S33" i="39" s="1"/>
  <c r="O33" i="39"/>
  <c r="P33" i="39" s="1"/>
  <c r="J33" i="39"/>
  <c r="I33" i="39"/>
  <c r="B33" i="39"/>
  <c r="T32" i="39"/>
  <c r="R32" i="39"/>
  <c r="S32" i="39" s="1"/>
  <c r="O32" i="39"/>
  <c r="P32" i="39" s="1"/>
  <c r="J32" i="39"/>
  <c r="L32" i="39" s="1"/>
  <c r="I32" i="39"/>
  <c r="B32" i="39"/>
  <c r="T31" i="39"/>
  <c r="R31" i="39"/>
  <c r="O31" i="39"/>
  <c r="P31" i="39" s="1"/>
  <c r="J31" i="39"/>
  <c r="L31" i="39" s="1"/>
  <c r="I31" i="39"/>
  <c r="B31" i="39"/>
  <c r="AD30" i="39"/>
  <c r="AC30" i="39"/>
  <c r="AB30" i="39"/>
  <c r="AA30" i="39"/>
  <c r="T30" i="39"/>
  <c r="R30" i="39"/>
  <c r="S30" i="39" s="1"/>
  <c r="O30" i="39"/>
  <c r="P30" i="39" s="1"/>
  <c r="J30" i="39"/>
  <c r="L30" i="39" s="1"/>
  <c r="I30" i="39"/>
  <c r="B30" i="39"/>
  <c r="T29" i="39"/>
  <c r="R29" i="39"/>
  <c r="S29" i="39" s="1"/>
  <c r="O29" i="39"/>
  <c r="P29" i="39" s="1"/>
  <c r="J29" i="39"/>
  <c r="I29" i="39"/>
  <c r="B29" i="39"/>
  <c r="T28" i="39"/>
  <c r="R28" i="39"/>
  <c r="S28" i="39" s="1"/>
  <c r="O28" i="39"/>
  <c r="P28" i="39" s="1"/>
  <c r="J28" i="39"/>
  <c r="L28" i="39" s="1"/>
  <c r="I28" i="39"/>
  <c r="B28" i="39"/>
  <c r="T27" i="39"/>
  <c r="R27" i="39"/>
  <c r="O27" i="39"/>
  <c r="P27" i="39" s="1"/>
  <c r="J27" i="39"/>
  <c r="L27" i="39" s="1"/>
  <c r="I27" i="39"/>
  <c r="B27" i="39"/>
  <c r="T26" i="39"/>
  <c r="R26" i="39"/>
  <c r="S26" i="39" s="1"/>
  <c r="O26" i="39"/>
  <c r="P26" i="39" s="1"/>
  <c r="J26" i="39"/>
  <c r="K26" i="39" s="1"/>
  <c r="M26" i="39" s="1"/>
  <c r="I26" i="39"/>
  <c r="B26" i="39"/>
  <c r="T25" i="39"/>
  <c r="R25" i="39"/>
  <c r="S25" i="39" s="1"/>
  <c r="O25" i="39"/>
  <c r="J25" i="39"/>
  <c r="L25" i="39" s="1"/>
  <c r="I25" i="39"/>
  <c r="B25" i="39"/>
  <c r="T24" i="39"/>
  <c r="R24" i="39"/>
  <c r="S24" i="39" s="1"/>
  <c r="O24" i="39"/>
  <c r="J24" i="39"/>
  <c r="L24" i="39" s="1"/>
  <c r="I24" i="39"/>
  <c r="B24" i="39"/>
  <c r="T23" i="39"/>
  <c r="R23" i="39"/>
  <c r="S23" i="39" s="1"/>
  <c r="O23" i="39"/>
  <c r="P23" i="39" s="1"/>
  <c r="J23" i="39"/>
  <c r="K23" i="39" s="1"/>
  <c r="M23" i="39" s="1"/>
  <c r="I23" i="39"/>
  <c r="B23" i="39"/>
  <c r="AD22" i="39"/>
  <c r="AC22" i="39"/>
  <c r="AB22" i="39"/>
  <c r="AA22" i="39"/>
  <c r="T22" i="39"/>
  <c r="S22" i="39"/>
  <c r="R22" i="39"/>
  <c r="O22" i="39"/>
  <c r="P22" i="39" s="1"/>
  <c r="J22" i="39"/>
  <c r="K22" i="39" s="1"/>
  <c r="M22" i="39" s="1"/>
  <c r="I22" i="39"/>
  <c r="B22" i="39"/>
  <c r="T21" i="39"/>
  <c r="R21" i="39"/>
  <c r="S21" i="39" s="1"/>
  <c r="O21" i="39"/>
  <c r="J21" i="39"/>
  <c r="L21" i="39" s="1"/>
  <c r="I21" i="39"/>
  <c r="B21" i="39"/>
  <c r="T20" i="39"/>
  <c r="R20" i="39"/>
  <c r="S20" i="39" s="1"/>
  <c r="O20" i="39"/>
  <c r="J20" i="39"/>
  <c r="L20" i="39" s="1"/>
  <c r="I20" i="39"/>
  <c r="B20" i="39"/>
  <c r="T19" i="39"/>
  <c r="S19" i="39"/>
  <c r="R19" i="39"/>
  <c r="O19" i="39"/>
  <c r="P19" i="39" s="1"/>
  <c r="J19" i="39"/>
  <c r="K19" i="39" s="1"/>
  <c r="M19" i="39" s="1"/>
  <c r="I19" i="39"/>
  <c r="B19" i="39"/>
  <c r="T18" i="39"/>
  <c r="R18" i="39"/>
  <c r="S18" i="39" s="1"/>
  <c r="U18" i="39" s="1"/>
  <c r="O18" i="39"/>
  <c r="P18" i="39" s="1"/>
  <c r="J18" i="39"/>
  <c r="L18" i="39" s="1"/>
  <c r="I18" i="39"/>
  <c r="B18" i="39"/>
  <c r="T17" i="39"/>
  <c r="R17" i="39"/>
  <c r="S17" i="39" s="1"/>
  <c r="O17" i="39"/>
  <c r="P17" i="39" s="1"/>
  <c r="J17" i="39"/>
  <c r="V17" i="39" s="1"/>
  <c r="I17" i="39"/>
  <c r="B17" i="39"/>
  <c r="T16" i="39"/>
  <c r="R16" i="39"/>
  <c r="S16" i="39" s="1"/>
  <c r="O16" i="39"/>
  <c r="P16" i="39" s="1"/>
  <c r="J16" i="39"/>
  <c r="L16" i="39" s="1"/>
  <c r="I16" i="39"/>
  <c r="B16" i="39"/>
  <c r="AD15" i="39"/>
  <c r="AC15" i="39"/>
  <c r="AB15" i="39"/>
  <c r="AA15" i="39"/>
  <c r="T15" i="39"/>
  <c r="S15" i="39"/>
  <c r="R15" i="39"/>
  <c r="O15" i="39"/>
  <c r="P15" i="39" s="1"/>
  <c r="J15" i="39"/>
  <c r="K15" i="39" s="1"/>
  <c r="M15" i="39" s="1"/>
  <c r="I15" i="39"/>
  <c r="B15" i="39"/>
  <c r="T14" i="39"/>
  <c r="R14" i="39"/>
  <c r="S14" i="39" s="1"/>
  <c r="O14" i="39"/>
  <c r="J14" i="39"/>
  <c r="L14" i="39" s="1"/>
  <c r="I14" i="39"/>
  <c r="B14" i="39"/>
  <c r="T13" i="39"/>
  <c r="R13" i="39"/>
  <c r="S13" i="39" s="1"/>
  <c r="O13" i="39"/>
  <c r="P13" i="39" s="1"/>
  <c r="J13" i="39"/>
  <c r="V13" i="39" s="1"/>
  <c r="I13" i="39"/>
  <c r="B13" i="39"/>
  <c r="T12" i="39"/>
  <c r="R12" i="39"/>
  <c r="S12" i="39" s="1"/>
  <c r="O12" i="39"/>
  <c r="P12" i="39" s="1"/>
  <c r="J12" i="39"/>
  <c r="L12" i="39" s="1"/>
  <c r="I12" i="39"/>
  <c r="B12" i="39"/>
  <c r="T11" i="39"/>
  <c r="R11" i="39"/>
  <c r="O11" i="39"/>
  <c r="P11" i="39" s="1"/>
  <c r="J11" i="39"/>
  <c r="L11" i="39" s="1"/>
  <c r="I11" i="39"/>
  <c r="B11" i="39"/>
  <c r="T10" i="39"/>
  <c r="R10" i="39"/>
  <c r="S10" i="39" s="1"/>
  <c r="O10" i="39"/>
  <c r="J10" i="39"/>
  <c r="L10" i="39" s="1"/>
  <c r="I10" i="39"/>
  <c r="B10" i="39"/>
  <c r="T70" i="39"/>
  <c r="R70" i="39"/>
  <c r="S70" i="39" s="1"/>
  <c r="O70" i="39"/>
  <c r="P70" i="39" s="1"/>
  <c r="J70" i="39"/>
  <c r="L70" i="39" s="1"/>
  <c r="I70" i="39"/>
  <c r="B70" i="39"/>
  <c r="T60" i="39"/>
  <c r="R60" i="39"/>
  <c r="S60" i="39" s="1"/>
  <c r="O60" i="39"/>
  <c r="J60" i="39"/>
  <c r="L60" i="39" s="1"/>
  <c r="I60" i="39"/>
  <c r="B60" i="39"/>
  <c r="T59" i="39"/>
  <c r="R59" i="39"/>
  <c r="S59" i="39" s="1"/>
  <c r="O59" i="39"/>
  <c r="J59" i="39"/>
  <c r="L59" i="39" s="1"/>
  <c r="I59" i="39"/>
  <c r="B59" i="39"/>
  <c r="T58" i="39"/>
  <c r="R58" i="39"/>
  <c r="S58" i="39" s="1"/>
  <c r="O58" i="39"/>
  <c r="J58" i="39"/>
  <c r="L58" i="39" s="1"/>
  <c r="I58" i="39"/>
  <c r="B58" i="39"/>
  <c r="T57" i="39"/>
  <c r="R57" i="39"/>
  <c r="S57" i="39" s="1"/>
  <c r="O57" i="39"/>
  <c r="P57" i="39" s="1"/>
  <c r="J57" i="39"/>
  <c r="K57" i="39" s="1"/>
  <c r="M57" i="39" s="1"/>
  <c r="I57" i="39"/>
  <c r="B57" i="39"/>
  <c r="T56" i="39"/>
  <c r="R56" i="39"/>
  <c r="S56" i="39" s="1"/>
  <c r="O56" i="39"/>
  <c r="P56" i="39" s="1"/>
  <c r="J56" i="39"/>
  <c r="K56" i="39" s="1"/>
  <c r="M56" i="39" s="1"/>
  <c r="I56" i="39"/>
  <c r="B56" i="39"/>
  <c r="T55" i="39"/>
  <c r="R55" i="39"/>
  <c r="S55" i="39" s="1"/>
  <c r="O55" i="39"/>
  <c r="P55" i="39" s="1"/>
  <c r="J55" i="39"/>
  <c r="I55" i="39"/>
  <c r="B55" i="39"/>
  <c r="AD54" i="39"/>
  <c r="AC54" i="39"/>
  <c r="AB54" i="39"/>
  <c r="AA54" i="39"/>
  <c r="T54" i="39"/>
  <c r="R54" i="39"/>
  <c r="S54" i="39" s="1"/>
  <c r="O54" i="39"/>
  <c r="J54" i="39"/>
  <c r="L54" i="39" s="1"/>
  <c r="I54" i="39"/>
  <c r="B54" i="39"/>
  <c r="T53" i="39"/>
  <c r="R53" i="39"/>
  <c r="S53" i="39" s="1"/>
  <c r="O53" i="39"/>
  <c r="P53" i="39" s="1"/>
  <c r="J53" i="39"/>
  <c r="K53" i="39" s="1"/>
  <c r="M53" i="39" s="1"/>
  <c r="I53" i="39"/>
  <c r="B53" i="39"/>
  <c r="T52" i="39"/>
  <c r="R52" i="39"/>
  <c r="S52" i="39" s="1"/>
  <c r="U52" i="39" s="1"/>
  <c r="O52" i="39"/>
  <c r="P52" i="39" s="1"/>
  <c r="J52" i="39"/>
  <c r="K52" i="39" s="1"/>
  <c r="M52" i="39" s="1"/>
  <c r="I52" i="39"/>
  <c r="B52" i="39"/>
  <c r="T51" i="39"/>
  <c r="R51" i="39"/>
  <c r="S51" i="39" s="1"/>
  <c r="O51" i="39"/>
  <c r="P51" i="39" s="1"/>
  <c r="J51" i="39"/>
  <c r="I51" i="39"/>
  <c r="B51" i="39"/>
  <c r="T50" i="39"/>
  <c r="R50" i="39"/>
  <c r="S50" i="39" s="1"/>
  <c r="O50" i="39"/>
  <c r="P50" i="39" s="1"/>
  <c r="J50" i="39"/>
  <c r="L50" i="39" s="1"/>
  <c r="I50" i="39"/>
  <c r="B50" i="39"/>
  <c r="T49" i="39"/>
  <c r="R49" i="39"/>
  <c r="O49" i="39"/>
  <c r="P49" i="39" s="1"/>
  <c r="J49" i="39"/>
  <c r="L49" i="39" s="1"/>
  <c r="I49" i="39"/>
  <c r="B49" i="39"/>
  <c r="T48" i="39"/>
  <c r="R48" i="39"/>
  <c r="O48" i="39"/>
  <c r="P48" i="39" s="1"/>
  <c r="J48" i="39"/>
  <c r="L48" i="39" s="1"/>
  <c r="I48" i="39"/>
  <c r="B48" i="39"/>
  <c r="AD47" i="39"/>
  <c r="AC47" i="39"/>
  <c r="AB47" i="39"/>
  <c r="AA47" i="39"/>
  <c r="T47" i="39"/>
  <c r="R47" i="39"/>
  <c r="S47" i="39" s="1"/>
  <c r="O47" i="39"/>
  <c r="P47" i="39" s="1"/>
  <c r="J47" i="39"/>
  <c r="I47" i="39"/>
  <c r="B47" i="39"/>
  <c r="T46" i="39"/>
  <c r="R46" i="39"/>
  <c r="S46" i="39" s="1"/>
  <c r="O46" i="39"/>
  <c r="P46" i="39" s="1"/>
  <c r="J46" i="39"/>
  <c r="L46" i="39" s="1"/>
  <c r="I46" i="39"/>
  <c r="B46" i="39"/>
  <c r="T45" i="39"/>
  <c r="R45" i="39"/>
  <c r="S45" i="39" s="1"/>
  <c r="O45" i="39"/>
  <c r="P45" i="39" s="1"/>
  <c r="J45" i="39"/>
  <c r="L45" i="39" s="1"/>
  <c r="I45" i="39"/>
  <c r="B45" i="39"/>
  <c r="T44" i="39"/>
  <c r="R44" i="39"/>
  <c r="S44" i="39" s="1"/>
  <c r="O44" i="39"/>
  <c r="P44" i="39" s="1"/>
  <c r="J44" i="39"/>
  <c r="L44" i="39" s="1"/>
  <c r="I44" i="39"/>
  <c r="B44" i="39"/>
  <c r="T43" i="39"/>
  <c r="R43" i="39"/>
  <c r="S43" i="39" s="1"/>
  <c r="O43" i="39"/>
  <c r="J43" i="39"/>
  <c r="L43" i="39" s="1"/>
  <c r="I43" i="39"/>
  <c r="B43" i="39"/>
  <c r="U38" i="39" l="1"/>
  <c r="V14" i="39"/>
  <c r="V24" i="47"/>
  <c r="U36" i="39"/>
  <c r="K23" i="47"/>
  <c r="M23" i="47" s="1"/>
  <c r="K10" i="39"/>
  <c r="M10" i="39" s="1"/>
  <c r="L26" i="39"/>
  <c r="V23" i="47"/>
  <c r="U22" i="39"/>
  <c r="V36" i="39"/>
  <c r="W36" i="39" s="1"/>
  <c r="V13" i="47"/>
  <c r="X13" i="47" s="1"/>
  <c r="V10" i="39"/>
  <c r="X10" i="39" s="1"/>
  <c r="L18" i="47"/>
  <c r="U17" i="47"/>
  <c r="V14" i="47"/>
  <c r="X14" i="47" s="1"/>
  <c r="U24" i="47"/>
  <c r="L14" i="47"/>
  <c r="U18" i="47"/>
  <c r="U21" i="47"/>
  <c r="V12" i="47"/>
  <c r="X12" i="47" s="1"/>
  <c r="V29" i="47"/>
  <c r="X29" i="47" s="1"/>
  <c r="U35" i="47"/>
  <c r="V17" i="47"/>
  <c r="L19" i="47"/>
  <c r="L35" i="47"/>
  <c r="V15" i="47"/>
  <c r="W15" i="47" s="1"/>
  <c r="V16" i="47"/>
  <c r="V35" i="47"/>
  <c r="X35" i="47" s="1"/>
  <c r="V30" i="47"/>
  <c r="X30" i="47" s="1"/>
  <c r="T38" i="47"/>
  <c r="K14" i="47"/>
  <c r="M14" i="47" s="1"/>
  <c r="K25" i="47"/>
  <c r="M25" i="47" s="1"/>
  <c r="K31" i="47"/>
  <c r="M31" i="47" s="1"/>
  <c r="V19" i="47"/>
  <c r="X19" i="47" s="1"/>
  <c r="K29" i="47"/>
  <c r="M29" i="47" s="1"/>
  <c r="K30" i="47"/>
  <c r="M30" i="47" s="1"/>
  <c r="K27" i="47"/>
  <c r="M27" i="47" s="1"/>
  <c r="U29" i="47"/>
  <c r="X23" i="47"/>
  <c r="W23" i="47"/>
  <c r="U33" i="47"/>
  <c r="U13" i="47"/>
  <c r="K9" i="47"/>
  <c r="M9" i="47" s="1"/>
  <c r="K11" i="47"/>
  <c r="M11" i="47" s="1"/>
  <c r="K13" i="47"/>
  <c r="M13" i="47" s="1"/>
  <c r="V28" i="47"/>
  <c r="V9" i="47"/>
  <c r="W9" i="47" s="1"/>
  <c r="S15" i="47"/>
  <c r="K21" i="47"/>
  <c r="M21" i="47" s="1"/>
  <c r="P23" i="47"/>
  <c r="V25" i="47"/>
  <c r="X25" i="47" s="1"/>
  <c r="R38" i="47"/>
  <c r="V10" i="47"/>
  <c r="X10" i="47" s="1"/>
  <c r="V11" i="47"/>
  <c r="X11" i="47" s="1"/>
  <c r="K15" i="47"/>
  <c r="M15" i="47" s="1"/>
  <c r="K17" i="47"/>
  <c r="M17" i="47" s="1"/>
  <c r="V20" i="47"/>
  <c r="W20" i="47" s="1"/>
  <c r="U23" i="47"/>
  <c r="V26" i="47"/>
  <c r="X26" i="47" s="1"/>
  <c r="V27" i="47"/>
  <c r="X27" i="47" s="1"/>
  <c r="U12" i="47"/>
  <c r="V18" i="47"/>
  <c r="X18" i="47" s="1"/>
  <c r="V21" i="47"/>
  <c r="W21" i="47" s="1"/>
  <c r="V31" i="47"/>
  <c r="W31" i="47" s="1"/>
  <c r="S9" i="47"/>
  <c r="U9" i="47" s="1"/>
  <c r="S11" i="47"/>
  <c r="U11" i="47" s="1"/>
  <c r="S19" i="47"/>
  <c r="U19" i="47" s="1"/>
  <c r="V22" i="47"/>
  <c r="W22" i="47" s="1"/>
  <c r="S27" i="47"/>
  <c r="U27" i="47" s="1"/>
  <c r="U34" i="47"/>
  <c r="U16" i="47"/>
  <c r="U14" i="47"/>
  <c r="U30" i="47"/>
  <c r="U31" i="47"/>
  <c r="U36" i="47"/>
  <c r="U25" i="47"/>
  <c r="U32" i="47"/>
  <c r="V33" i="47"/>
  <c r="X33" i="47" s="1"/>
  <c r="V34" i="47"/>
  <c r="X34" i="47" s="1"/>
  <c r="U28" i="47"/>
  <c r="V32" i="47"/>
  <c r="W32" i="47" s="1"/>
  <c r="V36" i="47"/>
  <c r="W36" i="47" s="1"/>
  <c r="X28" i="47"/>
  <c r="W28" i="47"/>
  <c r="W12" i="47"/>
  <c r="U20" i="47"/>
  <c r="X17" i="47"/>
  <c r="W17" i="47"/>
  <c r="W24" i="47"/>
  <c r="X24" i="47"/>
  <c r="X16" i="47"/>
  <c r="W16" i="47"/>
  <c r="X20" i="47"/>
  <c r="S10" i="47"/>
  <c r="U10" i="47" s="1"/>
  <c r="K12" i="47"/>
  <c r="M12" i="47" s="1"/>
  <c r="L13" i="47"/>
  <c r="W14" i="47"/>
  <c r="K16" i="47"/>
  <c r="M16" i="47" s="1"/>
  <c r="L17" i="47"/>
  <c r="P20" i="47"/>
  <c r="S22" i="47"/>
  <c r="U22" i="47" s="1"/>
  <c r="P24" i="47"/>
  <c r="S26" i="47"/>
  <c r="U26" i="47" s="1"/>
  <c r="K28" i="47"/>
  <c r="M28" i="47" s="1"/>
  <c r="L29" i="47"/>
  <c r="K32" i="47"/>
  <c r="M32" i="47" s="1"/>
  <c r="L33" i="47"/>
  <c r="P36" i="47"/>
  <c r="O38" i="47"/>
  <c r="L12" i="47"/>
  <c r="L16" i="47"/>
  <c r="L28" i="47"/>
  <c r="L32" i="47"/>
  <c r="K10" i="47"/>
  <c r="M10" i="47" s="1"/>
  <c r="K22" i="47"/>
  <c r="M22" i="47" s="1"/>
  <c r="K26" i="47"/>
  <c r="M26" i="47" s="1"/>
  <c r="I38" i="47"/>
  <c r="E42" i="47" s="1"/>
  <c r="D59" i="47" s="1"/>
  <c r="J38" i="47"/>
  <c r="K20" i="47"/>
  <c r="M20" i="47" s="1"/>
  <c r="K24" i="47"/>
  <c r="M24" i="47" s="1"/>
  <c r="K36" i="47"/>
  <c r="M36" i="47" s="1"/>
  <c r="V19" i="39"/>
  <c r="X19" i="39" s="1"/>
  <c r="L22" i="39"/>
  <c r="U35" i="39"/>
  <c r="U30" i="39"/>
  <c r="U42" i="39"/>
  <c r="U14" i="39"/>
  <c r="U20" i="39"/>
  <c r="U13" i="39"/>
  <c r="V35" i="39"/>
  <c r="X35" i="39" s="1"/>
  <c r="U37" i="39"/>
  <c r="V25" i="39"/>
  <c r="X25" i="39" s="1"/>
  <c r="V27" i="39"/>
  <c r="W27" i="39" s="1"/>
  <c r="V37" i="39"/>
  <c r="W37" i="39" s="1"/>
  <c r="V22" i="39"/>
  <c r="X22" i="39" s="1"/>
  <c r="L23" i="39"/>
  <c r="V26" i="39"/>
  <c r="X26" i="39" s="1"/>
  <c r="V31" i="39"/>
  <c r="W31" i="39" s="1"/>
  <c r="V42" i="39"/>
  <c r="X42" i="39" s="1"/>
  <c r="K14" i="39"/>
  <c r="M14" i="39" s="1"/>
  <c r="U51" i="39"/>
  <c r="P10" i="39"/>
  <c r="P14" i="39"/>
  <c r="U19" i="39"/>
  <c r="V24" i="39"/>
  <c r="W24" i="39" s="1"/>
  <c r="U25" i="39"/>
  <c r="V43" i="39"/>
  <c r="W43" i="39" s="1"/>
  <c r="U56" i="39"/>
  <c r="K18" i="39"/>
  <c r="M18" i="39" s="1"/>
  <c r="L19" i="39"/>
  <c r="K21" i="39"/>
  <c r="M21" i="39" s="1"/>
  <c r="U28" i="39"/>
  <c r="V29" i="39"/>
  <c r="X29" i="39" s="1"/>
  <c r="K30" i="39"/>
  <c r="M30" i="39" s="1"/>
  <c r="U32" i="39"/>
  <c r="V33" i="39"/>
  <c r="X33" i="39" s="1"/>
  <c r="K34" i="39"/>
  <c r="M34" i="39" s="1"/>
  <c r="L35" i="39"/>
  <c r="V39" i="39"/>
  <c r="X39" i="39" s="1"/>
  <c r="U41" i="39"/>
  <c r="V11" i="39"/>
  <c r="X11" i="39" s="1"/>
  <c r="V38" i="39"/>
  <c r="X38" i="39" s="1"/>
  <c r="U10" i="39"/>
  <c r="V15" i="39"/>
  <c r="X15" i="39" s="1"/>
  <c r="K16" i="39"/>
  <c r="M16" i="39" s="1"/>
  <c r="V20" i="39"/>
  <c r="X20" i="39" s="1"/>
  <c r="V21" i="39"/>
  <c r="X21" i="39" s="1"/>
  <c r="U16" i="39"/>
  <c r="U12" i="39"/>
  <c r="U15" i="39"/>
  <c r="P20" i="39"/>
  <c r="U21" i="39"/>
  <c r="V23" i="39"/>
  <c r="X23" i="39" s="1"/>
  <c r="K38" i="39"/>
  <c r="M38" i="39" s="1"/>
  <c r="V41" i="39"/>
  <c r="W41" i="39" s="1"/>
  <c r="P42" i="39"/>
  <c r="U17" i="39"/>
  <c r="U23" i="39"/>
  <c r="U29" i="39"/>
  <c r="U33" i="39"/>
  <c r="U34" i="39"/>
  <c r="L39" i="39"/>
  <c r="K12" i="39"/>
  <c r="M12" i="39" s="1"/>
  <c r="L15" i="39"/>
  <c r="K25" i="39"/>
  <c r="M25" i="39" s="1"/>
  <c r="V40" i="39"/>
  <c r="X40" i="39" s="1"/>
  <c r="X17" i="39"/>
  <c r="W17" i="39"/>
  <c r="X14" i="39"/>
  <c r="W14" i="39"/>
  <c r="U26" i="39"/>
  <c r="U39" i="39"/>
  <c r="U40" i="39"/>
  <c r="X13" i="39"/>
  <c r="W13" i="39"/>
  <c r="U24" i="39"/>
  <c r="S11" i="39"/>
  <c r="U11" i="39" s="1"/>
  <c r="K13" i="39"/>
  <c r="M13" i="39" s="1"/>
  <c r="K17" i="39"/>
  <c r="M17" i="39" s="1"/>
  <c r="V18" i="39"/>
  <c r="P21" i="39"/>
  <c r="P25" i="39"/>
  <c r="S27" i="39"/>
  <c r="U27" i="39" s="1"/>
  <c r="K29" i="39"/>
  <c r="M29" i="39" s="1"/>
  <c r="V30" i="39"/>
  <c r="S31" i="39"/>
  <c r="U31" i="39" s="1"/>
  <c r="K33" i="39"/>
  <c r="M33" i="39" s="1"/>
  <c r="V34" i="39"/>
  <c r="P37" i="39"/>
  <c r="P41" i="39"/>
  <c r="L13" i="39"/>
  <c r="L17" i="39"/>
  <c r="P24" i="39"/>
  <c r="K28" i="39"/>
  <c r="M28" i="39" s="1"/>
  <c r="L29" i="39"/>
  <c r="K32" i="39"/>
  <c r="M32" i="39" s="1"/>
  <c r="L33" i="39"/>
  <c r="P36" i="39"/>
  <c r="P40" i="39"/>
  <c r="K11" i="39"/>
  <c r="M11" i="39" s="1"/>
  <c r="V12" i="39"/>
  <c r="V16" i="39"/>
  <c r="K27" i="39"/>
  <c r="M27" i="39" s="1"/>
  <c r="V28" i="39"/>
  <c r="K31" i="39"/>
  <c r="M31" i="39" s="1"/>
  <c r="V32" i="39"/>
  <c r="K42" i="39"/>
  <c r="M42" i="39" s="1"/>
  <c r="K37" i="39"/>
  <c r="M37" i="39" s="1"/>
  <c r="K41" i="39"/>
  <c r="M41" i="39" s="1"/>
  <c r="K20" i="39"/>
  <c r="M20" i="39" s="1"/>
  <c r="K24" i="39"/>
  <c r="M24" i="39" s="1"/>
  <c r="K36" i="39"/>
  <c r="M36" i="39" s="1"/>
  <c r="K40" i="39"/>
  <c r="M40" i="39" s="1"/>
  <c r="U55" i="39"/>
  <c r="V51" i="39"/>
  <c r="X51" i="39" s="1"/>
  <c r="K50" i="39"/>
  <c r="M50" i="39" s="1"/>
  <c r="U70" i="39"/>
  <c r="U60" i="39"/>
  <c r="V55" i="39"/>
  <c r="W55" i="39" s="1"/>
  <c r="V70" i="39"/>
  <c r="W70" i="39" s="1"/>
  <c r="L56" i="39"/>
  <c r="V60" i="39"/>
  <c r="X60" i="39" s="1"/>
  <c r="L52" i="39"/>
  <c r="K70" i="39"/>
  <c r="M70" i="39" s="1"/>
  <c r="V49" i="39"/>
  <c r="W49" i="39" s="1"/>
  <c r="V53" i="39"/>
  <c r="X53" i="39" s="1"/>
  <c r="V57" i="39"/>
  <c r="X57" i="39" s="1"/>
  <c r="U59" i="39"/>
  <c r="U46" i="39"/>
  <c r="U47" i="39"/>
  <c r="V48" i="39"/>
  <c r="X48" i="39" s="1"/>
  <c r="U44" i="39"/>
  <c r="V47" i="39"/>
  <c r="W47" i="39" s="1"/>
  <c r="S48" i="39"/>
  <c r="U48" i="39" s="1"/>
  <c r="V59" i="39"/>
  <c r="W59" i="39" s="1"/>
  <c r="P60" i="39"/>
  <c r="K43" i="39"/>
  <c r="M43" i="39" s="1"/>
  <c r="K46" i="39"/>
  <c r="M46" i="39" s="1"/>
  <c r="U50" i="39"/>
  <c r="V44" i="39"/>
  <c r="W44" i="39" s="1"/>
  <c r="V45" i="39"/>
  <c r="X45" i="39" s="1"/>
  <c r="V50" i="39"/>
  <c r="X50" i="39" s="1"/>
  <c r="L53" i="39"/>
  <c r="V54" i="39"/>
  <c r="X54" i="39" s="1"/>
  <c r="L57" i="39"/>
  <c r="V58" i="39"/>
  <c r="W58" i="39" s="1"/>
  <c r="X43" i="39"/>
  <c r="U43" i="39"/>
  <c r="U45" i="39"/>
  <c r="U53" i="39"/>
  <c r="U54" i="39"/>
  <c r="U57" i="39"/>
  <c r="U58" i="39"/>
  <c r="P43" i="39"/>
  <c r="K47" i="39"/>
  <c r="M47" i="39" s="1"/>
  <c r="S49" i="39"/>
  <c r="U49" i="39" s="1"/>
  <c r="K51" i="39"/>
  <c r="M51" i="39" s="1"/>
  <c r="V52" i="39"/>
  <c r="K55" i="39"/>
  <c r="M55" i="39" s="1"/>
  <c r="V56" i="39"/>
  <c r="P59" i="39"/>
  <c r="L47" i="39"/>
  <c r="L51" i="39"/>
  <c r="P54" i="39"/>
  <c r="L55" i="39"/>
  <c r="P58" i="39"/>
  <c r="K45" i="39"/>
  <c r="M45" i="39" s="1"/>
  <c r="V46" i="39"/>
  <c r="K49" i="39"/>
  <c r="M49" i="39" s="1"/>
  <c r="K44" i="39"/>
  <c r="M44" i="39" s="1"/>
  <c r="K48" i="39"/>
  <c r="M48" i="39" s="1"/>
  <c r="K60" i="39"/>
  <c r="M60" i="39" s="1"/>
  <c r="K59" i="39"/>
  <c r="M59" i="39" s="1"/>
  <c r="K54" i="39"/>
  <c r="M54" i="39" s="1"/>
  <c r="K58" i="39"/>
  <c r="M58" i="39" s="1"/>
  <c r="X31" i="39" l="1"/>
  <c r="W51" i="39"/>
  <c r="X36" i="39"/>
  <c r="W10" i="39"/>
  <c r="W39" i="39"/>
  <c r="X37" i="39"/>
  <c r="W35" i="39"/>
  <c r="W22" i="39"/>
  <c r="W19" i="39"/>
  <c r="W23" i="39"/>
  <c r="W20" i="39"/>
  <c r="X27" i="39"/>
  <c r="W25" i="39"/>
  <c r="X31" i="47"/>
  <c r="W13" i="47"/>
  <c r="W30" i="47"/>
  <c r="W29" i="47"/>
  <c r="W35" i="47"/>
  <c r="X15" i="47"/>
  <c r="P38" i="47"/>
  <c r="E46" i="47" s="1"/>
  <c r="W34" i="47"/>
  <c r="W26" i="47"/>
  <c r="W25" i="47"/>
  <c r="S38" i="47"/>
  <c r="E47" i="47" s="1"/>
  <c r="W19" i="47"/>
  <c r="W33" i="47"/>
  <c r="W10" i="47"/>
  <c r="W27" i="47"/>
  <c r="X32" i="47"/>
  <c r="X22" i="47"/>
  <c r="X9" i="47"/>
  <c r="L38" i="47"/>
  <c r="E43" i="47" s="1"/>
  <c r="U15" i="47"/>
  <c r="X21" i="47"/>
  <c r="M38" i="47"/>
  <c r="X36" i="47"/>
  <c r="W11" i="47"/>
  <c r="V38" i="47"/>
  <c r="W18" i="47"/>
  <c r="U38" i="47"/>
  <c r="E49" i="47" s="1"/>
  <c r="K38" i="47"/>
  <c r="W40" i="39"/>
  <c r="W21" i="39"/>
  <c r="W38" i="39"/>
  <c r="X41" i="39"/>
  <c r="W26" i="39"/>
  <c r="W42" i="39"/>
  <c r="W33" i="39"/>
  <c r="W11" i="39"/>
  <c r="W29" i="39"/>
  <c r="X24" i="39"/>
  <c r="W15" i="39"/>
  <c r="X32" i="39"/>
  <c r="W32" i="39"/>
  <c r="X30" i="39"/>
  <c r="W30" i="39"/>
  <c r="X28" i="39"/>
  <c r="W28" i="39"/>
  <c r="X12" i="39"/>
  <c r="W12" i="39"/>
  <c r="X34" i="39"/>
  <c r="W34" i="39"/>
  <c r="X18" i="39"/>
  <c r="W18" i="39"/>
  <c r="X16" i="39"/>
  <c r="W16" i="39"/>
  <c r="W53" i="39"/>
  <c r="X55" i="39"/>
  <c r="X47" i="39"/>
  <c r="W57" i="39"/>
  <c r="X44" i="39"/>
  <c r="X49" i="39"/>
  <c r="X59" i="39"/>
  <c r="X70" i="39"/>
  <c r="W60" i="39"/>
  <c r="W50" i="39"/>
  <c r="W45" i="39"/>
  <c r="W48" i="39"/>
  <c r="W54" i="39"/>
  <c r="X58" i="39"/>
  <c r="X52" i="39"/>
  <c r="W52" i="39"/>
  <c r="X46" i="39"/>
  <c r="W46" i="39"/>
  <c r="X56" i="39"/>
  <c r="W56" i="39"/>
  <c r="T13" i="40"/>
  <c r="R13" i="40"/>
  <c r="O13" i="40"/>
  <c r="P13" i="40" s="1"/>
  <c r="J13" i="40"/>
  <c r="L13" i="40" s="1"/>
  <c r="I13" i="40"/>
  <c r="B13" i="40"/>
  <c r="T12" i="40"/>
  <c r="R12" i="40"/>
  <c r="S12" i="40" s="1"/>
  <c r="O12" i="40"/>
  <c r="J12" i="40"/>
  <c r="K12" i="40" s="1"/>
  <c r="M12" i="40" s="1"/>
  <c r="I12" i="40"/>
  <c r="B12" i="40"/>
  <c r="D57" i="47" l="1"/>
  <c r="D60" i="47" s="1"/>
  <c r="D61" i="47" s="1"/>
  <c r="E45" i="47"/>
  <c r="X38" i="47"/>
  <c r="E50" i="47" s="1"/>
  <c r="W38" i="47"/>
  <c r="L12" i="40"/>
  <c r="V12" i="40"/>
  <c r="X12" i="40" s="1"/>
  <c r="V13" i="40"/>
  <c r="W13" i="40" s="1"/>
  <c r="U12" i="40"/>
  <c r="S13" i="40"/>
  <c r="U13" i="40" s="1"/>
  <c r="K13" i="40"/>
  <c r="M13" i="40" s="1"/>
  <c r="P12" i="40"/>
  <c r="T11" i="40"/>
  <c r="R11" i="40"/>
  <c r="S11" i="40" s="1"/>
  <c r="O11" i="40"/>
  <c r="P11" i="40" s="1"/>
  <c r="K11" i="40"/>
  <c r="M11" i="40" s="1"/>
  <c r="I11" i="40"/>
  <c r="B11" i="40"/>
  <c r="D35" i="40"/>
  <c r="H23" i="40"/>
  <c r="H15" i="40"/>
  <c r="Q15" i="40" s="1"/>
  <c r="G15" i="40"/>
  <c r="D15" i="40"/>
  <c r="T10" i="40"/>
  <c r="R10" i="40"/>
  <c r="S10" i="40" s="1"/>
  <c r="O10" i="40"/>
  <c r="P10" i="40" s="1"/>
  <c r="J10" i="40"/>
  <c r="K10" i="40" s="1"/>
  <c r="M10" i="40" s="1"/>
  <c r="I10" i="40"/>
  <c r="B10" i="40"/>
  <c r="T9" i="40"/>
  <c r="R9" i="40"/>
  <c r="S9" i="40" s="1"/>
  <c r="O9" i="40"/>
  <c r="P9" i="40" s="1"/>
  <c r="B9" i="40"/>
  <c r="D4" i="40"/>
  <c r="N1" i="40"/>
  <c r="D95" i="39"/>
  <c r="H83" i="39"/>
  <c r="H75" i="39"/>
  <c r="Q75" i="39" s="1"/>
  <c r="G75" i="39"/>
  <c r="D75" i="39"/>
  <c r="T73" i="39"/>
  <c r="R73" i="39"/>
  <c r="S73" i="39" s="1"/>
  <c r="O73" i="39"/>
  <c r="P73" i="39" s="1"/>
  <c r="J73" i="39"/>
  <c r="I73" i="39"/>
  <c r="B73" i="39"/>
  <c r="T72" i="39"/>
  <c r="R72" i="39"/>
  <c r="S72" i="39" s="1"/>
  <c r="O72" i="39"/>
  <c r="P72" i="39" s="1"/>
  <c r="J72" i="39"/>
  <c r="K72" i="39" s="1"/>
  <c r="M72" i="39" s="1"/>
  <c r="I72" i="39"/>
  <c r="B72" i="39"/>
  <c r="T71" i="39"/>
  <c r="R71" i="39"/>
  <c r="O71" i="39"/>
  <c r="P71" i="39" s="1"/>
  <c r="J71" i="39"/>
  <c r="L71" i="39" s="1"/>
  <c r="I71" i="39"/>
  <c r="B71" i="39"/>
  <c r="AD69" i="39"/>
  <c r="AC69" i="39"/>
  <c r="AB69" i="39"/>
  <c r="AA69" i="39"/>
  <c r="T69" i="39"/>
  <c r="R69" i="39"/>
  <c r="S69" i="39" s="1"/>
  <c r="O69" i="39"/>
  <c r="P69" i="39" s="1"/>
  <c r="J69" i="39"/>
  <c r="L69" i="39" s="1"/>
  <c r="I69" i="39"/>
  <c r="B69" i="39"/>
  <c r="T68" i="39"/>
  <c r="R68" i="39"/>
  <c r="S68" i="39" s="1"/>
  <c r="O68" i="39"/>
  <c r="P68" i="39" s="1"/>
  <c r="J68" i="39"/>
  <c r="I68" i="39"/>
  <c r="B68" i="39"/>
  <c r="T67" i="39"/>
  <c r="R67" i="39"/>
  <c r="S67" i="39" s="1"/>
  <c r="O67" i="39"/>
  <c r="P67" i="39" s="1"/>
  <c r="J67" i="39"/>
  <c r="K67" i="39" s="1"/>
  <c r="M67" i="39" s="1"/>
  <c r="I67" i="39"/>
  <c r="B67" i="39"/>
  <c r="T66" i="39"/>
  <c r="R66" i="39"/>
  <c r="O66" i="39"/>
  <c r="P66" i="39" s="1"/>
  <c r="J66" i="39"/>
  <c r="L66" i="39" s="1"/>
  <c r="I66" i="39"/>
  <c r="B66" i="39"/>
  <c r="T65" i="39"/>
  <c r="R65" i="39"/>
  <c r="S65" i="39" s="1"/>
  <c r="O65" i="39"/>
  <c r="P65" i="39" s="1"/>
  <c r="J65" i="39"/>
  <c r="L65" i="39" s="1"/>
  <c r="I65" i="39"/>
  <c r="B65" i="39"/>
  <c r="T64" i="39"/>
  <c r="R64" i="39"/>
  <c r="S64" i="39" s="1"/>
  <c r="O64" i="39"/>
  <c r="J64" i="39"/>
  <c r="K64" i="39" s="1"/>
  <c r="M64" i="39" s="1"/>
  <c r="I64" i="39"/>
  <c r="B64" i="39"/>
  <c r="T63" i="39"/>
  <c r="R63" i="39"/>
  <c r="S63" i="39" s="1"/>
  <c r="O63" i="39"/>
  <c r="P63" i="39" s="1"/>
  <c r="J63" i="39"/>
  <c r="K63" i="39" s="1"/>
  <c r="M63" i="39" s="1"/>
  <c r="I63" i="39"/>
  <c r="B63" i="39"/>
  <c r="AD62" i="39"/>
  <c r="AC62" i="39"/>
  <c r="AB62" i="39"/>
  <c r="AA62" i="39"/>
  <c r="T62" i="39"/>
  <c r="R62" i="39"/>
  <c r="O62" i="39"/>
  <c r="P62" i="39" s="1"/>
  <c r="J62" i="39"/>
  <c r="L62" i="39" s="1"/>
  <c r="I62" i="39"/>
  <c r="B62" i="39"/>
  <c r="T61" i="39"/>
  <c r="R61" i="39"/>
  <c r="S61" i="39" s="1"/>
  <c r="O61" i="39"/>
  <c r="P61" i="39" s="1"/>
  <c r="J61" i="39"/>
  <c r="L61" i="39" s="1"/>
  <c r="I61" i="39"/>
  <c r="B61" i="39"/>
  <c r="T9" i="39"/>
  <c r="R9" i="39"/>
  <c r="S9" i="39" s="1"/>
  <c r="O9" i="39"/>
  <c r="P9" i="39" s="1"/>
  <c r="J9" i="39"/>
  <c r="I9" i="39"/>
  <c r="B9" i="39"/>
  <c r="D4" i="39"/>
  <c r="N1" i="39"/>
  <c r="D45" i="37"/>
  <c r="H33" i="37"/>
  <c r="H25" i="37"/>
  <c r="N25" i="37" s="1"/>
  <c r="G25" i="37"/>
  <c r="D25" i="37"/>
  <c r="T23" i="37"/>
  <c r="R23" i="37"/>
  <c r="S23" i="37" s="1"/>
  <c r="O23" i="37"/>
  <c r="P23" i="37" s="1"/>
  <c r="J23" i="37"/>
  <c r="K23" i="37" s="1"/>
  <c r="M23" i="37" s="1"/>
  <c r="I23" i="37"/>
  <c r="B23" i="37"/>
  <c r="AD22" i="37"/>
  <c r="AC22" i="37"/>
  <c r="AB22" i="37"/>
  <c r="AA22" i="37"/>
  <c r="T22" i="37"/>
  <c r="R22" i="37"/>
  <c r="S22" i="37" s="1"/>
  <c r="O22" i="37"/>
  <c r="P22" i="37" s="1"/>
  <c r="J22" i="37"/>
  <c r="K22" i="37" s="1"/>
  <c r="M22" i="37" s="1"/>
  <c r="I22" i="37"/>
  <c r="B22" i="37"/>
  <c r="T21" i="37"/>
  <c r="R21" i="37"/>
  <c r="S21" i="37" s="1"/>
  <c r="O21" i="37"/>
  <c r="P21" i="37" s="1"/>
  <c r="J21" i="37"/>
  <c r="L21" i="37" s="1"/>
  <c r="I21" i="37"/>
  <c r="B21" i="37"/>
  <c r="T20" i="37"/>
  <c r="R20" i="37"/>
  <c r="S20" i="37" s="1"/>
  <c r="O20" i="37"/>
  <c r="P20" i="37" s="1"/>
  <c r="J20" i="37"/>
  <c r="I20" i="37"/>
  <c r="B20" i="37"/>
  <c r="T19" i="37"/>
  <c r="R19" i="37"/>
  <c r="S19" i="37" s="1"/>
  <c r="O19" i="37"/>
  <c r="P19" i="37" s="1"/>
  <c r="J19" i="37"/>
  <c r="L19" i="37" s="1"/>
  <c r="I19" i="37"/>
  <c r="B19" i="37"/>
  <c r="T18" i="37"/>
  <c r="R18" i="37"/>
  <c r="S18" i="37" s="1"/>
  <c r="O18" i="37"/>
  <c r="J18" i="37"/>
  <c r="L18" i="37" s="1"/>
  <c r="I18" i="37"/>
  <c r="B18" i="37"/>
  <c r="T17" i="37"/>
  <c r="R17" i="37"/>
  <c r="S17" i="37" s="1"/>
  <c r="O17" i="37"/>
  <c r="J17" i="37"/>
  <c r="L17" i="37" s="1"/>
  <c r="I17" i="37"/>
  <c r="B17" i="37"/>
  <c r="T16" i="37"/>
  <c r="R16" i="37"/>
  <c r="S16" i="37" s="1"/>
  <c r="O16" i="37"/>
  <c r="J16" i="37"/>
  <c r="K16" i="37" s="1"/>
  <c r="M16" i="37" s="1"/>
  <c r="I16" i="37"/>
  <c r="B16" i="37"/>
  <c r="AD15" i="37"/>
  <c r="AC15" i="37"/>
  <c r="AB15" i="37"/>
  <c r="AA15" i="37"/>
  <c r="T15" i="37"/>
  <c r="R15" i="37"/>
  <c r="S15" i="37" s="1"/>
  <c r="O15" i="37"/>
  <c r="P15" i="37" s="1"/>
  <c r="J15" i="37"/>
  <c r="L15" i="37" s="1"/>
  <c r="I15" i="37"/>
  <c r="B15" i="37"/>
  <c r="T14" i="37"/>
  <c r="R14" i="37"/>
  <c r="S14" i="37" s="1"/>
  <c r="O14" i="37"/>
  <c r="J14" i="37"/>
  <c r="L14" i="37" s="1"/>
  <c r="I14" i="37"/>
  <c r="B14" i="37"/>
  <c r="T13" i="37"/>
  <c r="R13" i="37"/>
  <c r="S13" i="37" s="1"/>
  <c r="O13" i="37"/>
  <c r="P13" i="37" s="1"/>
  <c r="J13" i="37"/>
  <c r="L13" i="37" s="1"/>
  <c r="I13" i="37"/>
  <c r="B13" i="37"/>
  <c r="T12" i="37"/>
  <c r="R12" i="37"/>
  <c r="S12" i="37" s="1"/>
  <c r="O12" i="37"/>
  <c r="J12" i="37"/>
  <c r="L12" i="37" s="1"/>
  <c r="I12" i="37"/>
  <c r="B12" i="37"/>
  <c r="T11" i="37"/>
  <c r="R11" i="37"/>
  <c r="O11" i="37"/>
  <c r="P11" i="37" s="1"/>
  <c r="J11" i="37"/>
  <c r="K11" i="37" s="1"/>
  <c r="M11" i="37" s="1"/>
  <c r="I11" i="37"/>
  <c r="B11" i="37"/>
  <c r="T9" i="37"/>
  <c r="R9" i="37"/>
  <c r="S9" i="37" s="1"/>
  <c r="O9" i="37"/>
  <c r="P9" i="37" s="1"/>
  <c r="J9" i="37"/>
  <c r="L9" i="37" s="1"/>
  <c r="I9" i="37"/>
  <c r="B9" i="37"/>
  <c r="D4" i="37"/>
  <c r="N1" i="37"/>
  <c r="U9" i="40" l="1"/>
  <c r="U18" i="37"/>
  <c r="U11" i="40"/>
  <c r="W12" i="40"/>
  <c r="X13" i="40"/>
  <c r="V20" i="37"/>
  <c r="W20" i="37" s="1"/>
  <c r="L11" i="40"/>
  <c r="V11" i="40"/>
  <c r="J15" i="40"/>
  <c r="K9" i="40"/>
  <c r="M9" i="40" s="1"/>
  <c r="L10" i="40"/>
  <c r="I15" i="40"/>
  <c r="E19" i="40" s="1"/>
  <c r="D36" i="40" s="1"/>
  <c r="U10" i="40"/>
  <c r="N15" i="40"/>
  <c r="T15" i="40" s="1"/>
  <c r="V10" i="40"/>
  <c r="V9" i="40"/>
  <c r="W9" i="40" s="1"/>
  <c r="O15" i="40"/>
  <c r="R15" i="40"/>
  <c r="U69" i="39"/>
  <c r="L63" i="39"/>
  <c r="U9" i="39"/>
  <c r="K62" i="39"/>
  <c r="M62" i="39" s="1"/>
  <c r="K71" i="39"/>
  <c r="M71" i="39" s="1"/>
  <c r="R75" i="39"/>
  <c r="V61" i="39"/>
  <c r="X61" i="39" s="1"/>
  <c r="V67" i="39"/>
  <c r="X67" i="39" s="1"/>
  <c r="L72" i="39"/>
  <c r="U61" i="39"/>
  <c r="U64" i="39"/>
  <c r="K66" i="39"/>
  <c r="M66" i="39" s="1"/>
  <c r="U68" i="39"/>
  <c r="U73" i="39"/>
  <c r="U67" i="39"/>
  <c r="V65" i="39"/>
  <c r="X65" i="39" s="1"/>
  <c r="L67" i="39"/>
  <c r="K69" i="39"/>
  <c r="M69" i="39" s="1"/>
  <c r="I75" i="39"/>
  <c r="E79" i="39" s="1"/>
  <c r="D96" i="39" s="1"/>
  <c r="U65" i="39"/>
  <c r="V72" i="39"/>
  <c r="X72" i="39" s="1"/>
  <c r="P64" i="39"/>
  <c r="V64" i="39"/>
  <c r="L68" i="39"/>
  <c r="K68" i="39"/>
  <c r="M68" i="39" s="1"/>
  <c r="V71" i="39"/>
  <c r="S71" i="39"/>
  <c r="U71" i="39" s="1"/>
  <c r="V66" i="39"/>
  <c r="S66" i="39"/>
  <c r="U66" i="39" s="1"/>
  <c r="U72" i="39"/>
  <c r="J75" i="39"/>
  <c r="L9" i="39"/>
  <c r="K9" i="39"/>
  <c r="U63" i="39"/>
  <c r="L73" i="39"/>
  <c r="K73" i="39"/>
  <c r="M73" i="39" s="1"/>
  <c r="V62" i="39"/>
  <c r="S62" i="39"/>
  <c r="U62" i="39" s="1"/>
  <c r="L64" i="39"/>
  <c r="N75" i="39"/>
  <c r="T75" i="39" s="1"/>
  <c r="V63" i="39"/>
  <c r="O75" i="39"/>
  <c r="V69" i="39"/>
  <c r="V9" i="39"/>
  <c r="V68" i="39"/>
  <c r="V73" i="39"/>
  <c r="K61" i="39"/>
  <c r="M61" i="39" s="1"/>
  <c r="K65" i="39"/>
  <c r="M65" i="39" s="1"/>
  <c r="U14" i="37"/>
  <c r="L16" i="37"/>
  <c r="U9" i="37"/>
  <c r="K12" i="37"/>
  <c r="M12" i="37" s="1"/>
  <c r="V16" i="37"/>
  <c r="W16" i="37" s="1"/>
  <c r="L11" i="37"/>
  <c r="V23" i="37"/>
  <c r="X23" i="37" s="1"/>
  <c r="U22" i="37"/>
  <c r="V12" i="37"/>
  <c r="X12" i="37" s="1"/>
  <c r="K14" i="37"/>
  <c r="M14" i="37" s="1"/>
  <c r="V17" i="37"/>
  <c r="W17" i="37" s="1"/>
  <c r="K19" i="37"/>
  <c r="M19" i="37" s="1"/>
  <c r="V18" i="37"/>
  <c r="X18" i="37" s="1"/>
  <c r="V22" i="37"/>
  <c r="X22" i="37" s="1"/>
  <c r="J25" i="37"/>
  <c r="K9" i="37"/>
  <c r="M9" i="37" s="1"/>
  <c r="L22" i="37"/>
  <c r="L23" i="37"/>
  <c r="K15" i="37"/>
  <c r="M15" i="37" s="1"/>
  <c r="K18" i="37"/>
  <c r="M18" i="37" s="1"/>
  <c r="V14" i="37"/>
  <c r="W14" i="37" s="1"/>
  <c r="P17" i="37"/>
  <c r="P14" i="37"/>
  <c r="P18" i="37"/>
  <c r="U12" i="37"/>
  <c r="U16" i="37"/>
  <c r="U21" i="37"/>
  <c r="Q25" i="37"/>
  <c r="T25" i="37" s="1"/>
  <c r="U23" i="37"/>
  <c r="I25" i="37"/>
  <c r="E29" i="37" s="1"/>
  <c r="D46" i="37" s="1"/>
  <c r="V11" i="37"/>
  <c r="X11" i="37" s="1"/>
  <c r="V9" i="37"/>
  <c r="X9" i="37" s="1"/>
  <c r="K21" i="37"/>
  <c r="M21" i="37" s="1"/>
  <c r="V13" i="37"/>
  <c r="W13" i="37" s="1"/>
  <c r="U20" i="37"/>
  <c r="U13" i="37"/>
  <c r="U15" i="37"/>
  <c r="V15" i="37"/>
  <c r="X15" i="37" s="1"/>
  <c r="U17" i="37"/>
  <c r="U19" i="37"/>
  <c r="V19" i="37"/>
  <c r="X19" i="37" s="1"/>
  <c r="P12" i="37"/>
  <c r="P16" i="37"/>
  <c r="K20" i="37"/>
  <c r="M20" i="37" s="1"/>
  <c r="V21" i="37"/>
  <c r="O25" i="37"/>
  <c r="L20" i="37"/>
  <c r="S11" i="37"/>
  <c r="U11" i="37" s="1"/>
  <c r="K13" i="37"/>
  <c r="M13" i="37" s="1"/>
  <c r="K17" i="37"/>
  <c r="M17" i="37" s="1"/>
  <c r="R25" i="37"/>
  <c r="X20" i="37" l="1"/>
  <c r="X16" i="37"/>
  <c r="X11" i="40"/>
  <c r="W11" i="40"/>
  <c r="P15" i="40"/>
  <c r="M15" i="40"/>
  <c r="X9" i="40"/>
  <c r="V15" i="40"/>
  <c r="L15" i="40"/>
  <c r="E20" i="40" s="1"/>
  <c r="U15" i="40"/>
  <c r="E26" i="40" s="1"/>
  <c r="W10" i="40"/>
  <c r="X10" i="40"/>
  <c r="S15" i="40"/>
  <c r="E24" i="40" s="1"/>
  <c r="K15" i="40"/>
  <c r="W61" i="39"/>
  <c r="W72" i="39"/>
  <c r="W67" i="39"/>
  <c r="P75" i="39"/>
  <c r="E83" i="39" s="1"/>
  <c r="W65" i="39"/>
  <c r="U75" i="39"/>
  <c r="E86" i="39" s="1"/>
  <c r="W62" i="39"/>
  <c r="X62" i="39"/>
  <c r="W69" i="39"/>
  <c r="X69" i="39"/>
  <c r="X9" i="39"/>
  <c r="V75" i="39"/>
  <c r="W9" i="39"/>
  <c r="X63" i="39"/>
  <c r="W63" i="39"/>
  <c r="W64" i="39"/>
  <c r="X64" i="39"/>
  <c r="M9" i="39"/>
  <c r="M75" i="39" s="1"/>
  <c r="K75" i="39"/>
  <c r="L75" i="39"/>
  <c r="E80" i="39" s="1"/>
  <c r="S75" i="39"/>
  <c r="E84" i="39" s="1"/>
  <c r="X73" i="39"/>
  <c r="W73" i="39"/>
  <c r="W71" i="39"/>
  <c r="X71" i="39"/>
  <c r="X68" i="39"/>
  <c r="W68" i="39"/>
  <c r="W66" i="39"/>
  <c r="X66" i="39"/>
  <c r="W22" i="37"/>
  <c r="X17" i="37"/>
  <c r="W12" i="37"/>
  <c r="X13" i="37"/>
  <c r="X14" i="37"/>
  <c r="W11" i="37"/>
  <c r="W23" i="37"/>
  <c r="W18" i="37"/>
  <c r="W19" i="37"/>
  <c r="P25" i="37"/>
  <c r="E33" i="37" s="1"/>
  <c r="W9" i="37"/>
  <c r="W15" i="37"/>
  <c r="L25" i="37"/>
  <c r="E30" i="37" s="1"/>
  <c r="S25" i="37"/>
  <c r="E34" i="37" s="1"/>
  <c r="V25" i="37"/>
  <c r="X21" i="37"/>
  <c r="W21" i="37"/>
  <c r="U25" i="37"/>
  <c r="E36" i="37" s="1"/>
  <c r="M25" i="37"/>
  <c r="K25" i="37"/>
  <c r="E23" i="40" l="1"/>
  <c r="D34" i="40" s="1"/>
  <c r="D37" i="40" s="1"/>
  <c r="D38" i="40" s="1"/>
  <c r="E22" i="40"/>
  <c r="D94" i="39"/>
  <c r="D97" i="39" s="1"/>
  <c r="D98" i="39" s="1"/>
  <c r="X15" i="40"/>
  <c r="E27" i="40" s="1"/>
  <c r="W15" i="40"/>
  <c r="W75" i="39"/>
  <c r="X75" i="39"/>
  <c r="E87" i="39" s="1"/>
  <c r="E82" i="39"/>
  <c r="E32" i="37"/>
  <c r="D44" i="37"/>
  <c r="D47" i="37" s="1"/>
  <c r="D48" i="37" s="1"/>
  <c r="W25" i="37"/>
  <c r="X25" i="37"/>
  <c r="E37" i="37" s="1"/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G25" i="11"/>
  <c r="G24" i="11"/>
  <c r="G23" i="11"/>
  <c r="G22" i="11"/>
  <c r="G21" i="11"/>
  <c r="G20" i="11"/>
  <c r="G19" i="11"/>
  <c r="G18" i="11"/>
  <c r="G17" i="11"/>
  <c r="AA14" i="11" l="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W11" i="11" s="1"/>
  <c r="L10" i="11"/>
  <c r="L9" i="11"/>
  <c r="L8" i="11"/>
  <c r="L7" i="11"/>
  <c r="L6" i="11"/>
  <c r="L5" i="11"/>
  <c r="L4" i="11"/>
  <c r="L3" i="11"/>
  <c r="G8" i="11"/>
  <c r="G9" i="11"/>
  <c r="G10" i="11"/>
  <c r="G11" i="11"/>
  <c r="G12" i="11"/>
  <c r="G13" i="11"/>
  <c r="G14" i="11"/>
  <c r="G3" i="11"/>
  <c r="G4" i="11"/>
  <c r="G5" i="11"/>
  <c r="G6" i="11"/>
  <c r="G7" i="11"/>
  <c r="H16" i="17" l="1"/>
  <c r="Q16" i="17" s="1"/>
  <c r="G16" i="17"/>
  <c r="T15" i="17"/>
  <c r="R15" i="17"/>
  <c r="S15" i="17" s="1"/>
  <c r="U15" i="17" s="1"/>
  <c r="O15" i="17"/>
  <c r="P15" i="17" s="1"/>
  <c r="I15" i="17"/>
  <c r="F15" i="17"/>
  <c r="J15" i="17" s="1"/>
  <c r="T14" i="17"/>
  <c r="R14" i="17"/>
  <c r="S14" i="17" s="1"/>
  <c r="O14" i="17"/>
  <c r="P14" i="17" s="1"/>
  <c r="I14" i="17"/>
  <c r="F14" i="17"/>
  <c r="J14" i="17" s="1"/>
  <c r="T13" i="17"/>
  <c r="R13" i="17"/>
  <c r="S13" i="17" s="1"/>
  <c r="O13" i="17"/>
  <c r="P13" i="17" s="1"/>
  <c r="I13" i="17"/>
  <c r="F13" i="17"/>
  <c r="B13" i="17" s="1"/>
  <c r="T12" i="17"/>
  <c r="R12" i="17"/>
  <c r="S12" i="17" s="1"/>
  <c r="O12" i="17"/>
  <c r="P12" i="17" s="1"/>
  <c r="I12" i="17"/>
  <c r="F12" i="17"/>
  <c r="B12" i="17" s="1"/>
  <c r="T11" i="17"/>
  <c r="R11" i="17"/>
  <c r="S11" i="17" s="1"/>
  <c r="O11" i="17"/>
  <c r="P11" i="17" s="1"/>
  <c r="I11" i="17"/>
  <c r="F11" i="17"/>
  <c r="B11" i="17" s="1"/>
  <c r="T10" i="17"/>
  <c r="R10" i="17"/>
  <c r="S10" i="17" s="1"/>
  <c r="O10" i="17"/>
  <c r="P10" i="17" s="1"/>
  <c r="I10" i="17"/>
  <c r="F10" i="17"/>
  <c r="B10" i="17" s="1"/>
  <c r="T9" i="17"/>
  <c r="R9" i="17"/>
  <c r="S9" i="17" s="1"/>
  <c r="O9" i="17"/>
  <c r="I9" i="17"/>
  <c r="I16" i="17" s="1"/>
  <c r="E20" i="17" s="1"/>
  <c r="I24" i="17" s="1"/>
  <c r="F9" i="17"/>
  <c r="B9" i="17" s="1"/>
  <c r="D16" i="17" s="1"/>
  <c r="D4" i="17"/>
  <c r="D5" i="17" s="1"/>
  <c r="N1" i="17"/>
  <c r="AA2" i="11"/>
  <c r="V2" i="11"/>
  <c r="Q2" i="11"/>
  <c r="L2" i="11"/>
  <c r="G2" i="11"/>
  <c r="U10" i="17" l="1"/>
  <c r="O16" i="17"/>
  <c r="U12" i="17"/>
  <c r="U14" i="17"/>
  <c r="U11" i="17"/>
  <c r="N16" i="17"/>
  <c r="T16" i="17" s="1"/>
  <c r="U13" i="17"/>
  <c r="S16" i="17"/>
  <c r="E25" i="17" s="1"/>
  <c r="U9" i="17"/>
  <c r="R16" i="17"/>
  <c r="V14" i="17"/>
  <c r="X14" i="17" s="1"/>
  <c r="P9" i="17"/>
  <c r="P16" i="17" s="1"/>
  <c r="J13" i="17"/>
  <c r="V13" i="17" s="1"/>
  <c r="W13" i="17" s="1"/>
  <c r="W14" i="17"/>
  <c r="X13" i="17"/>
  <c r="K15" i="17"/>
  <c r="M15" i="17" s="1"/>
  <c r="V15" i="17"/>
  <c r="L15" i="17"/>
  <c r="J9" i="17"/>
  <c r="J10" i="17"/>
  <c r="J11" i="17"/>
  <c r="J12" i="17"/>
  <c r="K14" i="17"/>
  <c r="M14" i="17" s="1"/>
  <c r="L14" i="17"/>
  <c r="U16" i="17" l="1"/>
  <c r="E27" i="17" s="1"/>
  <c r="K13" i="17"/>
  <c r="M13" i="17" s="1"/>
  <c r="E24" i="17"/>
  <c r="H24" i="17" s="1"/>
  <c r="E23" i="17"/>
  <c r="L13" i="17"/>
  <c r="V12" i="17"/>
  <c r="L12" i="17"/>
  <c r="K12" i="17"/>
  <c r="M12" i="17" s="1"/>
  <c r="V11" i="17"/>
  <c r="L11" i="17"/>
  <c r="K11" i="17"/>
  <c r="M11" i="17" s="1"/>
  <c r="X15" i="17"/>
  <c r="W15" i="17"/>
  <c r="V9" i="17"/>
  <c r="L9" i="17"/>
  <c r="K9" i="17"/>
  <c r="J16" i="17"/>
  <c r="V10" i="17"/>
  <c r="L10" i="17"/>
  <c r="K10" i="17"/>
  <c r="M10" i="17" s="1"/>
  <c r="M9" i="17" l="1"/>
  <c r="M16" i="17" s="1"/>
  <c r="K16" i="17"/>
  <c r="W11" i="17"/>
  <c r="X11" i="17"/>
  <c r="L16" i="17"/>
  <c r="E21" i="17" s="1"/>
  <c r="I25" i="17" s="1"/>
  <c r="W10" i="17"/>
  <c r="X10" i="17"/>
  <c r="W9" i="17"/>
  <c r="X9" i="17"/>
  <c r="V16" i="17"/>
  <c r="W12" i="17"/>
  <c r="X12" i="17"/>
  <c r="W16" i="17" l="1"/>
  <c r="X16" i="17"/>
  <c r="E28" i="17" s="1"/>
</calcChain>
</file>

<file path=xl/sharedStrings.xml><?xml version="1.0" encoding="utf-8"?>
<sst xmlns="http://schemas.openxmlformats.org/spreadsheetml/2006/main" count="428" uniqueCount="61">
  <si>
    <t>CLIENTE</t>
  </si>
  <si>
    <t>GERENTE</t>
  </si>
  <si>
    <t>MODALIDADE</t>
  </si>
  <si>
    <t>DATA</t>
  </si>
  <si>
    <t>Parcela Inicial</t>
  </si>
  <si>
    <t>Lance Recursos Próprios</t>
  </si>
  <si>
    <t>Lance Embutido</t>
  </si>
  <si>
    <t>Parcela após contemplação</t>
  </si>
  <si>
    <t>GRUPO</t>
  </si>
  <si>
    <t>TAXA DE ADM.</t>
  </si>
  <si>
    <t>FUNDO DE RESERVA</t>
  </si>
  <si>
    <t xml:space="preserve">PRAZO </t>
  </si>
  <si>
    <t>QTDE COTAS</t>
  </si>
  <si>
    <t>CARTA DE CRÉDITO</t>
  </si>
  <si>
    <t>PARCELA INICIAL UNITÁRIA</t>
  </si>
  <si>
    <t xml:space="preserve"> PARCELA INICIAL TOTAL</t>
  </si>
  <si>
    <t>LANCE RECURSOS PRÓPRIOS</t>
  </si>
  <si>
    <t>LANCE EMBUTIDO</t>
  </si>
  <si>
    <t>LANCE TOTAL</t>
  </si>
  <si>
    <t>CRÉDITO DISPONÍVEL TOTAL</t>
  </si>
  <si>
    <t>PARCELA TOTAL APÓS CONTEMPLAÇÃO</t>
  </si>
  <si>
    <t>UNITÁRIA</t>
  </si>
  <si>
    <t>TOTAL</t>
  </si>
  <si>
    <t>VALOR PARCELA C/ SEGURO¹ (R$)</t>
  </si>
  <si>
    <t xml:space="preserve"> PARCELA C/ SEGURO TOTAL</t>
  </si>
  <si>
    <t>%</t>
  </si>
  <si>
    <t>VALOR DO LANCE LIVRE¹ (R$)</t>
  </si>
  <si>
    <t>VALOR</t>
  </si>
  <si>
    <t>PARCELA PÓS CONTEMPLAÇÃO S/ SEGURO¹ (R$)</t>
  </si>
  <si>
    <t>PARCELA PÓS CONTEMPLAÇÃO C/ SEGURO¹ (R$)</t>
  </si>
  <si>
    <t>RESUMO</t>
  </si>
  <si>
    <t>Carta de Crédito Total</t>
  </si>
  <si>
    <t>Lance Total</t>
  </si>
  <si>
    <t>Recursos próprios</t>
  </si>
  <si>
    <t>Embutido</t>
  </si>
  <si>
    <t>Crédito Disponível</t>
  </si>
  <si>
    <t>Parcela após contemplação:</t>
  </si>
  <si>
    <t>Valores podem apresentar diferença no momento da contratação, por conta de correções nos valores unitários das cartas e pelo decorrer das assembleias.</t>
  </si>
  <si>
    <t>HISTÓRICO DE CONTEMPLAÇÕES POR GRUPO</t>
  </si>
  <si>
    <t>Os gráficos apresentam as contemplações reais de cada grupo nas últimas assembleias, não garantindo assim contemplações futuras com mesmos percentuais de lances.</t>
  </si>
  <si>
    <t>Planos de Consórcio administrados por Santander Brasil Administradora de Consórcio Ltda, CNPJ nº 55.942.312/0001-06. Sujeito à análise de crédito no momento da contemplação e demais condições do produto. Leia o contrato e o regulamento antes da adesão. Canal Ouvidoria: 0800 726 0322.</t>
  </si>
  <si>
    <t>VALIDADE</t>
  </si>
  <si>
    <t>PRAZO_RESTANTE</t>
  </si>
  <si>
    <t>TAXA MENSAL</t>
  </si>
  <si>
    <t>Posto Alternativa de Combustível e Serviço</t>
  </si>
  <si>
    <t>Imóveis</t>
  </si>
  <si>
    <t>Glaucio Sousa</t>
  </si>
  <si>
    <t/>
  </si>
  <si>
    <t>Valores podem apresentar diferença no momento da contratação, por conta de correções nos valores unitários das cartas e pelo decorrer das assembleias. Atualizações são realizadas a cada 12 meses do prazo de cada grupo através do INCC acumulado.</t>
  </si>
  <si>
    <t>GRUPOS SUGERIDOS</t>
  </si>
  <si>
    <t>INCC</t>
  </si>
  <si>
    <t>DE</t>
  </si>
  <si>
    <t>PARA</t>
  </si>
  <si>
    <t xml:space="preserve">Recursos próprios </t>
  </si>
  <si>
    <t>PRAZO MÉDIO</t>
  </si>
  <si>
    <t>Valor Liquido</t>
  </si>
  <si>
    <t>Juros operação</t>
  </si>
  <si>
    <t>Taxa adm total</t>
  </si>
  <si>
    <t>QUANT CONTEM</t>
  </si>
  <si>
    <t>% Taxa adm. Mensal</t>
  </si>
  <si>
    <t>% Taxa adm.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</si>
</sst>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000000_-;\-* #,##0.0000000_-;_-* &quot;-&quot;??_-;_-@_-"/>
    <numFmt numFmtId="167" formatCode="0.00000%"/>
    <numFmt numFmtId="168" formatCode="0.000000%"/>
    <numFmt numFmtId="169" formatCode="0.000%"/>
    <numFmt numFmtId="170" formatCode="_-* #,##0_-;\-* #,##0_-;_-* &quot;-&quot;??_-;_-@_-"/>
    <numFmt numFmtId="171" formatCode="_-&quot;R$&quot;\ * #,##0_-;\-&quot;R$&quot;\ * #,##0_-;_-&quot;R$&quot;\ * &quot;-&quot;??_-;_-@_-"/>
    <numFmt numFmtId="172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164" fontId="1" fillId="0" borderId="0" xfId="3" applyNumberFormat="1" applyFont="1"/>
    <xf numFmtId="0" fontId="1" fillId="0" borderId="0" xfId="0" applyFont="1"/>
    <xf numFmtId="165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164" fontId="1" fillId="0" borderId="0" xfId="0" applyNumberFormat="1" applyFont="1"/>
    <xf numFmtId="166" fontId="5" fillId="0" borderId="0" xfId="1" applyNumberFormat="1" applyFont="1"/>
    <xf numFmtId="167" fontId="5" fillId="0" borderId="0" xfId="0" applyNumberFormat="1" applyFont="1"/>
    <xf numFmtId="168" fontId="3" fillId="0" borderId="0" xfId="0" applyNumberFormat="1" applyFont="1"/>
    <xf numFmtId="0" fontId="5" fillId="0" borderId="0" xfId="0" applyFont="1"/>
    <xf numFmtId="169" fontId="5" fillId="0" borderId="0" xfId="0" applyNumberFormat="1" applyFont="1"/>
    <xf numFmtId="43" fontId="1" fillId="0" borderId="0" xfId="1" applyFont="1"/>
    <xf numFmtId="165" fontId="6" fillId="0" borderId="0" xfId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9" fontId="3" fillId="0" borderId="0" xfId="3" applyNumberFormat="1" applyFont="1"/>
    <xf numFmtId="0" fontId="3" fillId="0" borderId="1" xfId="0" applyFont="1" applyBorder="1"/>
    <xf numFmtId="43" fontId="3" fillId="0" borderId="1" xfId="1" applyFont="1" applyBorder="1"/>
    <xf numFmtId="164" fontId="1" fillId="0" borderId="1" xfId="0" applyNumberFormat="1" applyFont="1" applyBorder="1"/>
    <xf numFmtId="166" fontId="5" fillId="0" borderId="1" xfId="1" applyNumberFormat="1" applyFont="1" applyBorder="1"/>
    <xf numFmtId="167" fontId="5" fillId="0" borderId="1" xfId="0" applyNumberFormat="1" applyFont="1" applyBorder="1"/>
    <xf numFmtId="168" fontId="3" fillId="0" borderId="1" xfId="0" applyNumberFormat="1" applyFont="1" applyBorder="1"/>
    <xf numFmtId="0" fontId="5" fillId="0" borderId="1" xfId="0" applyFont="1" applyBorder="1"/>
    <xf numFmtId="169" fontId="5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166" fontId="5" fillId="0" borderId="0" xfId="1" applyNumberFormat="1" applyFont="1" applyBorder="1"/>
    <xf numFmtId="164" fontId="1" fillId="0" borderId="0" xfId="3" applyNumberFormat="1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171" fontId="0" fillId="3" borderId="0" xfId="2" applyNumberFormat="1" applyFont="1" applyFill="1" applyBorder="1" applyAlignment="1">
      <alignment horizontal="center" vertical="center"/>
    </xf>
    <xf numFmtId="170" fontId="0" fillId="3" borderId="0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 wrapText="1"/>
    </xf>
    <xf numFmtId="1" fontId="4" fillId="4" borderId="0" xfId="1" applyNumberFormat="1" applyFont="1" applyFill="1" applyBorder="1" applyAlignment="1">
      <alignment horizontal="center" vertical="center"/>
    </xf>
    <xf numFmtId="171" fontId="4" fillId="4" borderId="0" xfId="2" applyNumberFormat="1" applyFont="1" applyFill="1" applyBorder="1" applyAlignment="1">
      <alignment horizontal="center" vertical="center"/>
    </xf>
    <xf numFmtId="170" fontId="4" fillId="4" borderId="0" xfId="1" applyNumberFormat="1" applyFont="1" applyFill="1" applyBorder="1" applyAlignment="1">
      <alignment horizontal="center" vertical="center"/>
    </xf>
    <xf numFmtId="9" fontId="4" fillId="4" borderId="0" xfId="3" applyFont="1" applyFill="1" applyBorder="1" applyAlignment="1">
      <alignment horizontal="center" vertical="center"/>
    </xf>
    <xf numFmtId="43" fontId="1" fillId="0" borderId="0" xfId="0" applyNumberFormat="1" applyFont="1"/>
    <xf numFmtId="0" fontId="8" fillId="0" borderId="0" xfId="0" applyFont="1"/>
    <xf numFmtId="166" fontId="5" fillId="0" borderId="10" xfId="1" applyNumberFormat="1" applyFont="1" applyBorder="1"/>
    <xf numFmtId="164" fontId="1" fillId="0" borderId="0" xfId="3" applyNumberFormat="1" applyFont="1" applyFill="1" applyBorder="1" applyAlignment="1">
      <alignment horizontal="left"/>
    </xf>
    <xf numFmtId="164" fontId="1" fillId="0" borderId="0" xfId="3" applyNumberFormat="1" applyFont="1" applyBorder="1"/>
    <xf numFmtId="43" fontId="1" fillId="0" borderId="0" xfId="1" applyFont="1" applyBorder="1"/>
    <xf numFmtId="9" fontId="1" fillId="0" borderId="0" xfId="3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3" applyFont="1" applyFill="1" applyBorder="1" applyAlignment="1">
      <alignment horizontal="left"/>
    </xf>
    <xf numFmtId="44" fontId="10" fillId="0" borderId="0" xfId="2" applyFont="1" applyBorder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vertical="center"/>
    </xf>
    <xf numFmtId="171" fontId="1" fillId="0" borderId="0" xfId="0" applyNumberFormat="1" applyFont="1"/>
    <xf numFmtId="0" fontId="9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" fontId="0" fillId="6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72" fontId="1" fillId="0" borderId="0" xfId="3" applyNumberFormat="1" applyFont="1" applyBorder="1"/>
    <xf numFmtId="167" fontId="1" fillId="0" borderId="0" xfId="3" applyNumberFormat="1" applyFont="1"/>
    <xf numFmtId="167" fontId="4" fillId="4" borderId="0" xfId="3" applyNumberFormat="1" applyFont="1" applyFill="1" applyBorder="1" applyAlignment="1">
      <alignment horizontal="center" vertical="center"/>
    </xf>
    <xf numFmtId="167" fontId="15" fillId="3" borderId="0" xfId="3" applyNumberFormat="1" applyFont="1" applyFill="1"/>
    <xf numFmtId="167" fontId="5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170" fontId="2" fillId="2" borderId="2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43" fontId="9" fillId="0" borderId="0" xfId="1" applyFont="1" applyBorder="1" applyAlignment="1">
      <alignment vertical="center"/>
    </xf>
    <xf numFmtId="0" fontId="16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164" fontId="0" fillId="3" borderId="0" xfId="3" applyNumberFormat="1" applyFont="1" applyFill="1" applyBorder="1" applyAlignment="1">
      <alignment horizontal="center" vertical="center"/>
    </xf>
    <xf numFmtId="171" fontId="1" fillId="0" borderId="0" xfId="3" applyNumberFormat="1" applyFont="1" applyFill="1" applyBorder="1" applyAlignment="1">
      <alignment horizontal="left"/>
    </xf>
    <xf numFmtId="9" fontId="1" fillId="0" borderId="0" xfId="3" applyFont="1" applyBorder="1"/>
    <xf numFmtId="16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wrapText="1"/>
    </xf>
    <xf numFmtId="170" fontId="5" fillId="0" borderId="0" xfId="1" applyNumberFormat="1" applyFont="1"/>
    <xf numFmtId="43" fontId="5" fillId="0" borderId="0" xfId="1" applyFont="1" applyBorder="1"/>
    <xf numFmtId="171" fontId="0" fillId="9" borderId="0" xfId="2" applyNumberFormat="1" applyFont="1" applyFill="1" applyBorder="1" applyAlignment="1">
      <alignment horizontal="center" vertical="center"/>
    </xf>
    <xf numFmtId="170" fontId="0" fillId="9" borderId="0" xfId="1" applyNumberFormat="1" applyFont="1" applyFill="1" applyBorder="1" applyAlignment="1">
      <alignment horizontal="center" vertical="center"/>
    </xf>
    <xf numFmtId="164" fontId="0" fillId="9" borderId="0" xfId="3" applyNumberFormat="1" applyFont="1" applyFill="1" applyBorder="1" applyAlignment="1">
      <alignment horizontal="center" vertical="center"/>
    </xf>
    <xf numFmtId="166" fontId="18" fillId="0" borderId="0" xfId="1" applyNumberFormat="1" applyFont="1" applyBorder="1"/>
    <xf numFmtId="170" fontId="17" fillId="2" borderId="2" xfId="1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vertical="center"/>
    </xf>
    <xf numFmtId="167" fontId="1" fillId="0" borderId="0" xfId="3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10" borderId="15" xfId="0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" fontId="0" fillId="10" borderId="15" xfId="1" applyNumberFormat="1" applyFont="1" applyFill="1" applyBorder="1" applyAlignment="1">
      <alignment horizontal="center" vertical="center"/>
    </xf>
    <xf numFmtId="171" fontId="0" fillId="10" borderId="15" xfId="2" applyNumberFormat="1" applyFont="1" applyFill="1" applyBorder="1" applyAlignment="1">
      <alignment horizontal="center" vertical="center"/>
    </xf>
    <xf numFmtId="164" fontId="0" fillId="10" borderId="15" xfId="3" applyNumberFormat="1" applyFont="1" applyFill="1" applyBorder="1" applyAlignment="1">
      <alignment horizontal="center" vertical="center"/>
    </xf>
    <xf numFmtId="9" fontId="0" fillId="10" borderId="15" xfId="3" applyFont="1" applyFill="1" applyBorder="1" applyAlignment="1">
      <alignment horizontal="center" vertical="center"/>
    </xf>
    <xf numFmtId="43" fontId="1" fillId="0" borderId="16" xfId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0" borderId="16" xfId="3" applyNumberFormat="1" applyFont="1" applyBorder="1" applyAlignment="1">
      <alignment horizontal="center"/>
    </xf>
    <xf numFmtId="164" fontId="0" fillId="11" borderId="15" xfId="3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 indent="2"/>
    </xf>
    <xf numFmtId="171" fontId="1" fillId="9" borderId="0" xfId="1" applyNumberFormat="1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7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70" fontId="17" fillId="2" borderId="3" xfId="1" applyNumberFormat="1" applyFont="1" applyFill="1" applyBorder="1" applyAlignment="1">
      <alignment horizontal="center" vertical="center" wrapText="1"/>
    </xf>
    <xf numFmtId="170" fontId="17" fillId="2" borderId="4" xfId="1" applyNumberFormat="1" applyFont="1" applyFill="1" applyBorder="1" applyAlignment="1">
      <alignment horizontal="center" vertical="center" wrapText="1"/>
    </xf>
    <xf numFmtId="170" fontId="17" fillId="2" borderId="2" xfId="1" applyNumberFormat="1" applyFont="1" applyFill="1" applyBorder="1" applyAlignment="1">
      <alignment horizontal="center" vertical="center" wrapText="1"/>
    </xf>
    <xf numFmtId="170" fontId="17" fillId="2" borderId="9" xfId="1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indent="2"/>
    </xf>
    <xf numFmtId="171" fontId="1" fillId="9" borderId="0" xfId="2" applyNumberFormat="1" applyFont="1" applyFill="1" applyBorder="1" applyAlignment="1">
      <alignment horizontal="center"/>
    </xf>
    <xf numFmtId="171" fontId="4" fillId="4" borderId="0" xfId="1" applyNumberFormat="1" applyFont="1" applyFill="1" applyBorder="1" applyAlignment="1">
      <alignment horizontal="left" vertical="center"/>
    </xf>
    <xf numFmtId="170" fontId="17" fillId="2" borderId="13" xfId="1" applyNumberFormat="1" applyFont="1" applyFill="1" applyBorder="1" applyAlignment="1">
      <alignment horizontal="center" vertical="center" wrapText="1"/>
    </xf>
    <xf numFmtId="170" fontId="17" fillId="2" borderId="14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71" fontId="4" fillId="4" borderId="0" xfId="2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 wrapText="1"/>
    </xf>
    <xf numFmtId="170" fontId="17" fillId="2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71" fontId="1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171" fontId="1" fillId="0" borderId="0" xfId="2" applyNumberFormat="1" applyFont="1" applyFill="1" applyBorder="1" applyAlignment="1">
      <alignment horizontal="center"/>
    </xf>
    <xf numFmtId="170" fontId="2" fillId="2" borderId="3" xfId="1" applyNumberFormat="1" applyFont="1" applyFill="1" applyBorder="1" applyAlignment="1">
      <alignment horizontal="center" vertical="center" wrapText="1"/>
    </xf>
    <xf numFmtId="170" fontId="2" fillId="2" borderId="4" xfId="1" applyNumberFormat="1" applyFont="1" applyFill="1" applyBorder="1" applyAlignment="1">
      <alignment horizontal="center" vertical="center" wrapText="1"/>
    </xf>
    <xf numFmtId="170" fontId="2" fillId="2" borderId="5" xfId="1" applyNumberFormat="1" applyFont="1" applyFill="1" applyBorder="1" applyAlignment="1">
      <alignment horizontal="center" vertical="center" wrapText="1"/>
    </xf>
    <xf numFmtId="170" fontId="2" fillId="2" borderId="2" xfId="1" applyNumberFormat="1" applyFont="1" applyFill="1" applyBorder="1" applyAlignment="1">
      <alignment horizontal="center" vertical="center" wrapText="1"/>
    </xf>
    <xf numFmtId="170" fontId="2" fillId="2" borderId="9" xfId="1" applyNumberFormat="1" applyFont="1" applyFill="1" applyBorder="1" applyAlignment="1">
      <alignment horizontal="center" vertical="center" wrapText="1"/>
    </xf>
    <xf numFmtId="170" fontId="2" fillId="2" borderId="6" xfId="1" applyNumberFormat="1" applyFont="1" applyFill="1" applyBorder="1" applyAlignment="1">
      <alignment horizontal="center" vertical="center" wrapText="1"/>
    </xf>
    <xf numFmtId="164" fontId="1" fillId="12" borderId="0" xfId="0" applyNumberFormat="1" applyFont="1" applyFill="1"/>
    <xf numFmtId="166" fontId="5" fillId="12" borderId="0" xfId="1" applyNumberFormat="1" applyFont="1" applyFill="1"/>
    <xf numFmtId="0" fontId="1" fillId="12" borderId="0" xfId="0" applyFont="1" applyFill="1"/>
    <xf numFmtId="0" fontId="3" fillId="12" borderId="0" xfId="0" applyFont="1" applyFill="1"/>
    <xf numFmtId="43" fontId="3" fillId="12" borderId="0" xfId="1" applyFont="1" applyFill="1"/>
    <xf numFmtId="169" fontId="3" fillId="12" borderId="0" xfId="3" applyNumberFormat="1" applyFont="1" applyFill="1"/>
    <xf numFmtId="164" fontId="1" fillId="12" borderId="1" xfId="0" applyNumberFormat="1" applyFont="1" applyFill="1" applyBorder="1"/>
    <xf numFmtId="166" fontId="5" fillId="12" borderId="1" xfId="1" applyNumberFormat="1" applyFont="1" applyFill="1" applyBorder="1"/>
    <xf numFmtId="0" fontId="17" fillId="12" borderId="2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70" fontId="0" fillId="12" borderId="0" xfId="1" applyNumberFormat="1" applyFont="1" applyFill="1" applyBorder="1" applyAlignment="1">
      <alignment horizontal="center" vertical="center"/>
    </xf>
    <xf numFmtId="170" fontId="4" fillId="12" borderId="0" xfId="1" applyNumberFormat="1" applyFont="1" applyFill="1" applyBorder="1" applyAlignment="1">
      <alignment horizontal="center" vertical="center"/>
    </xf>
    <xf numFmtId="43" fontId="1" fillId="12" borderId="0" xfId="0" applyNumberFormat="1" applyFont="1" applyFill="1"/>
    <xf numFmtId="171" fontId="1" fillId="12" borderId="0" xfId="0" applyNumberFormat="1" applyFont="1" applyFill="1"/>
    <xf numFmtId="166" fontId="5" fillId="12" borderId="10" xfId="1" applyNumberFormat="1" applyFont="1" applyFill="1" applyBorder="1"/>
    <xf numFmtId="170" fontId="1" fillId="12" borderId="0" xfId="0" applyNumberFormat="1" applyFont="1" applyFill="1"/>
    <xf numFmtId="0" fontId="9" fillId="12" borderId="0" xfId="0" applyFont="1" applyFill="1" applyAlignment="1">
      <alignment vertical="center"/>
    </xf>
    <xf numFmtId="166" fontId="18" fillId="12" borderId="0" xfId="1" applyNumberFormat="1" applyFont="1" applyFill="1" applyBorder="1"/>
    <xf numFmtId="0" fontId="17" fillId="12" borderId="8" xfId="0" applyFont="1" applyFill="1" applyBorder="1" applyAlignment="1">
      <alignment horizontal="center" vertical="center" wrapText="1"/>
    </xf>
    <xf numFmtId="171" fontId="0" fillId="12" borderId="0" xfId="2" applyNumberFormat="1" applyFont="1" applyFill="1" applyBorder="1" applyAlignment="1">
      <alignment horizontal="center" vertical="center"/>
    </xf>
    <xf numFmtId="171" fontId="4" fillId="12" borderId="0" xfId="2" applyNumberFormat="1" applyFont="1" applyFill="1" applyBorder="1" applyAlignment="1">
      <alignment horizontal="center" vertical="center"/>
    </xf>
    <xf numFmtId="44" fontId="10" fillId="12" borderId="0" xfId="2" applyFont="1" applyFill="1" applyBorder="1" applyAlignment="1"/>
    <xf numFmtId="0" fontId="0" fillId="12" borderId="0" xfId="0" applyFill="1"/>
    <xf numFmtId="170" fontId="17" fillId="12" borderId="2" xfId="1" applyNumberFormat="1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1378047168562E-2"/>
          <c:y val="7.6834979727396363E-2"/>
          <c:w val="0.69999018108347988"/>
          <c:h val="0.882555861574995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3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0-4BE8-ACD8-D37B4C791FA5}"/>
              </c:ext>
            </c:extLst>
          </c:dPt>
          <c:dPt>
            <c:idx val="1"/>
            <c:bubble3D val="0"/>
            <c:explosion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0-4BE8-ACD8-D37B4C791FA5}"/>
              </c:ext>
            </c:extLst>
          </c:dPt>
          <c:dLbls>
            <c:dLbl>
              <c:idx val="0"/>
              <c:layout>
                <c:manualLayout>
                  <c:x val="0.1181091455777086"/>
                  <c:y val="0.107207533312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0-4BE8-ACD8-D37B4C791FA5}"/>
                </c:ext>
              </c:extLst>
            </c:dLbl>
            <c:dLbl>
              <c:idx val="1"/>
              <c:layout>
                <c:manualLayout>
                  <c:x val="-0.26658408886334733"/>
                  <c:y val="-0.11877929950065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0-4BE8-ACD8-D37B4C791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('10MM (3)'!$N$6,'10MM (3)'!$Q$6)</c:f>
              <c:strCache>
                <c:ptCount val="2"/>
                <c:pt idx="0">
                  <c:v>Lance Recursos Próprios</c:v>
                </c:pt>
                <c:pt idx="1">
                  <c:v>Lance Embutido</c:v>
                </c:pt>
              </c:strCache>
            </c:strRef>
          </c:cat>
          <c:val>
            <c:numRef>
              <c:f>('10MM (3)'!$N$16,'10MM (3)'!$Q$16)</c:f>
              <c:numCache>
                <c:formatCode>0%</c:formatCode>
                <c:ptCount val="2"/>
                <c:pt idx="0">
                  <c:v>0.39229200430706768</c:v>
                </c:pt>
                <c:pt idx="1">
                  <c:v>0.19229200430706767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BE8-ACD8-D37B4C79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5250801983081"/>
          <c:y val="0.25634398195716962"/>
          <c:w val="0.25293926800816563"/>
          <c:h val="0.5000010658571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(3)'!$L$8,'10MM (3)'!$X$8)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695-4C82-93D4-3967A6E07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3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5-4C82-93D4-3967A6E07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95-4C82-93D4-3967A6E07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(3)'!$L$16,'10MM (3)'!$X$16)</c:f>
              <c:numCache>
                <c:formatCode>_-"R$"\ * #,##0_-;\-"R$"\ * #,##0_-;_-"R$"\ * "-"??_-;_-@_-</c:formatCode>
                <c:ptCount val="2"/>
                <c:pt idx="0">
                  <c:v>258605.67559256748</c:v>
                </c:pt>
                <c:pt idx="1">
                  <c:v>113464.14873526376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5-4C82-93D4-3967A6E0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2"/>
        <c:axId val="397258208"/>
        <c:axId val="397256248"/>
      </c:barChart>
      <c:catAx>
        <c:axId val="397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56248"/>
        <c:crosses val="autoZero"/>
        <c:auto val="1"/>
        <c:lblAlgn val="ctr"/>
        <c:lblOffset val="100"/>
        <c:noMultiLvlLbl val="0"/>
      </c:catAx>
      <c:valAx>
        <c:axId val="39725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58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131631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DDEB5378-8022-4E09-B8FC-CF1CDEAA5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7FA861B7-FE09-4840-B5CE-61A07685F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7A7F780-09FC-4E0F-BCF1-4A828DA3A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5B3AD971-BED7-4EFC-A521-9000B17A9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8D83A62-6CFB-4A84-ABA0-119E99343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CC826084-7E32-4AD6-A45E-EFF273A46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BD7898F8-6E97-4B4E-BD72-9F501F22E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4823084C-86F7-4A5F-A280-24253293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2238C756-E9E2-4169-A561-702D4F7E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1960306C-3DC0-480E-BE80-7CF5FBB9F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751791</xdr:colOff>
      <xdr:row>58</xdr:row>
      <xdr:rowOff>11393</xdr:rowOff>
    </xdr:from>
    <xdr:to>
      <xdr:col>20</xdr:col>
      <xdr:colOff>942279</xdr:colOff>
      <xdr:row>58</xdr:row>
      <xdr:rowOff>244227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72191" y="11127068"/>
          <a:ext cx="2867013" cy="232834"/>
        </a:xfrm>
        <a:prstGeom prst="rect">
          <a:avLst/>
        </a:prstGeom>
      </xdr:spPr>
    </xdr:pic>
    <xdr:clientData/>
  </xdr:twoCellAnchor>
  <xdr:oneCellAnchor>
    <xdr:from>
      <xdr:col>23</xdr:col>
      <xdr:colOff>701072</xdr:colOff>
      <xdr:row>117</xdr:row>
      <xdr:rowOff>152227</xdr:rowOff>
    </xdr:from>
    <xdr:ext cx="622856" cy="614736"/>
    <xdr:pic>
      <xdr:nvPicPr>
        <xdr:cNvPr id="3" name="Imagem 2" descr="Resultado de imagem para selo abac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847" y="22821727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29896</xdr:colOff>
      <xdr:row>118</xdr:row>
      <xdr:rowOff>113444</xdr:rowOff>
    </xdr:from>
    <xdr:ext cx="1566895" cy="400950"/>
    <xdr:pic>
      <xdr:nvPicPr>
        <xdr:cNvPr id="4" name="Imagem 3" descr="Resultado de imagem para banco central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6821" y="22973444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17308</xdr:colOff>
      <xdr:row>33</xdr:row>
      <xdr:rowOff>162982</xdr:rowOff>
    </xdr:from>
    <xdr:to>
      <xdr:col>11</xdr:col>
      <xdr:colOff>613088</xdr:colOff>
      <xdr:row>55</xdr:row>
      <xdr:rowOff>179293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9733" y="6516157"/>
          <a:ext cx="8158630" cy="420731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1026957</xdr:colOff>
      <xdr:row>58</xdr:row>
      <xdr:rowOff>50924</xdr:rowOff>
    </xdr:from>
    <xdr:to>
      <xdr:col>23</xdr:col>
      <xdr:colOff>1026957</xdr:colOff>
      <xdr:row>58</xdr:row>
      <xdr:rowOff>234368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523882" y="11166599"/>
          <a:ext cx="1085850" cy="183444"/>
        </a:xfrm>
        <a:prstGeom prst="rect">
          <a:avLst/>
        </a:prstGeom>
      </xdr:spPr>
    </xdr:pic>
    <xdr:clientData/>
  </xdr:twoCellAnchor>
  <xdr:oneCellAnchor>
    <xdr:from>
      <xdr:col>23</xdr:col>
      <xdr:colOff>739172</xdr:colOff>
      <xdr:row>59</xdr:row>
      <xdr:rowOff>109645</xdr:rowOff>
    </xdr:from>
    <xdr:ext cx="622856" cy="614736"/>
    <xdr:pic>
      <xdr:nvPicPr>
        <xdr:cNvPr id="7" name="Imagem 6" descr="Resultado de imagem para selo abac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1947" y="11549170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66675</xdr:colOff>
      <xdr:row>60</xdr:row>
      <xdr:rowOff>70862</xdr:rowOff>
    </xdr:from>
    <xdr:ext cx="1566895" cy="400950"/>
    <xdr:pic>
      <xdr:nvPicPr>
        <xdr:cNvPr id="8" name="Imagem 7" descr="Resultado de imagem para banco central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700887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89649</xdr:colOff>
      <xdr:row>60</xdr:row>
      <xdr:rowOff>95230</xdr:rowOff>
    </xdr:from>
    <xdr:to>
      <xdr:col>3</xdr:col>
      <xdr:colOff>818030</xdr:colOff>
      <xdr:row>62</xdr:row>
      <xdr:rowOff>196432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203949" y="11725255"/>
          <a:ext cx="1985681" cy="48220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61612</xdr:rowOff>
    </xdr:from>
    <xdr:to>
      <xdr:col>3</xdr:col>
      <xdr:colOff>974910</xdr:colOff>
      <xdr:row>120</xdr:row>
      <xdr:rowOff>162815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352425" y="22921612"/>
          <a:ext cx="1994085" cy="491728"/>
        </a:xfrm>
        <a:prstGeom prst="rect">
          <a:avLst/>
        </a:prstGeom>
      </xdr:spPr>
    </xdr:pic>
    <xdr:clientData/>
  </xdr:twoCellAnchor>
  <xdr:twoCellAnchor>
    <xdr:from>
      <xdr:col>9</xdr:col>
      <xdr:colOff>662828</xdr:colOff>
      <xdr:row>18</xdr:row>
      <xdr:rowOff>38101</xdr:rowOff>
    </xdr:from>
    <xdr:to>
      <xdr:col>15</xdr:col>
      <xdr:colOff>168089</xdr:colOff>
      <xdr:row>29</xdr:row>
      <xdr:rowOff>11205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557491</xdr:colOff>
      <xdr:row>18</xdr:row>
      <xdr:rowOff>76200</xdr:rowOff>
    </xdr:from>
    <xdr:to>
      <xdr:col>20</xdr:col>
      <xdr:colOff>425823</xdr:colOff>
      <xdr:row>29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22411</xdr:colOff>
      <xdr:row>19</xdr:row>
      <xdr:rowOff>156881</xdr:rowOff>
    </xdr:from>
    <xdr:to>
      <xdr:col>19</xdr:col>
      <xdr:colOff>264457</xdr:colOff>
      <xdr:row>21</xdr:row>
      <xdr:rowOff>94690</xdr:rowOff>
    </xdr:to>
    <xdr:cxnSp macro="">
      <xdr:nvCxnSpPr>
        <xdr:cNvPr id="13" name="Conector Angul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1766736" y="4119281"/>
          <a:ext cx="1270746" cy="318809"/>
        </a:xfrm>
        <a:prstGeom prst="bentConnector3">
          <a:avLst>
            <a:gd name="adj1" fmla="val 100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723900</xdr:colOff>
      <xdr:row>115</xdr:row>
      <xdr:rowOff>103655</xdr:rowOff>
    </xdr:from>
    <xdr:to>
      <xdr:col>20</xdr:col>
      <xdr:colOff>914388</xdr:colOff>
      <xdr:row>116</xdr:row>
      <xdr:rowOff>145989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44300" y="22382630"/>
          <a:ext cx="2867013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999066</xdr:colOff>
      <xdr:row>115</xdr:row>
      <xdr:rowOff>145987</xdr:rowOff>
    </xdr:from>
    <xdr:to>
      <xdr:col>23</xdr:col>
      <xdr:colOff>999066</xdr:colOff>
      <xdr:row>116</xdr:row>
      <xdr:rowOff>138931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495991" y="22424962"/>
          <a:ext cx="1085850" cy="183444"/>
        </a:xfrm>
        <a:prstGeom prst="rect">
          <a:avLst/>
        </a:prstGeom>
      </xdr:spPr>
    </xdr:pic>
    <xdr:clientData/>
  </xdr:twoCellAnchor>
  <xdr:twoCellAnchor>
    <xdr:from>
      <xdr:col>11</xdr:col>
      <xdr:colOff>683560</xdr:colOff>
      <xdr:row>33</xdr:row>
      <xdr:rowOff>168088</xdr:rowOff>
    </xdr:from>
    <xdr:to>
      <xdr:col>24</xdr:col>
      <xdr:colOff>67236</xdr:colOff>
      <xdr:row>56</xdr:row>
      <xdr:rowOff>11206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598835" y="6521263"/>
          <a:ext cx="7413251" cy="4224618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313764</xdr:colOff>
      <xdr:row>0</xdr:row>
      <xdr:rowOff>89647</xdr:rowOff>
    </xdr:from>
    <xdr:to>
      <xdr:col>24</xdr:col>
      <xdr:colOff>9943</xdr:colOff>
      <xdr:row>3</xdr:row>
      <xdr:rowOff>156882</xdr:rowOff>
    </xdr:to>
    <xdr:pic>
      <xdr:nvPicPr>
        <xdr:cNvPr id="17" name="Imagem 16" descr="image00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2058089" y="89647"/>
          <a:ext cx="3896704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11206</xdr:colOff>
      <xdr:row>34</xdr:row>
      <xdr:rowOff>56028</xdr:rowOff>
    </xdr:from>
    <xdr:to>
      <xdr:col>11</xdr:col>
      <xdr:colOff>605118</xdr:colOff>
      <xdr:row>55</xdr:row>
      <xdr:rowOff>89647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631" y="6599703"/>
          <a:ext cx="8156762" cy="403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750794</xdr:colOff>
      <xdr:row>33</xdr:row>
      <xdr:rowOff>168088</xdr:rowOff>
    </xdr:from>
    <xdr:to>
      <xdr:col>24</xdr:col>
      <xdr:colOff>67236</xdr:colOff>
      <xdr:row>56</xdr:row>
      <xdr:rowOff>22413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57"/>
        <a:stretch/>
      </xdr:blipFill>
      <xdr:spPr>
        <a:xfrm>
          <a:off x="8666069" y="6521263"/>
          <a:ext cx="7346017" cy="423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638733</xdr:colOff>
      <xdr:row>67</xdr:row>
      <xdr:rowOff>78441</xdr:rowOff>
    </xdr:from>
    <xdr:to>
      <xdr:col>24</xdr:col>
      <xdr:colOff>649938</xdr:colOff>
      <xdr:row>86</xdr:row>
      <xdr:rowOff>56028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4008" y="13213416"/>
          <a:ext cx="8040780" cy="35970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88</xdr:row>
      <xdr:rowOff>11206</xdr:rowOff>
    </xdr:from>
    <xdr:to>
      <xdr:col>11</xdr:col>
      <xdr:colOff>728382</xdr:colOff>
      <xdr:row>107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661" y="17146681"/>
          <a:ext cx="8223996" cy="360829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123266</xdr:colOff>
      <xdr:row>67</xdr:row>
      <xdr:rowOff>179294</xdr:rowOff>
    </xdr:from>
    <xdr:to>
      <xdr:col>11</xdr:col>
      <xdr:colOff>616325</xdr:colOff>
      <xdr:row>86</xdr:row>
      <xdr:rowOff>33617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691" y="13314269"/>
          <a:ext cx="8055909" cy="3473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showGridLines="0" workbookViewId="0">
      <selection activeCell="L23" sqref="L23"/>
    </sheetView>
  </sheetViews>
  <sheetFormatPr defaultRowHeight="14.4" x14ac:dyDescent="0.3"/>
  <cols>
    <col min="2" max="2" width="19.109375" bestFit="1" customWidth="1"/>
    <col min="3" max="3" width="6.33203125" customWidth="1"/>
    <col min="5" max="5" width="10.109375" bestFit="1" customWidth="1"/>
    <col min="6" max="6" width="13.33203125" bestFit="1" customWidth="1"/>
    <col min="7" max="7" width="14.109375" customWidth="1"/>
    <col min="8" max="8" width="5.44140625" customWidth="1"/>
    <col min="9" max="9" width="7.5546875" bestFit="1" customWidth="1"/>
    <col min="10" max="10" width="15.33203125" bestFit="1" customWidth="1"/>
    <col min="11" max="13" width="11.5546875" bestFit="1" customWidth="1"/>
    <col min="16" max="17" width="11.5546875" bestFit="1" customWidth="1"/>
    <col min="18" max="18" width="4.44140625" customWidth="1"/>
    <col min="21" max="23" width="11.5546875" bestFit="1" customWidth="1"/>
    <col min="24" max="24" width="7.5546875" bestFit="1" customWidth="1"/>
    <col min="25" max="25" width="8.109375" bestFit="1" customWidth="1"/>
    <col min="26" max="27" width="11.5546875" bestFit="1" customWidth="1"/>
  </cols>
  <sheetData>
    <row r="1" spans="1:27" ht="16.2" thickBot="1" x14ac:dyDescent="0.35">
      <c r="A1" s="66" t="s">
        <v>8</v>
      </c>
      <c r="B1" s="66" t="s">
        <v>42</v>
      </c>
      <c r="D1" s="92" t="s">
        <v>8</v>
      </c>
      <c r="E1" s="92" t="s">
        <v>50</v>
      </c>
      <c r="F1" s="92" t="s">
        <v>51</v>
      </c>
      <c r="G1" s="92" t="s">
        <v>52</v>
      </c>
      <c r="I1" s="92" t="s">
        <v>8</v>
      </c>
      <c r="J1" s="92" t="s">
        <v>50</v>
      </c>
      <c r="K1" s="92" t="s">
        <v>51</v>
      </c>
      <c r="L1" s="92" t="s">
        <v>52</v>
      </c>
      <c r="N1" s="92" t="s">
        <v>8</v>
      </c>
      <c r="O1" s="92" t="s">
        <v>50</v>
      </c>
      <c r="P1" s="92" t="s">
        <v>51</v>
      </c>
      <c r="Q1" s="92" t="s">
        <v>52</v>
      </c>
      <c r="S1" s="92" t="s">
        <v>8</v>
      </c>
      <c r="T1" s="92" t="s">
        <v>50</v>
      </c>
      <c r="U1" s="92" t="s">
        <v>51</v>
      </c>
      <c r="V1" s="92" t="s">
        <v>52</v>
      </c>
      <c r="X1" s="92" t="s">
        <v>8</v>
      </c>
      <c r="Y1" s="92" t="s">
        <v>50</v>
      </c>
      <c r="Z1" s="92" t="s">
        <v>51</v>
      </c>
      <c r="AA1" s="92" t="s">
        <v>52</v>
      </c>
    </row>
    <row r="2" spans="1:27" x14ac:dyDescent="0.3">
      <c r="A2" s="67">
        <v>3066</v>
      </c>
      <c r="B2" s="68">
        <v>179</v>
      </c>
      <c r="C2" s="86"/>
      <c r="D2" s="79">
        <v>3065</v>
      </c>
      <c r="E2" s="90">
        <v>4.1329999999999999E-2</v>
      </c>
      <c r="F2" s="91">
        <v>130000</v>
      </c>
      <c r="G2" s="91">
        <f>F2*(1+E2)</f>
        <v>135372.90000000002</v>
      </c>
      <c r="H2" s="85"/>
      <c r="I2" s="79">
        <v>3063</v>
      </c>
      <c r="J2" s="93">
        <v>4.2369999999999998E-2</v>
      </c>
      <c r="K2" s="91">
        <v>130000</v>
      </c>
      <c r="L2" s="91">
        <f>K2*(1+J2)</f>
        <v>135508.1</v>
      </c>
      <c r="N2" s="79">
        <v>3062</v>
      </c>
      <c r="O2" s="93">
        <v>4.4555999999999998E-2</v>
      </c>
      <c r="P2" s="91">
        <v>130000</v>
      </c>
      <c r="Q2" s="91">
        <f>P2*(1+O2)</f>
        <v>135792.28</v>
      </c>
      <c r="S2" s="79">
        <v>3061</v>
      </c>
      <c r="T2" s="94">
        <v>4.0091000000000099E-2</v>
      </c>
      <c r="U2" s="91">
        <v>130000</v>
      </c>
      <c r="V2" s="91">
        <f>U2*(1+T2)</f>
        <v>135211.83000000002</v>
      </c>
      <c r="X2" s="79">
        <v>3059</v>
      </c>
      <c r="Y2" s="94">
        <v>8.265100000000003E-2</v>
      </c>
      <c r="Z2" s="91">
        <v>130000</v>
      </c>
      <c r="AA2" s="91">
        <f>Z2*(1+Y2)</f>
        <v>140744.63</v>
      </c>
    </row>
    <row r="3" spans="1:27" x14ac:dyDescent="0.3">
      <c r="A3" s="69">
        <v>627</v>
      </c>
      <c r="B3" s="70">
        <v>70</v>
      </c>
      <c r="C3" s="86"/>
      <c r="D3" s="79">
        <v>3065</v>
      </c>
      <c r="E3" s="90">
        <v>4.1329999999999999E-2</v>
      </c>
      <c r="F3" s="91">
        <v>140000</v>
      </c>
      <c r="G3" s="91">
        <f t="shared" ref="G3:G14" si="0">F3*(1+E3)</f>
        <v>145786.20000000001</v>
      </c>
      <c r="H3" s="85"/>
      <c r="I3" s="79">
        <v>3063</v>
      </c>
      <c r="J3" s="93">
        <v>4.2369999999999998E-2</v>
      </c>
      <c r="K3" s="91">
        <v>140000</v>
      </c>
      <c r="L3" s="91">
        <f t="shared" ref="L3:L14" si="1">K3*(1+J3)</f>
        <v>145931.79999999999</v>
      </c>
      <c r="N3" s="79">
        <v>3062</v>
      </c>
      <c r="O3" s="93">
        <v>4.4555999999999998E-2</v>
      </c>
      <c r="P3" s="91">
        <v>140000</v>
      </c>
      <c r="Q3" s="91">
        <f t="shared" ref="Q3:Q14" si="2">P3*(1+O3)</f>
        <v>146237.84</v>
      </c>
      <c r="S3" s="79">
        <v>3061</v>
      </c>
      <c r="T3" s="94">
        <v>4.0091000000000099E-2</v>
      </c>
      <c r="U3" s="91">
        <v>140000</v>
      </c>
      <c r="V3" s="91">
        <f t="shared" ref="V3:V14" si="3">U3*(1+T3)</f>
        <v>145612.74000000002</v>
      </c>
      <c r="X3" s="79">
        <v>3059</v>
      </c>
      <c r="Y3" s="94">
        <v>8.265100000000003E-2</v>
      </c>
      <c r="Z3" s="91">
        <v>140000</v>
      </c>
      <c r="AA3" s="91">
        <f t="shared" ref="AA3:AA13" si="4">Z3*(1+Y3)</f>
        <v>151571.14000000001</v>
      </c>
    </row>
    <row r="4" spans="1:27" x14ac:dyDescent="0.3">
      <c r="A4" s="67">
        <v>572</v>
      </c>
      <c r="B4" s="68">
        <v>57</v>
      </c>
      <c r="C4" s="86"/>
      <c r="D4" s="79">
        <v>3065</v>
      </c>
      <c r="E4" s="90">
        <v>4.1329999999999999E-2</v>
      </c>
      <c r="F4" s="91">
        <v>150000</v>
      </c>
      <c r="G4" s="91">
        <f t="shared" si="0"/>
        <v>156199.5</v>
      </c>
      <c r="H4" s="85"/>
      <c r="I4" s="79">
        <v>3063</v>
      </c>
      <c r="J4" s="93">
        <v>4.2369999999999998E-2</v>
      </c>
      <c r="K4" s="91">
        <v>150000</v>
      </c>
      <c r="L4" s="91">
        <f t="shared" si="1"/>
        <v>156355.5</v>
      </c>
      <c r="N4" s="79">
        <v>3062</v>
      </c>
      <c r="O4" s="93">
        <v>4.4555999999999998E-2</v>
      </c>
      <c r="P4" s="91">
        <v>150000</v>
      </c>
      <c r="Q4" s="91">
        <f t="shared" si="2"/>
        <v>156683.4</v>
      </c>
      <c r="S4" s="79">
        <v>3061</v>
      </c>
      <c r="T4" s="94">
        <v>4.0091000000000099E-2</v>
      </c>
      <c r="U4" s="91">
        <v>150000</v>
      </c>
      <c r="V4" s="91">
        <f t="shared" si="3"/>
        <v>156013.65000000002</v>
      </c>
      <c r="X4" s="79">
        <v>3059</v>
      </c>
      <c r="Y4" s="94">
        <v>8.265100000000003E-2</v>
      </c>
      <c r="Z4" s="91">
        <v>150000</v>
      </c>
      <c r="AA4" s="91">
        <f t="shared" si="4"/>
        <v>162397.65</v>
      </c>
    </row>
    <row r="5" spans="1:27" x14ac:dyDescent="0.3">
      <c r="A5" s="69">
        <v>3019</v>
      </c>
      <c r="B5" s="70">
        <v>14</v>
      </c>
      <c r="C5" s="86"/>
      <c r="D5" s="79">
        <v>3065</v>
      </c>
      <c r="E5" s="90">
        <v>4.1329999999999999E-2</v>
      </c>
      <c r="F5" s="91">
        <v>160000</v>
      </c>
      <c r="G5" s="91">
        <f t="shared" si="0"/>
        <v>166612.80000000002</v>
      </c>
      <c r="H5" s="85"/>
      <c r="I5" s="79">
        <v>3063</v>
      </c>
      <c r="J5" s="93">
        <v>4.2369999999999998E-2</v>
      </c>
      <c r="K5" s="91">
        <v>160000</v>
      </c>
      <c r="L5" s="91">
        <f t="shared" si="1"/>
        <v>166779.20000000001</v>
      </c>
      <c r="N5" s="79">
        <v>3062</v>
      </c>
      <c r="O5" s="93">
        <v>4.4555999999999998E-2</v>
      </c>
      <c r="P5" s="91">
        <v>160000</v>
      </c>
      <c r="Q5" s="91">
        <f t="shared" si="2"/>
        <v>167128.96000000002</v>
      </c>
      <c r="S5" s="79">
        <v>3061</v>
      </c>
      <c r="T5" s="94">
        <v>4.0091000000000099E-2</v>
      </c>
      <c r="U5" s="91">
        <v>160000</v>
      </c>
      <c r="V5" s="91">
        <f t="shared" si="3"/>
        <v>166414.56000000003</v>
      </c>
      <c r="X5" s="79">
        <v>3059</v>
      </c>
      <c r="Y5" s="94">
        <v>8.265100000000003E-2</v>
      </c>
      <c r="Z5" s="91">
        <v>160000</v>
      </c>
      <c r="AA5" s="91">
        <f t="shared" si="4"/>
        <v>173224.16</v>
      </c>
    </row>
    <row r="6" spans="1:27" x14ac:dyDescent="0.3">
      <c r="A6" s="67">
        <v>621</v>
      </c>
      <c r="B6" s="68">
        <v>68</v>
      </c>
      <c r="C6" s="86"/>
      <c r="D6" s="79">
        <v>3065</v>
      </c>
      <c r="E6" s="90">
        <v>4.1329999999999999E-2</v>
      </c>
      <c r="F6" s="91">
        <v>170000</v>
      </c>
      <c r="G6" s="91">
        <f t="shared" si="0"/>
        <v>177026.1</v>
      </c>
      <c r="H6" s="85"/>
      <c r="I6" s="79">
        <v>3063</v>
      </c>
      <c r="J6" s="93">
        <v>4.2369999999999998E-2</v>
      </c>
      <c r="K6" s="91">
        <v>170000</v>
      </c>
      <c r="L6" s="91">
        <f t="shared" si="1"/>
        <v>177202.9</v>
      </c>
      <c r="N6" s="79">
        <v>3062</v>
      </c>
      <c r="O6" s="93">
        <v>4.4555999999999998E-2</v>
      </c>
      <c r="P6" s="91">
        <v>170000</v>
      </c>
      <c r="Q6" s="91">
        <f t="shared" si="2"/>
        <v>177574.52000000002</v>
      </c>
      <c r="S6" s="79">
        <v>3061</v>
      </c>
      <c r="T6" s="94">
        <v>4.0091000000000099E-2</v>
      </c>
      <c r="U6" s="91">
        <v>170000</v>
      </c>
      <c r="V6" s="91">
        <f t="shared" si="3"/>
        <v>176815.47000000003</v>
      </c>
      <c r="X6" s="79">
        <v>3059</v>
      </c>
      <c r="Y6" s="94">
        <v>8.265100000000003E-2</v>
      </c>
      <c r="Z6" s="91">
        <v>170000</v>
      </c>
      <c r="AA6" s="91">
        <f t="shared" si="4"/>
        <v>184050.67</v>
      </c>
    </row>
    <row r="7" spans="1:27" x14ac:dyDescent="0.3">
      <c r="A7" s="69">
        <v>3018</v>
      </c>
      <c r="B7" s="70">
        <v>13</v>
      </c>
      <c r="C7" s="86"/>
      <c r="D7" s="79">
        <v>3065</v>
      </c>
      <c r="E7" s="90">
        <v>4.1329999999999999E-2</v>
      </c>
      <c r="F7" s="91">
        <v>180000</v>
      </c>
      <c r="G7" s="91">
        <f t="shared" si="0"/>
        <v>187439.40000000002</v>
      </c>
      <c r="H7" s="85"/>
      <c r="I7" s="79">
        <v>3063</v>
      </c>
      <c r="J7" s="93">
        <v>4.2369999999999998E-2</v>
      </c>
      <c r="K7" s="91">
        <v>180000</v>
      </c>
      <c r="L7" s="91">
        <f t="shared" si="1"/>
        <v>187626.6</v>
      </c>
      <c r="N7" s="79">
        <v>3062</v>
      </c>
      <c r="O7" s="93">
        <v>4.4555999999999998E-2</v>
      </c>
      <c r="P7" s="91">
        <v>180000</v>
      </c>
      <c r="Q7" s="91">
        <f t="shared" si="2"/>
        <v>188020.08000000002</v>
      </c>
      <c r="S7" s="79">
        <v>3061</v>
      </c>
      <c r="T7" s="94">
        <v>4.0091000000000099E-2</v>
      </c>
      <c r="U7" s="91">
        <v>180000</v>
      </c>
      <c r="V7" s="91">
        <f t="shared" si="3"/>
        <v>187216.38</v>
      </c>
      <c r="X7" s="79">
        <v>3059</v>
      </c>
      <c r="Y7" s="94">
        <v>8.265100000000003E-2</v>
      </c>
      <c r="Z7" s="91">
        <v>180000</v>
      </c>
      <c r="AA7" s="91">
        <f t="shared" si="4"/>
        <v>194877.18</v>
      </c>
    </row>
    <row r="8" spans="1:27" x14ac:dyDescent="0.3">
      <c r="A8" s="67">
        <v>3020</v>
      </c>
      <c r="B8" s="68">
        <v>14</v>
      </c>
      <c r="C8" s="86"/>
      <c r="D8" s="79">
        <v>3065</v>
      </c>
      <c r="E8" s="90">
        <v>4.1329999999999999E-2</v>
      </c>
      <c r="F8" s="91">
        <v>190000</v>
      </c>
      <c r="G8" s="91">
        <f t="shared" si="0"/>
        <v>197852.7</v>
      </c>
      <c r="H8" s="85"/>
      <c r="I8" s="79">
        <v>3063</v>
      </c>
      <c r="J8" s="93">
        <v>4.2369999999999998E-2</v>
      </c>
      <c r="K8" s="91">
        <v>190000</v>
      </c>
      <c r="L8" s="91">
        <f t="shared" si="1"/>
        <v>198050.30000000002</v>
      </c>
      <c r="N8" s="79">
        <v>3062</v>
      </c>
      <c r="O8" s="93">
        <v>4.4555999999999998E-2</v>
      </c>
      <c r="P8" s="91">
        <v>190000</v>
      </c>
      <c r="Q8" s="91">
        <f t="shared" si="2"/>
        <v>198465.64</v>
      </c>
      <c r="S8" s="79">
        <v>3061</v>
      </c>
      <c r="T8" s="94">
        <v>4.0091000000000099E-2</v>
      </c>
      <c r="U8" s="91">
        <v>190000</v>
      </c>
      <c r="V8" s="91">
        <f t="shared" si="3"/>
        <v>197617.29</v>
      </c>
      <c r="X8" s="79">
        <v>3059</v>
      </c>
      <c r="Y8" s="94">
        <v>8.265100000000003E-2</v>
      </c>
      <c r="Z8" s="91">
        <v>190000</v>
      </c>
      <c r="AA8" s="91">
        <f t="shared" si="4"/>
        <v>205703.69</v>
      </c>
    </row>
    <row r="9" spans="1:27" x14ac:dyDescent="0.3">
      <c r="A9" s="69">
        <v>3021</v>
      </c>
      <c r="B9" s="70">
        <v>15</v>
      </c>
      <c r="C9" s="86"/>
      <c r="D9" s="79">
        <v>3065</v>
      </c>
      <c r="E9" s="90">
        <v>4.1329999999999999E-2</v>
      </c>
      <c r="F9" s="91">
        <v>200000</v>
      </c>
      <c r="G9" s="91">
        <f t="shared" si="0"/>
        <v>208266.00000000003</v>
      </c>
      <c r="H9" s="85"/>
      <c r="I9" s="79">
        <v>3063</v>
      </c>
      <c r="J9" s="93">
        <v>4.2369999999999998E-2</v>
      </c>
      <c r="K9" s="91">
        <v>200000</v>
      </c>
      <c r="L9" s="91">
        <f t="shared" si="1"/>
        <v>208474</v>
      </c>
      <c r="N9" s="79">
        <v>3062</v>
      </c>
      <c r="O9" s="93">
        <v>4.4555999999999998E-2</v>
      </c>
      <c r="P9" s="91">
        <v>200000</v>
      </c>
      <c r="Q9" s="91">
        <f t="shared" si="2"/>
        <v>208911.2</v>
      </c>
      <c r="S9" s="79">
        <v>3061</v>
      </c>
      <c r="T9" s="94">
        <v>4.0091000000000099E-2</v>
      </c>
      <c r="U9" s="91">
        <v>200000</v>
      </c>
      <c r="V9" s="91">
        <f t="shared" si="3"/>
        <v>208018.2</v>
      </c>
      <c r="X9" s="79">
        <v>3059</v>
      </c>
      <c r="Y9" s="94">
        <v>8.265100000000003E-2</v>
      </c>
      <c r="Z9" s="91">
        <v>200000</v>
      </c>
      <c r="AA9" s="91">
        <f t="shared" si="4"/>
        <v>216530.2</v>
      </c>
    </row>
    <row r="10" spans="1:27" x14ac:dyDescent="0.3">
      <c r="A10" s="67">
        <v>568</v>
      </c>
      <c r="B10" s="68">
        <v>57</v>
      </c>
      <c r="C10" s="86"/>
      <c r="D10" s="79">
        <v>3065</v>
      </c>
      <c r="E10" s="90">
        <v>4.1329999999999999E-2</v>
      </c>
      <c r="F10" s="91">
        <v>210000</v>
      </c>
      <c r="G10" s="91">
        <f t="shared" si="0"/>
        <v>218679.30000000002</v>
      </c>
      <c r="H10" s="85"/>
      <c r="I10" s="79">
        <v>3063</v>
      </c>
      <c r="J10" s="93">
        <v>4.2369999999999998E-2</v>
      </c>
      <c r="K10" s="91">
        <v>210000</v>
      </c>
      <c r="L10" s="91">
        <f t="shared" si="1"/>
        <v>218897.7</v>
      </c>
      <c r="N10" s="79">
        <v>3062</v>
      </c>
      <c r="O10" s="93">
        <v>4.4555999999999998E-2</v>
      </c>
      <c r="P10" s="91">
        <v>210000</v>
      </c>
      <c r="Q10" s="91">
        <f t="shared" si="2"/>
        <v>219356.76</v>
      </c>
      <c r="S10" s="79">
        <v>3061</v>
      </c>
      <c r="T10" s="94">
        <v>4.0091000000000099E-2</v>
      </c>
      <c r="U10" s="91">
        <v>210000</v>
      </c>
      <c r="V10" s="91">
        <f t="shared" si="3"/>
        <v>218419.11000000002</v>
      </c>
      <c r="X10" s="79">
        <v>3059</v>
      </c>
      <c r="Y10" s="94">
        <v>8.265100000000003E-2</v>
      </c>
      <c r="Z10" s="91">
        <v>210000</v>
      </c>
      <c r="AA10" s="91">
        <f t="shared" si="4"/>
        <v>227356.71</v>
      </c>
    </row>
    <row r="11" spans="1:27" x14ac:dyDescent="0.3">
      <c r="A11" s="69">
        <v>3022</v>
      </c>
      <c r="B11" s="70">
        <v>15</v>
      </c>
      <c r="C11" s="86"/>
      <c r="D11" s="79">
        <v>3065</v>
      </c>
      <c r="E11" s="90">
        <v>4.1329999999999999E-2</v>
      </c>
      <c r="F11" s="91">
        <v>220000</v>
      </c>
      <c r="G11" s="91">
        <f t="shared" si="0"/>
        <v>229092.6</v>
      </c>
      <c r="H11" s="85"/>
      <c r="I11" s="79">
        <v>3063</v>
      </c>
      <c r="J11" s="93">
        <v>4.2369999999999998E-2</v>
      </c>
      <c r="K11" s="91">
        <v>220000</v>
      </c>
      <c r="L11" s="91">
        <f t="shared" si="1"/>
        <v>229321.4</v>
      </c>
      <c r="N11" s="79">
        <v>3062</v>
      </c>
      <c r="O11" s="93">
        <v>4.4555999999999998E-2</v>
      </c>
      <c r="P11" s="91">
        <v>220000</v>
      </c>
      <c r="Q11" s="91">
        <f t="shared" si="2"/>
        <v>229802.32</v>
      </c>
      <c r="S11" s="79">
        <v>3061</v>
      </c>
      <c r="T11" s="94">
        <v>4.0091000000000099E-2</v>
      </c>
      <c r="U11" s="91">
        <v>220000</v>
      </c>
      <c r="V11" s="91">
        <f t="shared" si="3"/>
        <v>228820.02000000002</v>
      </c>
      <c r="W11" s="95">
        <f>L11*3</f>
        <v>687964.2</v>
      </c>
      <c r="X11" s="79">
        <v>3059</v>
      </c>
      <c r="Y11" s="94">
        <v>8.265100000000003E-2</v>
      </c>
      <c r="Z11" s="91">
        <v>220000</v>
      </c>
      <c r="AA11" s="91">
        <f t="shared" si="4"/>
        <v>238183.22</v>
      </c>
    </row>
    <row r="12" spans="1:27" x14ac:dyDescent="0.3">
      <c r="A12" s="67">
        <v>575</v>
      </c>
      <c r="B12" s="68">
        <v>58</v>
      </c>
      <c r="C12" s="86"/>
      <c r="D12" s="79">
        <v>3065</v>
      </c>
      <c r="E12" s="90">
        <v>4.1329999999999999E-2</v>
      </c>
      <c r="F12" s="91">
        <v>230000</v>
      </c>
      <c r="G12" s="91">
        <f t="shared" si="0"/>
        <v>239505.90000000002</v>
      </c>
      <c r="H12" s="85"/>
      <c r="I12" s="79">
        <v>3063</v>
      </c>
      <c r="J12" s="93">
        <v>4.2369999999999998E-2</v>
      </c>
      <c r="K12" s="91">
        <v>230000</v>
      </c>
      <c r="L12" s="91">
        <f t="shared" si="1"/>
        <v>239745.1</v>
      </c>
      <c r="N12" s="79">
        <v>3062</v>
      </c>
      <c r="O12" s="93">
        <v>4.4555999999999998E-2</v>
      </c>
      <c r="P12" s="91">
        <v>230000</v>
      </c>
      <c r="Q12" s="91">
        <f t="shared" si="2"/>
        <v>240247.88</v>
      </c>
      <c r="S12" s="79">
        <v>3061</v>
      </c>
      <c r="T12" s="94">
        <v>4.0091000000000099E-2</v>
      </c>
      <c r="U12" s="91">
        <v>230000</v>
      </c>
      <c r="V12" s="91">
        <f t="shared" si="3"/>
        <v>239220.93000000002</v>
      </c>
      <c r="X12" s="79">
        <v>3059</v>
      </c>
      <c r="Y12" s="94">
        <v>8.265100000000003E-2</v>
      </c>
      <c r="Z12" s="91">
        <v>230000</v>
      </c>
      <c r="AA12" s="91">
        <f t="shared" si="4"/>
        <v>249009.73</v>
      </c>
    </row>
    <row r="13" spans="1:27" x14ac:dyDescent="0.3">
      <c r="A13" s="69">
        <v>3052</v>
      </c>
      <c r="B13" s="70">
        <v>149</v>
      </c>
      <c r="C13" s="86"/>
      <c r="D13" s="79">
        <v>3065</v>
      </c>
      <c r="E13" s="90">
        <v>4.1329999999999999E-2</v>
      </c>
      <c r="F13" s="91">
        <v>240000</v>
      </c>
      <c r="G13" s="91">
        <f t="shared" si="0"/>
        <v>249919.2</v>
      </c>
      <c r="H13" s="85"/>
      <c r="I13" s="79">
        <v>3063</v>
      </c>
      <c r="J13" s="93">
        <v>4.2369999999999998E-2</v>
      </c>
      <c r="K13" s="91">
        <v>240000</v>
      </c>
      <c r="L13" s="91">
        <f t="shared" si="1"/>
        <v>250168.80000000002</v>
      </c>
      <c r="N13" s="79">
        <v>3062</v>
      </c>
      <c r="O13" s="93">
        <v>4.4555999999999998E-2</v>
      </c>
      <c r="P13" s="91">
        <v>240000</v>
      </c>
      <c r="Q13" s="91">
        <f t="shared" si="2"/>
        <v>250693.44</v>
      </c>
      <c r="S13" s="79">
        <v>3061</v>
      </c>
      <c r="T13" s="94">
        <v>4.0091000000000099E-2</v>
      </c>
      <c r="U13" s="91">
        <v>240000</v>
      </c>
      <c r="V13" s="91">
        <f t="shared" si="3"/>
        <v>249621.84000000003</v>
      </c>
      <c r="X13" s="79">
        <v>3059</v>
      </c>
      <c r="Y13" s="94">
        <v>8.265100000000003E-2</v>
      </c>
      <c r="Z13" s="91">
        <v>240000</v>
      </c>
      <c r="AA13" s="91">
        <f t="shared" si="4"/>
        <v>259836.24000000002</v>
      </c>
    </row>
    <row r="14" spans="1:27" x14ac:dyDescent="0.3">
      <c r="A14" s="67">
        <v>3017</v>
      </c>
      <c r="B14" s="68">
        <v>12</v>
      </c>
      <c r="C14" s="86"/>
      <c r="D14" s="79">
        <v>3065</v>
      </c>
      <c r="E14" s="90">
        <v>4.1329999999999999E-2</v>
      </c>
      <c r="F14" s="91">
        <v>250000</v>
      </c>
      <c r="G14" s="91">
        <f t="shared" si="0"/>
        <v>260332.50000000003</v>
      </c>
      <c r="H14" s="85"/>
      <c r="I14" s="79">
        <v>3063</v>
      </c>
      <c r="J14" s="93">
        <v>4.2369999999999998E-2</v>
      </c>
      <c r="K14" s="91">
        <v>250000</v>
      </c>
      <c r="L14" s="91">
        <f t="shared" si="1"/>
        <v>260592.5</v>
      </c>
      <c r="N14" s="79">
        <v>3062</v>
      </c>
      <c r="O14" s="93">
        <v>4.4555999999999998E-2</v>
      </c>
      <c r="P14" s="91">
        <v>250000</v>
      </c>
      <c r="Q14" s="91">
        <f t="shared" si="2"/>
        <v>261139</v>
      </c>
      <c r="S14" s="79">
        <v>3061</v>
      </c>
      <c r="T14" s="94">
        <v>4.0091000000000099E-2</v>
      </c>
      <c r="U14" s="91">
        <v>250000</v>
      </c>
      <c r="V14" s="91">
        <f t="shared" si="3"/>
        <v>260022.75000000003</v>
      </c>
      <c r="X14" s="79">
        <v>3059</v>
      </c>
      <c r="Y14" s="94">
        <v>8.265100000000003E-2</v>
      </c>
      <c r="Z14" s="91">
        <v>250000</v>
      </c>
      <c r="AA14" s="91">
        <f>Z14*(1+Y14)</f>
        <v>270662.75</v>
      </c>
    </row>
    <row r="15" spans="1:27" x14ac:dyDescent="0.3">
      <c r="A15" s="69">
        <v>567</v>
      </c>
      <c r="B15" s="70">
        <v>56</v>
      </c>
      <c r="C15" s="86"/>
    </row>
    <row r="16" spans="1:27" x14ac:dyDescent="0.3">
      <c r="A16" s="67">
        <v>3062</v>
      </c>
      <c r="B16" s="68">
        <v>166</v>
      </c>
      <c r="C16" s="86"/>
      <c r="D16" s="92" t="s">
        <v>8</v>
      </c>
      <c r="E16" s="92" t="s">
        <v>50</v>
      </c>
      <c r="F16" s="92" t="s">
        <v>51</v>
      </c>
      <c r="G16" s="92" t="s">
        <v>52</v>
      </c>
      <c r="I16" s="92" t="s">
        <v>8</v>
      </c>
      <c r="J16" s="92" t="s">
        <v>50</v>
      </c>
      <c r="K16" s="92" t="s">
        <v>51</v>
      </c>
      <c r="L16" s="92" t="s">
        <v>52</v>
      </c>
    </row>
    <row r="17" spans="1:12" x14ac:dyDescent="0.3">
      <c r="A17" s="69">
        <v>3063</v>
      </c>
      <c r="B17" s="70">
        <v>167</v>
      </c>
      <c r="C17" s="86"/>
      <c r="D17" s="79">
        <v>3060</v>
      </c>
      <c r="E17" s="90">
        <v>8.265100000000003E-2</v>
      </c>
      <c r="F17" s="91">
        <v>300000</v>
      </c>
      <c r="G17" s="91">
        <f>F17*(1+E17)</f>
        <v>324795.3</v>
      </c>
      <c r="I17" s="79">
        <v>3064</v>
      </c>
      <c r="J17" s="90">
        <v>4.1329999999999999E-2</v>
      </c>
      <c r="K17" s="91">
        <v>300000</v>
      </c>
      <c r="L17" s="91">
        <f>K17*(1+J17)</f>
        <v>312399</v>
      </c>
    </row>
    <row r="18" spans="1:12" x14ac:dyDescent="0.3">
      <c r="A18" s="67">
        <v>586</v>
      </c>
      <c r="B18" s="68">
        <v>60</v>
      </c>
      <c r="C18" s="86"/>
      <c r="D18" s="79">
        <v>3060</v>
      </c>
      <c r="E18" s="90">
        <v>8.265100000000003E-2</v>
      </c>
      <c r="F18" s="91">
        <v>325000</v>
      </c>
      <c r="G18" s="91">
        <f t="shared" ref="G18:G25" si="5">F18*(1+E18)</f>
        <v>351861.57500000001</v>
      </c>
      <c r="I18" s="79">
        <v>3064</v>
      </c>
      <c r="J18" s="90">
        <v>4.1329999999999999E-2</v>
      </c>
      <c r="K18" s="91">
        <v>325000</v>
      </c>
      <c r="L18" s="91">
        <f t="shared" ref="L18:L29" si="6">K18*(1+J18)</f>
        <v>338432.25</v>
      </c>
    </row>
    <row r="19" spans="1:12" x14ac:dyDescent="0.3">
      <c r="A19" s="69">
        <v>3060</v>
      </c>
      <c r="B19" s="70">
        <v>157</v>
      </c>
      <c r="C19" s="86"/>
      <c r="D19" s="79">
        <v>3060</v>
      </c>
      <c r="E19" s="90">
        <v>8.265100000000003E-2</v>
      </c>
      <c r="F19" s="91">
        <v>350000</v>
      </c>
      <c r="G19" s="91">
        <f t="shared" si="5"/>
        <v>378927.85000000003</v>
      </c>
      <c r="I19" s="79">
        <v>3064</v>
      </c>
      <c r="J19" s="90">
        <v>4.1329999999999999E-2</v>
      </c>
      <c r="K19" s="91">
        <v>350000</v>
      </c>
      <c r="L19" s="91">
        <f t="shared" si="6"/>
        <v>364465.50000000006</v>
      </c>
    </row>
    <row r="20" spans="1:12" x14ac:dyDescent="0.3">
      <c r="A20" s="67">
        <v>573</v>
      </c>
      <c r="B20" s="68">
        <v>57</v>
      </c>
      <c r="C20" s="86"/>
      <c r="D20" s="79">
        <v>3060</v>
      </c>
      <c r="E20" s="90">
        <v>8.265100000000003E-2</v>
      </c>
      <c r="F20" s="91">
        <v>375000</v>
      </c>
      <c r="G20" s="91">
        <f t="shared" si="5"/>
        <v>405994.125</v>
      </c>
      <c r="I20" s="79">
        <v>3064</v>
      </c>
      <c r="J20" s="90">
        <v>4.1329999999999999E-2</v>
      </c>
      <c r="K20" s="91">
        <v>375000</v>
      </c>
      <c r="L20" s="91">
        <f t="shared" si="6"/>
        <v>390498.75000000006</v>
      </c>
    </row>
    <row r="21" spans="1:12" x14ac:dyDescent="0.3">
      <c r="A21" s="69">
        <v>581</v>
      </c>
      <c r="B21" s="70">
        <v>59</v>
      </c>
      <c r="C21" s="86"/>
      <c r="D21" s="79">
        <v>3060</v>
      </c>
      <c r="E21" s="90">
        <v>8.265100000000003E-2</v>
      </c>
      <c r="F21" s="91">
        <v>400000</v>
      </c>
      <c r="G21" s="91">
        <f t="shared" si="5"/>
        <v>433060.4</v>
      </c>
      <c r="I21" s="79">
        <v>3064</v>
      </c>
      <c r="J21" s="90">
        <v>4.1329999999999999E-2</v>
      </c>
      <c r="K21" s="91">
        <v>400000</v>
      </c>
      <c r="L21" s="91">
        <f t="shared" si="6"/>
        <v>416532.00000000006</v>
      </c>
    </row>
    <row r="22" spans="1:12" x14ac:dyDescent="0.3">
      <c r="A22" s="67">
        <v>578</v>
      </c>
      <c r="B22" s="68">
        <v>59</v>
      </c>
      <c r="C22" s="86"/>
      <c r="D22" s="79">
        <v>3060</v>
      </c>
      <c r="E22" s="90">
        <v>8.265100000000003E-2</v>
      </c>
      <c r="F22" s="91">
        <v>425000</v>
      </c>
      <c r="G22" s="91">
        <f t="shared" si="5"/>
        <v>460126.67499999999</v>
      </c>
      <c r="I22" s="79">
        <v>3064</v>
      </c>
      <c r="J22" s="90">
        <v>4.1329999999999999E-2</v>
      </c>
      <c r="K22" s="91">
        <v>425000</v>
      </c>
      <c r="L22" s="91">
        <f t="shared" si="6"/>
        <v>442565.25000000006</v>
      </c>
    </row>
    <row r="23" spans="1:12" x14ac:dyDescent="0.3">
      <c r="A23" s="69">
        <v>577</v>
      </c>
      <c r="B23" s="70">
        <v>58</v>
      </c>
      <c r="C23" s="86"/>
      <c r="D23" s="79">
        <v>3060</v>
      </c>
      <c r="E23" s="90">
        <v>8.265100000000003E-2</v>
      </c>
      <c r="F23" s="91">
        <v>450000</v>
      </c>
      <c r="G23" s="91">
        <f t="shared" si="5"/>
        <v>487192.95</v>
      </c>
      <c r="I23" s="79">
        <v>3064</v>
      </c>
      <c r="J23" s="90">
        <v>4.1329999999999999E-2</v>
      </c>
      <c r="K23" s="91">
        <v>450000</v>
      </c>
      <c r="L23" s="91">
        <f t="shared" si="6"/>
        <v>468598.50000000006</v>
      </c>
    </row>
    <row r="24" spans="1:12" x14ac:dyDescent="0.3">
      <c r="A24" s="67">
        <v>617</v>
      </c>
      <c r="B24" s="68">
        <v>67</v>
      </c>
      <c r="C24" s="86"/>
      <c r="D24" s="79">
        <v>3060</v>
      </c>
      <c r="E24" s="90">
        <v>8.265100000000003E-2</v>
      </c>
      <c r="F24" s="91">
        <v>475000</v>
      </c>
      <c r="G24" s="91">
        <f t="shared" si="5"/>
        <v>514259.22500000003</v>
      </c>
      <c r="I24" s="79">
        <v>3064</v>
      </c>
      <c r="J24" s="90">
        <v>4.1329999999999999E-2</v>
      </c>
      <c r="K24" s="91">
        <v>475000</v>
      </c>
      <c r="L24" s="91">
        <f t="shared" si="6"/>
        <v>494631.75000000006</v>
      </c>
    </row>
    <row r="25" spans="1:12" x14ac:dyDescent="0.3">
      <c r="A25" s="69">
        <v>3053</v>
      </c>
      <c r="B25" s="70">
        <v>149</v>
      </c>
      <c r="C25" s="86"/>
      <c r="D25" s="79">
        <v>3060</v>
      </c>
      <c r="E25" s="90">
        <v>8.265100000000003E-2</v>
      </c>
      <c r="F25" s="91">
        <v>500000</v>
      </c>
      <c r="G25" s="91">
        <f t="shared" si="5"/>
        <v>541325.5</v>
      </c>
      <c r="I25" s="79">
        <v>3064</v>
      </c>
      <c r="J25" s="90">
        <v>4.1329999999999999E-2</v>
      </c>
      <c r="K25" s="91">
        <v>500000</v>
      </c>
      <c r="L25" s="91">
        <f t="shared" si="6"/>
        <v>520665.00000000006</v>
      </c>
    </row>
    <row r="26" spans="1:12" x14ac:dyDescent="0.3">
      <c r="A26" s="67">
        <v>583</v>
      </c>
      <c r="B26" s="68">
        <v>60</v>
      </c>
      <c r="C26" s="86"/>
      <c r="D26" s="79"/>
      <c r="E26" s="90"/>
      <c r="F26" s="91"/>
      <c r="G26" s="91"/>
      <c r="I26" s="79">
        <v>3064</v>
      </c>
      <c r="J26" s="90">
        <v>4.1329999999999999E-2</v>
      </c>
      <c r="K26" s="91">
        <v>525000</v>
      </c>
      <c r="L26" s="91">
        <f t="shared" si="6"/>
        <v>546698.25</v>
      </c>
    </row>
    <row r="27" spans="1:12" x14ac:dyDescent="0.3">
      <c r="A27" s="69">
        <v>3065</v>
      </c>
      <c r="B27" s="70">
        <v>169</v>
      </c>
      <c r="C27" s="86"/>
      <c r="D27" s="79"/>
      <c r="E27" s="90"/>
      <c r="F27" s="91"/>
      <c r="G27" s="91"/>
      <c r="I27" s="79">
        <v>3064</v>
      </c>
      <c r="J27" s="90">
        <v>4.1329999999999999E-2</v>
      </c>
      <c r="K27" s="91">
        <v>550000</v>
      </c>
      <c r="L27" s="91">
        <f t="shared" si="6"/>
        <v>572731.5</v>
      </c>
    </row>
    <row r="28" spans="1:12" x14ac:dyDescent="0.3">
      <c r="A28" s="67">
        <v>3054</v>
      </c>
      <c r="B28" s="68">
        <v>151</v>
      </c>
      <c r="C28" s="86"/>
      <c r="D28" s="79"/>
      <c r="E28" s="90"/>
      <c r="F28" s="91"/>
      <c r="G28" s="91"/>
      <c r="I28" s="79">
        <v>3064</v>
      </c>
      <c r="J28" s="90">
        <v>4.1329999999999999E-2</v>
      </c>
      <c r="K28" s="91">
        <v>575000</v>
      </c>
      <c r="L28" s="91">
        <f t="shared" si="6"/>
        <v>598764.75</v>
      </c>
    </row>
    <row r="29" spans="1:12" x14ac:dyDescent="0.3">
      <c r="A29" s="69">
        <v>532</v>
      </c>
      <c r="B29" s="70">
        <v>46</v>
      </c>
      <c r="C29" s="86"/>
      <c r="D29" s="79"/>
      <c r="E29" s="90"/>
      <c r="F29" s="91"/>
      <c r="G29" s="91"/>
      <c r="I29" s="79">
        <v>3064</v>
      </c>
      <c r="J29" s="90">
        <v>4.1329999999999999E-2</v>
      </c>
      <c r="K29" s="91">
        <v>600000</v>
      </c>
      <c r="L29" s="91">
        <f t="shared" si="6"/>
        <v>624798</v>
      </c>
    </row>
    <row r="30" spans="1:12" x14ac:dyDescent="0.3">
      <c r="A30" s="67">
        <v>3047</v>
      </c>
      <c r="B30" s="71">
        <v>146</v>
      </c>
      <c r="C30" s="86"/>
    </row>
    <row r="31" spans="1:12" x14ac:dyDescent="0.3">
      <c r="A31" s="69">
        <v>533</v>
      </c>
      <c r="B31" s="70">
        <v>47</v>
      </c>
      <c r="C31" s="86"/>
    </row>
    <row r="32" spans="1:12" x14ac:dyDescent="0.3">
      <c r="A32" s="67">
        <v>535</v>
      </c>
      <c r="B32" s="68">
        <v>46</v>
      </c>
      <c r="C32" s="86"/>
    </row>
    <row r="33" spans="1:3" x14ac:dyDescent="0.3">
      <c r="A33" s="69">
        <v>3042</v>
      </c>
      <c r="B33" s="70">
        <v>145</v>
      </c>
      <c r="C33" s="86"/>
    </row>
    <row r="34" spans="1:3" x14ac:dyDescent="0.3">
      <c r="A34" s="67">
        <v>530</v>
      </c>
      <c r="B34" s="68">
        <v>46</v>
      </c>
      <c r="C34" s="86"/>
    </row>
    <row r="35" spans="1:3" x14ac:dyDescent="0.3">
      <c r="A35" s="69">
        <v>3045</v>
      </c>
      <c r="B35" s="70">
        <v>146</v>
      </c>
      <c r="C35" s="86"/>
    </row>
    <row r="36" spans="1:3" x14ac:dyDescent="0.3">
      <c r="A36" s="67">
        <v>536</v>
      </c>
      <c r="B36" s="68">
        <v>46</v>
      </c>
      <c r="C36" s="86"/>
    </row>
    <row r="37" spans="1:3" x14ac:dyDescent="0.3">
      <c r="A37" s="69">
        <v>548</v>
      </c>
      <c r="B37" s="70">
        <v>50</v>
      </c>
      <c r="C37" s="86"/>
    </row>
    <row r="38" spans="1:3" x14ac:dyDescent="0.3">
      <c r="A38" s="67">
        <v>3044</v>
      </c>
      <c r="B38" s="68">
        <v>145</v>
      </c>
      <c r="C38" s="86"/>
    </row>
    <row r="39" spans="1:3" x14ac:dyDescent="0.3">
      <c r="A39" s="69">
        <v>3064</v>
      </c>
      <c r="B39" s="70">
        <v>169</v>
      </c>
      <c r="C39" s="86"/>
    </row>
    <row r="40" spans="1:3" x14ac:dyDescent="0.3">
      <c r="A40" s="67">
        <v>623</v>
      </c>
      <c r="B40" s="68">
        <v>68</v>
      </c>
      <c r="C40" s="86"/>
    </row>
    <row r="41" spans="1:3" x14ac:dyDescent="0.3">
      <c r="A41" s="73">
        <v>3059</v>
      </c>
      <c r="B41" s="70">
        <v>157</v>
      </c>
      <c r="C41" s="86"/>
    </row>
    <row r="42" spans="1:3" x14ac:dyDescent="0.3">
      <c r="A42" s="67">
        <v>3061</v>
      </c>
      <c r="B42" s="68">
        <v>165</v>
      </c>
      <c r="C42" s="86"/>
    </row>
    <row r="43" spans="1:3" x14ac:dyDescent="0.3">
      <c r="A43" s="69">
        <v>3037</v>
      </c>
      <c r="B43" s="70">
        <v>143</v>
      </c>
      <c r="C43" s="86"/>
    </row>
    <row r="44" spans="1:3" x14ac:dyDescent="0.3">
      <c r="A44" s="67">
        <v>523</v>
      </c>
      <c r="B44" s="68">
        <v>44</v>
      </c>
      <c r="C44" s="86"/>
    </row>
    <row r="45" spans="1:3" x14ac:dyDescent="0.3">
      <c r="A45" s="69">
        <v>3039</v>
      </c>
      <c r="B45" s="70">
        <v>143</v>
      </c>
      <c r="C45" s="86"/>
    </row>
    <row r="46" spans="1:3" x14ac:dyDescent="0.3">
      <c r="A46" s="67">
        <v>592</v>
      </c>
      <c r="B46" s="71">
        <v>62</v>
      </c>
      <c r="C46" s="86"/>
    </row>
    <row r="47" spans="1:3" x14ac:dyDescent="0.3">
      <c r="A47" s="69">
        <v>598</v>
      </c>
      <c r="B47" s="70">
        <v>65</v>
      </c>
      <c r="C47" s="86"/>
    </row>
    <row r="48" spans="1:3" x14ac:dyDescent="0.3">
      <c r="A48" s="67">
        <v>625</v>
      </c>
      <c r="B48" s="68">
        <v>69</v>
      </c>
      <c r="C48" s="86"/>
    </row>
    <row r="49" spans="1:3" x14ac:dyDescent="0.3">
      <c r="A49" s="69">
        <v>528</v>
      </c>
      <c r="B49" s="70">
        <v>45</v>
      </c>
      <c r="C49" s="86"/>
    </row>
    <row r="50" spans="1:3" x14ac:dyDescent="0.3">
      <c r="A50" s="67">
        <v>589</v>
      </c>
      <c r="B50" s="68">
        <v>61</v>
      </c>
      <c r="C50" s="86"/>
    </row>
    <row r="51" spans="1:3" x14ac:dyDescent="0.3">
      <c r="A51" s="69">
        <v>3043</v>
      </c>
      <c r="B51" s="70">
        <v>145</v>
      </c>
      <c r="C51" s="86"/>
    </row>
    <row r="52" spans="1:3" x14ac:dyDescent="0.3">
      <c r="A52" s="67">
        <v>594</v>
      </c>
      <c r="B52" s="68">
        <v>63</v>
      </c>
      <c r="C52" s="86"/>
    </row>
    <row r="53" spans="1:3" x14ac:dyDescent="0.3">
      <c r="A53" s="69">
        <v>571</v>
      </c>
      <c r="B53" s="70">
        <v>58</v>
      </c>
      <c r="C53" s="86"/>
    </row>
    <row r="54" spans="1:3" x14ac:dyDescent="0.3">
      <c r="A54" s="67">
        <v>3040</v>
      </c>
      <c r="B54" s="68">
        <v>144</v>
      </c>
      <c r="C54" s="86"/>
    </row>
    <row r="55" spans="1:3" x14ac:dyDescent="0.3">
      <c r="A55" s="69">
        <v>529</v>
      </c>
      <c r="B55" s="70">
        <v>45</v>
      </c>
      <c r="C55" s="86"/>
    </row>
    <row r="56" spans="1:3" x14ac:dyDescent="0.3">
      <c r="A56" s="67">
        <v>521</v>
      </c>
      <c r="B56" s="68">
        <v>44</v>
      </c>
      <c r="C56" s="86"/>
    </row>
    <row r="57" spans="1:3" x14ac:dyDescent="0.3">
      <c r="A57" s="69">
        <v>3051</v>
      </c>
      <c r="B57" s="70">
        <v>148</v>
      </c>
      <c r="C57" s="86"/>
    </row>
    <row r="58" spans="1:3" x14ac:dyDescent="0.3">
      <c r="A58" s="67">
        <v>440</v>
      </c>
      <c r="B58" s="68">
        <v>35</v>
      </c>
      <c r="C58" s="86"/>
    </row>
    <row r="59" spans="1:3" x14ac:dyDescent="0.3">
      <c r="A59" s="69">
        <v>524</v>
      </c>
      <c r="B59" s="70">
        <v>45</v>
      </c>
      <c r="C59" s="86"/>
    </row>
    <row r="60" spans="1:3" x14ac:dyDescent="0.3">
      <c r="A60" s="67">
        <v>413</v>
      </c>
      <c r="B60" s="68">
        <v>33</v>
      </c>
      <c r="C60" s="86"/>
    </row>
    <row r="61" spans="1:3" x14ac:dyDescent="0.3">
      <c r="A61" s="69">
        <v>495</v>
      </c>
      <c r="B61" s="70">
        <v>41</v>
      </c>
      <c r="C61" s="86"/>
    </row>
    <row r="62" spans="1:3" x14ac:dyDescent="0.3">
      <c r="A62" s="67">
        <v>492</v>
      </c>
      <c r="B62" s="68">
        <v>39</v>
      </c>
      <c r="C62" s="86"/>
    </row>
    <row r="63" spans="1:3" x14ac:dyDescent="0.3">
      <c r="A63" s="69">
        <v>411</v>
      </c>
      <c r="B63" s="70">
        <v>33</v>
      </c>
      <c r="C63" s="86"/>
    </row>
    <row r="64" spans="1:3" x14ac:dyDescent="0.3">
      <c r="A64" s="67">
        <v>557</v>
      </c>
      <c r="B64" s="68">
        <v>53</v>
      </c>
      <c r="C64" s="86"/>
    </row>
    <row r="65" spans="1:3" x14ac:dyDescent="0.3">
      <c r="A65" s="69">
        <v>527</v>
      </c>
      <c r="B65" s="70">
        <v>45</v>
      </c>
      <c r="C65" s="86"/>
    </row>
    <row r="66" spans="1:3" x14ac:dyDescent="0.3">
      <c r="A66" s="67">
        <v>515</v>
      </c>
      <c r="B66" s="68">
        <v>44</v>
      </c>
      <c r="C66" s="86"/>
    </row>
    <row r="67" spans="1:3" x14ac:dyDescent="0.3">
      <c r="A67" s="69">
        <v>522</v>
      </c>
      <c r="B67" s="70">
        <v>44</v>
      </c>
      <c r="C67" s="86"/>
    </row>
    <row r="68" spans="1:3" x14ac:dyDescent="0.3">
      <c r="A68" s="67">
        <v>496</v>
      </c>
      <c r="B68" s="68">
        <v>40</v>
      </c>
      <c r="C68" s="86"/>
    </row>
    <row r="69" spans="1:3" x14ac:dyDescent="0.3">
      <c r="A69" s="69">
        <v>461</v>
      </c>
      <c r="B69" s="72">
        <v>37</v>
      </c>
      <c r="C69" s="86"/>
    </row>
    <row r="70" spans="1:3" x14ac:dyDescent="0.3">
      <c r="A70" s="67">
        <v>629</v>
      </c>
      <c r="B70" s="68">
        <v>70</v>
      </c>
      <c r="C70" s="86"/>
    </row>
    <row r="71" spans="1:3" x14ac:dyDescent="0.3">
      <c r="A71" s="69">
        <v>519</v>
      </c>
      <c r="B71" s="70">
        <v>43</v>
      </c>
      <c r="C71" s="86"/>
    </row>
    <row r="72" spans="1:3" x14ac:dyDescent="0.3">
      <c r="A72" s="67">
        <v>537</v>
      </c>
      <c r="B72" s="68">
        <v>47</v>
      </c>
      <c r="C72" s="86"/>
    </row>
    <row r="73" spans="1:3" x14ac:dyDescent="0.3">
      <c r="A73" s="69">
        <v>494</v>
      </c>
      <c r="B73" s="70">
        <v>40</v>
      </c>
      <c r="C73" s="86"/>
    </row>
    <row r="74" spans="1:3" x14ac:dyDescent="0.3">
      <c r="A74" s="67">
        <v>436</v>
      </c>
      <c r="B74" s="68">
        <v>34</v>
      </c>
      <c r="C74" s="86"/>
    </row>
    <row r="75" spans="1:3" x14ac:dyDescent="0.3">
      <c r="A75" s="69">
        <v>544</v>
      </c>
      <c r="B75" s="70">
        <v>48</v>
      </c>
      <c r="C75" s="86"/>
    </row>
    <row r="76" spans="1:3" x14ac:dyDescent="0.3">
      <c r="A76" s="67">
        <v>3048</v>
      </c>
      <c r="B76" s="68">
        <v>147</v>
      </c>
      <c r="C76" s="86"/>
    </row>
    <row r="77" spans="1:3" x14ac:dyDescent="0.3">
      <c r="A77" s="69">
        <v>401</v>
      </c>
      <c r="B77" s="70">
        <v>33</v>
      </c>
      <c r="C77" s="86"/>
    </row>
    <row r="78" spans="1:3" x14ac:dyDescent="0.3">
      <c r="A78" s="67">
        <v>3046</v>
      </c>
      <c r="B78" s="68">
        <v>146</v>
      </c>
      <c r="C78" s="86"/>
    </row>
    <row r="79" spans="1:3" x14ac:dyDescent="0.3">
      <c r="A79" s="69">
        <v>3035</v>
      </c>
      <c r="B79" s="70">
        <v>58</v>
      </c>
      <c r="C79" s="86"/>
    </row>
    <row r="80" spans="1:3" x14ac:dyDescent="0.3">
      <c r="A80" s="67">
        <v>358</v>
      </c>
      <c r="B80" s="68">
        <v>31</v>
      </c>
      <c r="C80" s="86"/>
    </row>
    <row r="81" spans="1:3" x14ac:dyDescent="0.3">
      <c r="A81" s="69">
        <v>3041</v>
      </c>
      <c r="B81" s="70">
        <v>144</v>
      </c>
      <c r="C81" s="86"/>
    </row>
    <row r="82" spans="1:3" x14ac:dyDescent="0.3">
      <c r="A82" s="67">
        <v>3036</v>
      </c>
      <c r="B82" s="68">
        <v>142</v>
      </c>
      <c r="C82" s="86"/>
    </row>
    <row r="83" spans="1:3" x14ac:dyDescent="0.3">
      <c r="A83" s="69">
        <v>618</v>
      </c>
      <c r="B83" s="70">
        <v>67</v>
      </c>
      <c r="C83" s="86"/>
    </row>
    <row r="84" spans="1:3" x14ac:dyDescent="0.3">
      <c r="A84" s="67">
        <v>388</v>
      </c>
      <c r="B84" s="68">
        <v>33</v>
      </c>
      <c r="C84" s="86"/>
    </row>
    <row r="85" spans="1:3" x14ac:dyDescent="0.3">
      <c r="A85" s="69">
        <v>5011</v>
      </c>
      <c r="B85" s="70">
        <v>78</v>
      </c>
      <c r="C85" s="86"/>
    </row>
    <row r="86" spans="1:3" x14ac:dyDescent="0.3">
      <c r="A86" s="67">
        <v>480</v>
      </c>
      <c r="B86" s="68">
        <v>39</v>
      </c>
      <c r="C86" s="86"/>
    </row>
    <row r="87" spans="1:3" x14ac:dyDescent="0.3">
      <c r="A87" s="69">
        <v>590</v>
      </c>
      <c r="B87" s="70">
        <v>62</v>
      </c>
      <c r="C87" s="86"/>
    </row>
    <row r="88" spans="1:3" x14ac:dyDescent="0.3">
      <c r="A88" s="67">
        <v>2074</v>
      </c>
      <c r="B88" s="68">
        <v>29</v>
      </c>
      <c r="C88" s="86"/>
    </row>
    <row r="89" spans="1:3" x14ac:dyDescent="0.3">
      <c r="A89" s="69">
        <v>597</v>
      </c>
      <c r="B89" s="70">
        <v>63</v>
      </c>
      <c r="C89" s="86"/>
    </row>
    <row r="90" spans="1:3" x14ac:dyDescent="0.3">
      <c r="A90" s="67">
        <v>3055</v>
      </c>
      <c r="B90" s="68">
        <v>151</v>
      </c>
      <c r="C90" s="86"/>
    </row>
    <row r="91" spans="1:3" x14ac:dyDescent="0.3">
      <c r="A91" s="69">
        <v>565</v>
      </c>
      <c r="B91" s="70">
        <v>56</v>
      </c>
      <c r="C91" s="86"/>
    </row>
    <row r="92" spans="1:3" x14ac:dyDescent="0.3">
      <c r="A92" s="67">
        <v>566</v>
      </c>
      <c r="B92" s="68">
        <v>56</v>
      </c>
      <c r="C92" s="86"/>
    </row>
    <row r="93" spans="1:3" x14ac:dyDescent="0.3">
      <c r="A93" s="69">
        <v>569</v>
      </c>
      <c r="B93" s="70">
        <v>57</v>
      </c>
      <c r="C93" s="86"/>
    </row>
    <row r="94" spans="1:3" x14ac:dyDescent="0.3">
      <c r="A94" s="67">
        <v>570</v>
      </c>
      <c r="B94" s="68">
        <v>59</v>
      </c>
      <c r="C94" s="86"/>
    </row>
    <row r="95" spans="1:3" x14ac:dyDescent="0.3">
      <c r="A95" s="69">
        <v>574</v>
      </c>
      <c r="B95" s="70">
        <v>58</v>
      </c>
      <c r="C95" s="86"/>
    </row>
    <row r="96" spans="1:3" x14ac:dyDescent="0.3">
      <c r="A96" s="67">
        <v>576</v>
      </c>
      <c r="B96" s="68">
        <v>58</v>
      </c>
      <c r="C96" s="86"/>
    </row>
    <row r="97" spans="1:3" x14ac:dyDescent="0.3">
      <c r="A97" s="69">
        <v>5012</v>
      </c>
      <c r="B97" s="70">
        <v>88</v>
      </c>
      <c r="C97" s="86"/>
    </row>
    <row r="98" spans="1:3" x14ac:dyDescent="0.3">
      <c r="A98" s="67">
        <v>579</v>
      </c>
      <c r="B98" s="68">
        <v>60</v>
      </c>
      <c r="C98" s="86"/>
    </row>
    <row r="99" spans="1:3" x14ac:dyDescent="0.3">
      <c r="A99" s="69">
        <v>580</v>
      </c>
      <c r="B99" s="70">
        <v>59</v>
      </c>
      <c r="C99" s="86"/>
    </row>
    <row r="100" spans="1:3" x14ac:dyDescent="0.3">
      <c r="A100" s="67">
        <v>582</v>
      </c>
      <c r="B100" s="68">
        <v>59</v>
      </c>
      <c r="C100" s="86"/>
    </row>
    <row r="101" spans="1:3" x14ac:dyDescent="0.3">
      <c r="A101" s="69">
        <v>584</v>
      </c>
      <c r="B101" s="70">
        <v>60</v>
      </c>
      <c r="C101" s="86"/>
    </row>
    <row r="102" spans="1:3" x14ac:dyDescent="0.3">
      <c r="A102" s="67">
        <v>585</v>
      </c>
      <c r="B102" s="68">
        <v>60</v>
      </c>
      <c r="C102" s="86"/>
    </row>
    <row r="103" spans="1:3" x14ac:dyDescent="0.3">
      <c r="A103" s="69">
        <v>587</v>
      </c>
      <c r="B103" s="70">
        <v>61</v>
      </c>
      <c r="C103" s="86"/>
    </row>
    <row r="104" spans="1:3" x14ac:dyDescent="0.3">
      <c r="A104" s="67">
        <v>588</v>
      </c>
      <c r="B104" s="68">
        <v>61</v>
      </c>
      <c r="C104" s="86"/>
    </row>
    <row r="105" spans="1:3" x14ac:dyDescent="0.3">
      <c r="A105" s="69">
        <v>591</v>
      </c>
      <c r="B105" s="70">
        <v>62</v>
      </c>
      <c r="C105" s="86"/>
    </row>
    <row r="106" spans="1:3" x14ac:dyDescent="0.3">
      <c r="A106" s="67">
        <v>593</v>
      </c>
      <c r="B106" s="68">
        <v>62</v>
      </c>
      <c r="C106" s="86"/>
    </row>
    <row r="107" spans="1:3" x14ac:dyDescent="0.3">
      <c r="A107" s="69">
        <v>595</v>
      </c>
      <c r="B107" s="70">
        <v>63</v>
      </c>
      <c r="C107" s="86"/>
    </row>
    <row r="108" spans="1:3" x14ac:dyDescent="0.3">
      <c r="A108" s="67">
        <v>596</v>
      </c>
      <c r="B108" s="68">
        <v>63</v>
      </c>
      <c r="C108" s="86"/>
    </row>
    <row r="109" spans="1:3" x14ac:dyDescent="0.3">
      <c r="A109" s="69">
        <v>599</v>
      </c>
      <c r="B109" s="70">
        <v>64</v>
      </c>
      <c r="C109" s="86"/>
    </row>
    <row r="110" spans="1:3" x14ac:dyDescent="0.3">
      <c r="A110" s="67">
        <v>609</v>
      </c>
      <c r="B110" s="71">
        <v>64</v>
      </c>
      <c r="C110" s="86"/>
    </row>
    <row r="111" spans="1:3" x14ac:dyDescent="0.3">
      <c r="A111" s="69">
        <v>610</v>
      </c>
      <c r="B111" s="70">
        <v>64</v>
      </c>
      <c r="C111" s="86"/>
    </row>
    <row r="112" spans="1:3" x14ac:dyDescent="0.3">
      <c r="A112" s="67">
        <v>611</v>
      </c>
      <c r="B112" s="68">
        <v>65</v>
      </c>
      <c r="C112" s="86"/>
    </row>
    <row r="113" spans="1:3" x14ac:dyDescent="0.3">
      <c r="A113" s="69">
        <v>612</v>
      </c>
      <c r="B113" s="70">
        <v>65</v>
      </c>
      <c r="C113" s="86"/>
    </row>
    <row r="114" spans="1:3" x14ac:dyDescent="0.3">
      <c r="A114" s="67">
        <v>5013</v>
      </c>
      <c r="B114" s="68">
        <v>94</v>
      </c>
      <c r="C114" s="86"/>
    </row>
    <row r="115" spans="1:3" x14ac:dyDescent="0.3">
      <c r="A115" s="69">
        <v>613</v>
      </c>
      <c r="B115" s="70">
        <v>65</v>
      </c>
      <c r="C115" s="86"/>
    </row>
    <row r="116" spans="1:3" x14ac:dyDescent="0.3">
      <c r="A116" s="73">
        <v>614</v>
      </c>
      <c r="B116" s="68">
        <v>66</v>
      </c>
      <c r="C116" s="86"/>
    </row>
    <row r="117" spans="1:3" x14ac:dyDescent="0.3">
      <c r="A117" s="69">
        <v>615</v>
      </c>
      <c r="B117" s="70">
        <v>66</v>
      </c>
      <c r="C117" s="86"/>
    </row>
    <row r="118" spans="1:3" x14ac:dyDescent="0.3">
      <c r="A118" s="67">
        <v>616</v>
      </c>
      <c r="B118" s="71">
        <v>67</v>
      </c>
      <c r="C118" s="86"/>
    </row>
    <row r="119" spans="1:3" x14ac:dyDescent="0.3">
      <c r="A119" s="69">
        <v>619</v>
      </c>
      <c r="B119" s="70">
        <v>68</v>
      </c>
      <c r="C119" s="86"/>
    </row>
    <row r="120" spans="1:3" x14ac:dyDescent="0.3">
      <c r="A120" s="67">
        <v>620</v>
      </c>
      <c r="B120" s="68">
        <v>68</v>
      </c>
      <c r="C120" s="86"/>
    </row>
    <row r="121" spans="1:3" x14ac:dyDescent="0.3">
      <c r="A121" s="69">
        <v>622</v>
      </c>
      <c r="B121" s="70">
        <v>68</v>
      </c>
      <c r="C121" s="86"/>
    </row>
    <row r="122" spans="1:3" x14ac:dyDescent="0.3">
      <c r="A122" s="67">
        <v>624</v>
      </c>
      <c r="B122" s="68">
        <v>69</v>
      </c>
      <c r="C122" s="86"/>
    </row>
    <row r="123" spans="1:3" x14ac:dyDescent="0.3">
      <c r="A123" s="69">
        <v>626</v>
      </c>
      <c r="B123" s="70">
        <v>69</v>
      </c>
      <c r="C123" s="86"/>
    </row>
    <row r="124" spans="1:3" x14ac:dyDescent="0.3">
      <c r="A124" s="67">
        <v>389</v>
      </c>
      <c r="B124" s="68">
        <v>32</v>
      </c>
      <c r="C124" s="86"/>
    </row>
    <row r="125" spans="1:3" x14ac:dyDescent="0.3">
      <c r="A125" s="69">
        <v>390</v>
      </c>
      <c r="B125" s="70">
        <v>32</v>
      </c>
      <c r="C125" s="86"/>
    </row>
    <row r="126" spans="1:3" x14ac:dyDescent="0.3">
      <c r="A126" s="67">
        <v>391</v>
      </c>
      <c r="B126" s="68">
        <v>32</v>
      </c>
      <c r="C126" s="86"/>
    </row>
    <row r="127" spans="1:3" x14ac:dyDescent="0.3">
      <c r="A127" s="69">
        <v>392</v>
      </c>
      <c r="B127" s="70">
        <v>32</v>
      </c>
      <c r="C127" s="86"/>
    </row>
    <row r="128" spans="1:3" x14ac:dyDescent="0.3">
      <c r="A128" s="67">
        <v>393</v>
      </c>
      <c r="B128" s="68">
        <v>32</v>
      </c>
      <c r="C128" s="86"/>
    </row>
    <row r="129" spans="1:3" x14ac:dyDescent="0.3">
      <c r="A129" s="69">
        <v>394</v>
      </c>
      <c r="B129" s="70">
        <v>32</v>
      </c>
      <c r="C129" s="86"/>
    </row>
    <row r="130" spans="1:3" x14ac:dyDescent="0.3">
      <c r="A130" s="67">
        <v>395</v>
      </c>
      <c r="B130" s="68">
        <v>33</v>
      </c>
      <c r="C130" s="86"/>
    </row>
    <row r="131" spans="1:3" x14ac:dyDescent="0.3">
      <c r="A131" s="69">
        <v>396</v>
      </c>
      <c r="B131" s="70">
        <v>33</v>
      </c>
      <c r="C131" s="86"/>
    </row>
    <row r="132" spans="1:3" x14ac:dyDescent="0.3">
      <c r="A132" s="73">
        <v>397</v>
      </c>
      <c r="B132" s="68">
        <v>33</v>
      </c>
      <c r="C132" s="86"/>
    </row>
    <row r="133" spans="1:3" x14ac:dyDescent="0.3">
      <c r="A133" s="69">
        <v>398</v>
      </c>
      <c r="B133" s="70">
        <v>33</v>
      </c>
      <c r="C133" s="86"/>
    </row>
    <row r="134" spans="1:3" x14ac:dyDescent="0.3">
      <c r="A134" s="67">
        <v>399</v>
      </c>
      <c r="B134" s="68">
        <v>33</v>
      </c>
      <c r="C134" s="86"/>
    </row>
    <row r="135" spans="1:3" x14ac:dyDescent="0.3">
      <c r="A135" s="69">
        <v>400</v>
      </c>
      <c r="B135" s="70">
        <v>33</v>
      </c>
      <c r="C135" s="86"/>
    </row>
    <row r="136" spans="1:3" x14ac:dyDescent="0.3">
      <c r="A136" s="67">
        <v>402</v>
      </c>
      <c r="B136" s="71">
        <v>33</v>
      </c>
      <c r="C136" s="86"/>
    </row>
    <row r="137" spans="1:3" x14ac:dyDescent="0.3">
      <c r="A137" s="69">
        <v>403</v>
      </c>
      <c r="B137" s="70">
        <v>33</v>
      </c>
      <c r="C137" s="86"/>
    </row>
    <row r="138" spans="1:3" x14ac:dyDescent="0.3">
      <c r="A138" s="67">
        <v>404</v>
      </c>
      <c r="B138" s="68">
        <v>33</v>
      </c>
      <c r="C138" s="86"/>
    </row>
    <row r="139" spans="1:3" x14ac:dyDescent="0.3">
      <c r="A139" s="69">
        <v>405</v>
      </c>
      <c r="B139" s="70">
        <v>33</v>
      </c>
      <c r="C139" s="86"/>
    </row>
    <row r="140" spans="1:3" x14ac:dyDescent="0.3">
      <c r="A140" s="73">
        <v>406</v>
      </c>
      <c r="B140" s="68">
        <v>33</v>
      </c>
      <c r="C140" s="86"/>
    </row>
    <row r="141" spans="1:3" x14ac:dyDescent="0.3">
      <c r="A141" s="69">
        <v>407</v>
      </c>
      <c r="B141" s="70">
        <v>34</v>
      </c>
      <c r="C141" s="86"/>
    </row>
    <row r="142" spans="1:3" x14ac:dyDescent="0.3">
      <c r="A142" s="67">
        <v>408</v>
      </c>
      <c r="B142" s="68">
        <v>33</v>
      </c>
      <c r="C142" s="86"/>
    </row>
    <row r="143" spans="1:3" x14ac:dyDescent="0.3">
      <c r="A143" s="69">
        <v>409</v>
      </c>
      <c r="B143" s="70">
        <v>33</v>
      </c>
      <c r="C143" s="86"/>
    </row>
    <row r="144" spans="1:3" x14ac:dyDescent="0.3">
      <c r="A144" s="67">
        <v>410</v>
      </c>
      <c r="B144" s="68">
        <v>33</v>
      </c>
      <c r="C144" s="86"/>
    </row>
    <row r="145" spans="1:3" x14ac:dyDescent="0.3">
      <c r="A145" s="69">
        <v>499</v>
      </c>
      <c r="B145" s="70">
        <v>41</v>
      </c>
      <c r="C145" s="86"/>
    </row>
    <row r="146" spans="1:3" x14ac:dyDescent="0.3">
      <c r="A146" s="67">
        <v>5008</v>
      </c>
      <c r="B146" s="68">
        <v>70</v>
      </c>
      <c r="C146" s="86"/>
    </row>
    <row r="147" spans="1:3" x14ac:dyDescent="0.3">
      <c r="A147" s="69">
        <v>508</v>
      </c>
      <c r="B147" s="70">
        <v>41</v>
      </c>
      <c r="C147" s="86"/>
    </row>
    <row r="148" spans="1:3" x14ac:dyDescent="0.3">
      <c r="A148" s="67">
        <v>509</v>
      </c>
      <c r="B148" s="68">
        <v>41</v>
      </c>
      <c r="C148" s="86"/>
    </row>
    <row r="149" spans="1:3" x14ac:dyDescent="0.3">
      <c r="A149" s="69">
        <v>510</v>
      </c>
      <c r="B149" s="70">
        <v>42</v>
      </c>
      <c r="C149" s="86"/>
    </row>
    <row r="150" spans="1:3" x14ac:dyDescent="0.3">
      <c r="A150" s="67">
        <v>511</v>
      </c>
      <c r="B150" s="68">
        <v>42</v>
      </c>
      <c r="C150" s="86"/>
    </row>
    <row r="151" spans="1:3" x14ac:dyDescent="0.3">
      <c r="A151" s="69">
        <v>512</v>
      </c>
      <c r="B151" s="70">
        <v>42</v>
      </c>
      <c r="C151" s="86"/>
    </row>
    <row r="152" spans="1:3" x14ac:dyDescent="0.3">
      <c r="A152" s="67">
        <v>513</v>
      </c>
      <c r="B152" s="68">
        <v>42</v>
      </c>
      <c r="C152" s="86"/>
    </row>
    <row r="153" spans="1:3" x14ac:dyDescent="0.3">
      <c r="A153" s="69">
        <v>514</v>
      </c>
      <c r="B153" s="70">
        <v>43</v>
      </c>
      <c r="C153" s="86"/>
    </row>
    <row r="154" spans="1:3" x14ac:dyDescent="0.3">
      <c r="A154" s="67">
        <v>516</v>
      </c>
      <c r="B154" s="68">
        <v>42</v>
      </c>
      <c r="C154" s="86"/>
    </row>
    <row r="155" spans="1:3" x14ac:dyDescent="0.3">
      <c r="A155" s="69">
        <v>517</v>
      </c>
      <c r="B155" s="70">
        <v>43</v>
      </c>
      <c r="C155" s="86"/>
    </row>
    <row r="156" spans="1:3" x14ac:dyDescent="0.3">
      <c r="A156" s="67">
        <v>518</v>
      </c>
      <c r="B156" s="68">
        <v>43</v>
      </c>
      <c r="C156" s="86"/>
    </row>
    <row r="157" spans="1:3" x14ac:dyDescent="0.3">
      <c r="A157" s="69">
        <v>5009</v>
      </c>
      <c r="B157" s="70">
        <v>73</v>
      </c>
      <c r="C157" s="86"/>
    </row>
    <row r="158" spans="1:3" x14ac:dyDescent="0.3">
      <c r="A158" s="67">
        <v>520</v>
      </c>
      <c r="B158" s="68">
        <v>44</v>
      </c>
      <c r="C158" s="86"/>
    </row>
    <row r="159" spans="1:3" x14ac:dyDescent="0.3">
      <c r="A159" s="69">
        <v>525</v>
      </c>
      <c r="B159" s="72">
        <v>46</v>
      </c>
      <c r="C159" s="86"/>
    </row>
    <row r="160" spans="1:3" x14ac:dyDescent="0.3">
      <c r="A160" s="67">
        <v>526</v>
      </c>
      <c r="B160" s="68">
        <v>46</v>
      </c>
      <c r="C160" s="86"/>
    </row>
    <row r="161" spans="1:3" x14ac:dyDescent="0.3">
      <c r="A161" s="69">
        <v>5010</v>
      </c>
      <c r="B161" s="70">
        <v>75</v>
      </c>
      <c r="C161" s="86"/>
    </row>
    <row r="162" spans="1:3" x14ac:dyDescent="0.3">
      <c r="A162" s="67">
        <v>531</v>
      </c>
      <c r="B162" s="68">
        <v>47</v>
      </c>
      <c r="C162" s="86"/>
    </row>
    <row r="163" spans="1:3" x14ac:dyDescent="0.3">
      <c r="A163" s="69">
        <v>534</v>
      </c>
      <c r="B163" s="70">
        <v>47</v>
      </c>
      <c r="C163" s="86"/>
    </row>
    <row r="164" spans="1:3" x14ac:dyDescent="0.3">
      <c r="A164" s="67">
        <v>538</v>
      </c>
      <c r="B164" s="68">
        <v>47</v>
      </c>
      <c r="C164" s="86"/>
    </row>
    <row r="165" spans="1:3" x14ac:dyDescent="0.3">
      <c r="A165" s="69">
        <v>539</v>
      </c>
      <c r="B165" s="70">
        <v>47</v>
      </c>
      <c r="C165" s="86"/>
    </row>
    <row r="166" spans="1:3" x14ac:dyDescent="0.3">
      <c r="A166" s="67">
        <v>540</v>
      </c>
      <c r="B166" s="68">
        <v>49</v>
      </c>
      <c r="C166" s="86"/>
    </row>
    <row r="167" spans="1:3" x14ac:dyDescent="0.3">
      <c r="A167" s="69">
        <v>541</v>
      </c>
      <c r="B167" s="70">
        <v>48</v>
      </c>
      <c r="C167" s="86"/>
    </row>
    <row r="168" spans="1:3" x14ac:dyDescent="0.3">
      <c r="A168" s="67">
        <v>542</v>
      </c>
      <c r="B168" s="68">
        <v>48</v>
      </c>
      <c r="C168" s="86"/>
    </row>
    <row r="169" spans="1:3" x14ac:dyDescent="0.3">
      <c r="A169" s="69">
        <v>543</v>
      </c>
      <c r="B169" s="70">
        <v>49</v>
      </c>
      <c r="C169" s="86"/>
    </row>
    <row r="170" spans="1:3" x14ac:dyDescent="0.3">
      <c r="A170" s="67">
        <v>545</v>
      </c>
      <c r="B170" s="68">
        <v>49</v>
      </c>
      <c r="C170" s="86"/>
    </row>
    <row r="171" spans="1:3" x14ac:dyDescent="0.3">
      <c r="A171" s="69">
        <v>546</v>
      </c>
      <c r="B171" s="70">
        <v>49</v>
      </c>
      <c r="C171" s="86"/>
    </row>
    <row r="172" spans="1:3" x14ac:dyDescent="0.3">
      <c r="A172" s="67">
        <v>547</v>
      </c>
      <c r="B172" s="68">
        <v>50</v>
      </c>
      <c r="C172" s="86"/>
    </row>
    <row r="173" spans="1:3" x14ac:dyDescent="0.3">
      <c r="A173" s="69">
        <v>549</v>
      </c>
      <c r="B173" s="70">
        <v>50</v>
      </c>
      <c r="C173" s="86"/>
    </row>
    <row r="174" spans="1:3" x14ac:dyDescent="0.3">
      <c r="A174" s="67">
        <v>550</v>
      </c>
      <c r="B174" s="68">
        <v>52</v>
      </c>
      <c r="C174" s="86"/>
    </row>
    <row r="175" spans="1:3" x14ac:dyDescent="0.3">
      <c r="A175" s="69">
        <v>551</v>
      </c>
      <c r="B175" s="70">
        <v>51</v>
      </c>
      <c r="C175" s="86"/>
    </row>
    <row r="176" spans="1:3" x14ac:dyDescent="0.3">
      <c r="A176" s="67">
        <v>552</v>
      </c>
      <c r="B176" s="68">
        <v>52</v>
      </c>
      <c r="C176" s="86"/>
    </row>
    <row r="177" spans="1:3" x14ac:dyDescent="0.3">
      <c r="A177" s="69">
        <v>553</v>
      </c>
      <c r="B177" s="70">
        <v>51</v>
      </c>
      <c r="C177" s="86"/>
    </row>
    <row r="178" spans="1:3" x14ac:dyDescent="0.3">
      <c r="A178" s="67">
        <v>554</v>
      </c>
      <c r="B178" s="68">
        <v>52</v>
      </c>
      <c r="C178" s="86"/>
    </row>
    <row r="179" spans="1:3" x14ac:dyDescent="0.3">
      <c r="A179" s="69">
        <v>555</v>
      </c>
      <c r="B179" s="70">
        <v>52</v>
      </c>
      <c r="C179" s="86"/>
    </row>
    <row r="180" spans="1:3" x14ac:dyDescent="0.3">
      <c r="A180" s="67">
        <v>556</v>
      </c>
      <c r="B180" s="68">
        <v>52</v>
      </c>
      <c r="C180" s="86"/>
    </row>
    <row r="181" spans="1:3" x14ac:dyDescent="0.3">
      <c r="A181" s="69">
        <v>558</v>
      </c>
      <c r="B181" s="70">
        <v>54</v>
      </c>
      <c r="C181" s="86"/>
    </row>
    <row r="182" spans="1:3" x14ac:dyDescent="0.3">
      <c r="A182" s="67">
        <v>559</v>
      </c>
      <c r="B182" s="68">
        <v>53</v>
      </c>
      <c r="C182" s="86"/>
    </row>
    <row r="183" spans="1:3" x14ac:dyDescent="0.3">
      <c r="A183" s="69">
        <v>560</v>
      </c>
      <c r="B183" s="70">
        <v>54</v>
      </c>
      <c r="C183" s="86"/>
    </row>
    <row r="184" spans="1:3" x14ac:dyDescent="0.3">
      <c r="A184" s="67">
        <v>561</v>
      </c>
      <c r="B184" s="68">
        <v>55</v>
      </c>
      <c r="C184" s="86"/>
    </row>
    <row r="185" spans="1:3" x14ac:dyDescent="0.3">
      <c r="A185" s="69">
        <v>562</v>
      </c>
      <c r="B185" s="70">
        <v>55</v>
      </c>
      <c r="C185" s="86"/>
    </row>
    <row r="186" spans="1:3" x14ac:dyDescent="0.3">
      <c r="A186" s="67">
        <v>563</v>
      </c>
      <c r="B186" s="68">
        <v>55</v>
      </c>
      <c r="C186" s="86"/>
    </row>
    <row r="187" spans="1:3" x14ac:dyDescent="0.3">
      <c r="A187" s="69">
        <v>564</v>
      </c>
      <c r="B187" s="70">
        <v>56</v>
      </c>
      <c r="C187" s="86"/>
    </row>
    <row r="188" spans="1:3" x14ac:dyDescent="0.3">
      <c r="A188" s="67">
        <v>3049</v>
      </c>
      <c r="B188" s="68">
        <v>147</v>
      </c>
      <c r="C188" s="86"/>
    </row>
    <row r="189" spans="1:3" x14ac:dyDescent="0.3">
      <c r="A189" s="69">
        <v>479</v>
      </c>
      <c r="B189" s="70">
        <v>39</v>
      </c>
      <c r="C189" s="86"/>
    </row>
    <row r="190" spans="1:3" x14ac:dyDescent="0.3">
      <c r="A190" s="67">
        <v>481</v>
      </c>
      <c r="B190" s="68">
        <v>39</v>
      </c>
      <c r="C190" s="86"/>
    </row>
    <row r="191" spans="1:3" x14ac:dyDescent="0.3">
      <c r="A191" s="69">
        <v>482</v>
      </c>
      <c r="B191" s="70">
        <v>39</v>
      </c>
      <c r="C191" s="86"/>
    </row>
    <row r="192" spans="1:3" x14ac:dyDescent="0.3">
      <c r="A192" s="67">
        <v>483</v>
      </c>
      <c r="B192" s="68">
        <v>39</v>
      </c>
      <c r="C192" s="86"/>
    </row>
    <row r="193" spans="1:3" x14ac:dyDescent="0.3">
      <c r="A193" s="69">
        <v>484</v>
      </c>
      <c r="B193" s="70">
        <v>39</v>
      </c>
      <c r="C193" s="86"/>
    </row>
    <row r="194" spans="1:3" x14ac:dyDescent="0.3">
      <c r="A194" s="67">
        <v>485</v>
      </c>
      <c r="B194" s="68">
        <v>39</v>
      </c>
      <c r="C194" s="86"/>
    </row>
    <row r="195" spans="1:3" x14ac:dyDescent="0.3">
      <c r="A195" s="69">
        <v>486</v>
      </c>
      <c r="B195" s="70">
        <v>39</v>
      </c>
      <c r="C195" s="86"/>
    </row>
    <row r="196" spans="1:3" x14ac:dyDescent="0.3">
      <c r="A196" s="67">
        <v>487</v>
      </c>
      <c r="B196" s="71">
        <v>39</v>
      </c>
      <c r="C196" s="86"/>
    </row>
    <row r="197" spans="1:3" x14ac:dyDescent="0.3">
      <c r="A197" s="69">
        <v>488</v>
      </c>
      <c r="B197" s="72">
        <v>39</v>
      </c>
      <c r="C197" s="86"/>
    </row>
    <row r="198" spans="1:3" x14ac:dyDescent="0.3">
      <c r="A198" s="67">
        <v>489</v>
      </c>
      <c r="B198" s="68">
        <v>39</v>
      </c>
      <c r="C198" s="86"/>
    </row>
    <row r="199" spans="1:3" x14ac:dyDescent="0.3">
      <c r="A199" s="69">
        <v>490</v>
      </c>
      <c r="B199" s="70">
        <v>40</v>
      </c>
      <c r="C199" s="86"/>
    </row>
    <row r="200" spans="1:3" x14ac:dyDescent="0.3">
      <c r="A200" s="67">
        <v>491</v>
      </c>
      <c r="B200" s="68">
        <v>41</v>
      </c>
      <c r="C200" s="86"/>
    </row>
    <row r="201" spans="1:3" x14ac:dyDescent="0.3">
      <c r="A201" s="69">
        <v>493</v>
      </c>
      <c r="B201" s="70">
        <v>40</v>
      </c>
      <c r="C201" s="86"/>
    </row>
    <row r="202" spans="1:3" x14ac:dyDescent="0.3">
      <c r="A202" s="67">
        <v>497</v>
      </c>
      <c r="B202" s="68">
        <v>42</v>
      </c>
      <c r="C202" s="86"/>
    </row>
    <row r="203" spans="1:3" x14ac:dyDescent="0.3">
      <c r="A203" s="69">
        <v>498</v>
      </c>
      <c r="B203" s="70">
        <v>42</v>
      </c>
      <c r="C203" s="86"/>
    </row>
    <row r="204" spans="1:3" x14ac:dyDescent="0.3">
      <c r="A204" s="67">
        <v>2070</v>
      </c>
      <c r="B204" s="68">
        <v>28</v>
      </c>
      <c r="C204" s="86"/>
    </row>
    <row r="205" spans="1:3" x14ac:dyDescent="0.3">
      <c r="A205" s="69">
        <v>2071</v>
      </c>
      <c r="B205" s="70">
        <v>28</v>
      </c>
      <c r="C205" s="86"/>
    </row>
    <row r="206" spans="1:3" x14ac:dyDescent="0.3">
      <c r="A206" s="67">
        <v>2072</v>
      </c>
      <c r="B206" s="68">
        <v>28</v>
      </c>
      <c r="C206" s="86"/>
    </row>
    <row r="207" spans="1:3" x14ac:dyDescent="0.3">
      <c r="A207" s="69">
        <v>2073</v>
      </c>
      <c r="B207" s="70">
        <v>28</v>
      </c>
      <c r="C207" s="86"/>
    </row>
    <row r="208" spans="1:3" x14ac:dyDescent="0.3">
      <c r="A208" s="67">
        <v>2075</v>
      </c>
      <c r="B208" s="68">
        <v>29</v>
      </c>
      <c r="C208" s="86"/>
    </row>
    <row r="209" spans="1:3" x14ac:dyDescent="0.3">
      <c r="A209" s="69">
        <v>2076</v>
      </c>
      <c r="B209" s="72">
        <v>29</v>
      </c>
      <c r="C209" s="86"/>
    </row>
    <row r="210" spans="1:3" x14ac:dyDescent="0.3">
      <c r="A210" s="67">
        <v>2077</v>
      </c>
      <c r="B210" s="68">
        <v>30</v>
      </c>
      <c r="C210" s="86"/>
    </row>
    <row r="211" spans="1:3" x14ac:dyDescent="0.3">
      <c r="A211" s="69">
        <v>2078</v>
      </c>
      <c r="B211" s="70">
        <v>29</v>
      </c>
      <c r="C211" s="86"/>
    </row>
    <row r="212" spans="1:3" x14ac:dyDescent="0.3">
      <c r="A212" s="67">
        <v>2079</v>
      </c>
      <c r="B212" s="68">
        <v>29</v>
      </c>
      <c r="C212" s="86"/>
    </row>
    <row r="213" spans="1:3" x14ac:dyDescent="0.3">
      <c r="A213" s="69">
        <v>2080</v>
      </c>
      <c r="B213" s="70">
        <v>30</v>
      </c>
      <c r="C213" s="86"/>
    </row>
    <row r="214" spans="1:3" x14ac:dyDescent="0.3">
      <c r="A214" s="67">
        <v>2081</v>
      </c>
      <c r="B214" s="68">
        <v>30</v>
      </c>
      <c r="C214" s="86"/>
    </row>
    <row r="215" spans="1:3" x14ac:dyDescent="0.3">
      <c r="A215" s="69">
        <v>2082</v>
      </c>
      <c r="B215" s="70">
        <v>30</v>
      </c>
      <c r="C215" s="86"/>
    </row>
    <row r="216" spans="1:3" x14ac:dyDescent="0.3">
      <c r="A216" s="67">
        <v>351</v>
      </c>
      <c r="B216" s="68">
        <v>30</v>
      </c>
      <c r="C216" s="86"/>
    </row>
    <row r="217" spans="1:3" x14ac:dyDescent="0.3">
      <c r="A217" s="69">
        <v>352</v>
      </c>
      <c r="B217" s="70">
        <v>30</v>
      </c>
      <c r="C217" s="86"/>
    </row>
    <row r="218" spans="1:3" x14ac:dyDescent="0.3">
      <c r="A218" s="67">
        <v>354</v>
      </c>
      <c r="B218" s="68">
        <v>31</v>
      </c>
      <c r="C218" s="86"/>
    </row>
    <row r="219" spans="1:3" x14ac:dyDescent="0.3">
      <c r="A219" s="69">
        <v>353</v>
      </c>
      <c r="B219" s="70">
        <v>30</v>
      </c>
      <c r="C219" s="86"/>
    </row>
    <row r="220" spans="1:3" x14ac:dyDescent="0.3">
      <c r="A220" s="67">
        <v>355</v>
      </c>
      <c r="B220" s="68">
        <v>30</v>
      </c>
      <c r="C220" s="86"/>
    </row>
    <row r="221" spans="1:3" x14ac:dyDescent="0.3">
      <c r="A221" s="69">
        <v>356</v>
      </c>
      <c r="B221" s="70">
        <v>31</v>
      </c>
      <c r="C221" s="86"/>
    </row>
    <row r="222" spans="1:3" x14ac:dyDescent="0.3">
      <c r="A222" s="67">
        <v>357</v>
      </c>
      <c r="B222" s="68">
        <v>31</v>
      </c>
      <c r="C222" s="86"/>
    </row>
    <row r="223" spans="1:3" x14ac:dyDescent="0.3">
      <c r="A223" s="69">
        <v>359</v>
      </c>
      <c r="B223" s="70">
        <v>31</v>
      </c>
      <c r="C223" s="86"/>
    </row>
    <row r="224" spans="1:3" x14ac:dyDescent="0.3">
      <c r="A224" s="67">
        <v>360</v>
      </c>
      <c r="B224" s="68">
        <v>31</v>
      </c>
      <c r="C224" s="86"/>
    </row>
    <row r="225" spans="1:3" x14ac:dyDescent="0.3">
      <c r="A225" s="69">
        <v>361</v>
      </c>
      <c r="B225" s="70">
        <v>31</v>
      </c>
      <c r="C225" s="86"/>
    </row>
    <row r="226" spans="1:3" x14ac:dyDescent="0.3">
      <c r="A226" s="67">
        <v>362</v>
      </c>
      <c r="B226" s="68">
        <v>31</v>
      </c>
      <c r="C226" s="86"/>
    </row>
    <row r="227" spans="1:3" x14ac:dyDescent="0.3">
      <c r="A227" s="69">
        <v>363</v>
      </c>
      <c r="B227" s="70">
        <v>31</v>
      </c>
      <c r="C227" s="86"/>
    </row>
    <row r="228" spans="1:3" x14ac:dyDescent="0.3">
      <c r="A228" s="67">
        <v>364</v>
      </c>
      <c r="B228" s="68">
        <v>31</v>
      </c>
      <c r="C228" s="86"/>
    </row>
    <row r="229" spans="1:3" x14ac:dyDescent="0.3">
      <c r="A229" s="69">
        <v>365</v>
      </c>
      <c r="B229" s="70">
        <v>31</v>
      </c>
      <c r="C229" s="86"/>
    </row>
    <row r="230" spans="1:3" x14ac:dyDescent="0.3">
      <c r="A230" s="67">
        <v>366</v>
      </c>
      <c r="B230" s="68">
        <v>31</v>
      </c>
      <c r="C230" s="86"/>
    </row>
    <row r="231" spans="1:3" x14ac:dyDescent="0.3">
      <c r="A231" s="69">
        <v>367</v>
      </c>
      <c r="B231" s="70">
        <v>31</v>
      </c>
      <c r="C231" s="86"/>
    </row>
    <row r="232" spans="1:3" x14ac:dyDescent="0.3">
      <c r="A232" s="67">
        <v>368</v>
      </c>
      <c r="B232" s="68">
        <v>31</v>
      </c>
      <c r="C232" s="86"/>
    </row>
    <row r="233" spans="1:3" x14ac:dyDescent="0.3">
      <c r="A233" s="69">
        <v>369</v>
      </c>
      <c r="B233" s="70">
        <v>31</v>
      </c>
      <c r="C233" s="86"/>
    </row>
    <row r="234" spans="1:3" x14ac:dyDescent="0.3">
      <c r="A234" s="67">
        <v>370</v>
      </c>
      <c r="B234" s="68">
        <v>32</v>
      </c>
      <c r="C234" s="86"/>
    </row>
    <row r="235" spans="1:3" x14ac:dyDescent="0.3">
      <c r="A235" s="69">
        <v>371</v>
      </c>
      <c r="B235" s="70">
        <v>32</v>
      </c>
      <c r="C235" s="86"/>
    </row>
    <row r="236" spans="1:3" x14ac:dyDescent="0.3">
      <c r="A236" s="67">
        <v>372</v>
      </c>
      <c r="B236" s="68">
        <v>32</v>
      </c>
      <c r="C236" s="86"/>
    </row>
    <row r="237" spans="1:3" x14ac:dyDescent="0.3">
      <c r="A237" s="69">
        <v>373</v>
      </c>
      <c r="B237" s="70">
        <v>32</v>
      </c>
      <c r="C237" s="86"/>
    </row>
    <row r="238" spans="1:3" x14ac:dyDescent="0.3">
      <c r="A238" s="67">
        <v>374</v>
      </c>
      <c r="B238" s="68">
        <v>32</v>
      </c>
      <c r="C238" s="86"/>
    </row>
    <row r="239" spans="1:3" x14ac:dyDescent="0.3">
      <c r="A239" s="69">
        <v>375</v>
      </c>
      <c r="B239" s="70">
        <v>32</v>
      </c>
      <c r="C239" s="86"/>
    </row>
    <row r="240" spans="1:3" x14ac:dyDescent="0.3">
      <c r="A240" s="67">
        <v>376</v>
      </c>
      <c r="B240" s="68">
        <v>32</v>
      </c>
      <c r="C240" s="86"/>
    </row>
    <row r="241" spans="1:3" x14ac:dyDescent="0.3">
      <c r="A241" s="69">
        <v>377</v>
      </c>
      <c r="B241" s="70">
        <v>32</v>
      </c>
      <c r="C241" s="86"/>
    </row>
    <row r="242" spans="1:3" x14ac:dyDescent="0.3">
      <c r="A242" s="67">
        <v>378</v>
      </c>
      <c r="B242" s="68">
        <v>32</v>
      </c>
      <c r="C242" s="86"/>
    </row>
    <row r="243" spans="1:3" x14ac:dyDescent="0.3">
      <c r="A243" s="69">
        <v>379</v>
      </c>
      <c r="B243" s="70">
        <v>32</v>
      </c>
      <c r="C243" s="86"/>
    </row>
    <row r="244" spans="1:3" x14ac:dyDescent="0.3">
      <c r="A244" s="67">
        <v>380</v>
      </c>
      <c r="B244" s="68">
        <v>32</v>
      </c>
      <c r="C244" s="86"/>
    </row>
    <row r="245" spans="1:3" x14ac:dyDescent="0.3">
      <c r="A245" s="69">
        <v>381</v>
      </c>
      <c r="B245" s="70">
        <v>32</v>
      </c>
      <c r="C245" s="86"/>
    </row>
    <row r="246" spans="1:3" x14ac:dyDescent="0.3">
      <c r="A246" s="67">
        <v>382</v>
      </c>
      <c r="B246" s="68">
        <v>32</v>
      </c>
      <c r="C246" s="86"/>
    </row>
    <row r="247" spans="1:3" x14ac:dyDescent="0.3">
      <c r="A247" s="69">
        <v>383</v>
      </c>
      <c r="B247" s="70">
        <v>32</v>
      </c>
      <c r="C247" s="86"/>
    </row>
    <row r="248" spans="1:3" x14ac:dyDescent="0.3">
      <c r="A248" s="67">
        <v>384</v>
      </c>
      <c r="B248" s="68">
        <v>32</v>
      </c>
      <c r="C248" s="86"/>
    </row>
    <row r="249" spans="1:3" x14ac:dyDescent="0.3">
      <c r="A249" s="69">
        <v>385</v>
      </c>
      <c r="B249" s="70">
        <v>32</v>
      </c>
      <c r="C249" s="86"/>
    </row>
    <row r="250" spans="1:3" x14ac:dyDescent="0.3">
      <c r="A250" s="67">
        <v>386</v>
      </c>
      <c r="B250" s="68">
        <v>32</v>
      </c>
      <c r="C250" s="86"/>
    </row>
    <row r="251" spans="1:3" x14ac:dyDescent="0.3">
      <c r="A251" s="69">
        <v>387</v>
      </c>
      <c r="B251" s="70">
        <v>32</v>
      </c>
      <c r="C251" s="86"/>
    </row>
    <row r="252" spans="1:3" x14ac:dyDescent="0.3">
      <c r="A252" s="67">
        <v>412</v>
      </c>
      <c r="B252" s="68">
        <v>33</v>
      </c>
      <c r="C252" s="86"/>
    </row>
    <row r="253" spans="1:3" x14ac:dyDescent="0.3">
      <c r="A253" s="69">
        <v>414</v>
      </c>
      <c r="B253" s="70">
        <v>33</v>
      </c>
      <c r="C253" s="86"/>
    </row>
    <row r="254" spans="1:3" x14ac:dyDescent="0.3">
      <c r="A254" s="67">
        <v>415</v>
      </c>
      <c r="B254" s="68">
        <v>33</v>
      </c>
      <c r="C254" s="86"/>
    </row>
    <row r="255" spans="1:3" x14ac:dyDescent="0.3">
      <c r="A255" s="69">
        <v>416</v>
      </c>
      <c r="B255" s="70">
        <v>33</v>
      </c>
      <c r="C255" s="86"/>
    </row>
    <row r="256" spans="1:3" x14ac:dyDescent="0.3">
      <c r="A256" s="67">
        <v>417</v>
      </c>
      <c r="B256" s="68">
        <v>33</v>
      </c>
      <c r="C256" s="86"/>
    </row>
    <row r="257" spans="1:3" x14ac:dyDescent="0.3">
      <c r="A257" s="69">
        <v>418</v>
      </c>
      <c r="B257" s="70">
        <v>33</v>
      </c>
      <c r="C257" s="86"/>
    </row>
    <row r="258" spans="1:3" x14ac:dyDescent="0.3">
      <c r="A258" s="73">
        <v>419</v>
      </c>
      <c r="B258" s="68">
        <v>34</v>
      </c>
      <c r="C258" s="86"/>
    </row>
    <row r="259" spans="1:3" x14ac:dyDescent="0.3">
      <c r="A259" s="69">
        <v>420</v>
      </c>
      <c r="B259" s="70">
        <v>34</v>
      </c>
      <c r="C259" s="86"/>
    </row>
    <row r="260" spans="1:3" x14ac:dyDescent="0.3">
      <c r="A260" s="67">
        <v>421</v>
      </c>
      <c r="B260" s="68">
        <v>34</v>
      </c>
      <c r="C260" s="86"/>
    </row>
    <row r="261" spans="1:3" x14ac:dyDescent="0.3">
      <c r="A261" s="69">
        <v>422</v>
      </c>
      <c r="B261" s="70">
        <v>34</v>
      </c>
      <c r="C261" s="86"/>
    </row>
    <row r="262" spans="1:3" x14ac:dyDescent="0.3">
      <c r="A262" s="67">
        <v>423</v>
      </c>
      <c r="B262" s="68">
        <v>34</v>
      </c>
      <c r="C262" s="86"/>
    </row>
    <row r="263" spans="1:3" x14ac:dyDescent="0.3">
      <c r="A263" s="69">
        <v>424</v>
      </c>
      <c r="B263" s="70">
        <v>34</v>
      </c>
      <c r="C263" s="86"/>
    </row>
    <row r="264" spans="1:3" x14ac:dyDescent="0.3">
      <c r="A264" s="67">
        <v>425</v>
      </c>
      <c r="B264" s="68">
        <v>34</v>
      </c>
      <c r="C264" s="86"/>
    </row>
    <row r="265" spans="1:3" x14ac:dyDescent="0.3">
      <c r="A265" s="69">
        <v>426</v>
      </c>
      <c r="B265" s="70">
        <v>34</v>
      </c>
      <c r="C265" s="86"/>
    </row>
    <row r="266" spans="1:3" x14ac:dyDescent="0.3">
      <c r="A266" s="67">
        <v>427</v>
      </c>
      <c r="B266" s="68">
        <v>34</v>
      </c>
      <c r="C266" s="86"/>
    </row>
    <row r="267" spans="1:3" x14ac:dyDescent="0.3">
      <c r="A267" s="69">
        <v>428</v>
      </c>
      <c r="B267" s="70">
        <v>34</v>
      </c>
      <c r="C267" s="86"/>
    </row>
    <row r="268" spans="1:3" x14ac:dyDescent="0.3">
      <c r="A268" s="67">
        <v>429</v>
      </c>
      <c r="B268" s="68">
        <v>34</v>
      </c>
      <c r="C268" s="86"/>
    </row>
    <row r="269" spans="1:3" x14ac:dyDescent="0.3">
      <c r="A269" s="69">
        <v>430</v>
      </c>
      <c r="B269" s="70">
        <v>35</v>
      </c>
      <c r="C269" s="86"/>
    </row>
    <row r="270" spans="1:3" x14ac:dyDescent="0.3">
      <c r="A270" s="67">
        <v>3038</v>
      </c>
      <c r="B270" s="68">
        <v>142</v>
      </c>
      <c r="C270" s="86"/>
    </row>
    <row r="271" spans="1:3" x14ac:dyDescent="0.3">
      <c r="A271" s="69">
        <v>431</v>
      </c>
      <c r="B271" s="70">
        <v>34</v>
      </c>
      <c r="C271" s="86"/>
    </row>
    <row r="272" spans="1:3" x14ac:dyDescent="0.3">
      <c r="A272" s="67">
        <v>432</v>
      </c>
      <c r="B272" s="68">
        <v>34</v>
      </c>
      <c r="C272" s="86"/>
    </row>
    <row r="273" spans="1:3" x14ac:dyDescent="0.3">
      <c r="A273" s="69">
        <v>433</v>
      </c>
      <c r="B273" s="70">
        <v>34</v>
      </c>
      <c r="C273" s="86"/>
    </row>
    <row r="274" spans="1:3" x14ac:dyDescent="0.3">
      <c r="A274" s="67">
        <v>434</v>
      </c>
      <c r="B274" s="68">
        <v>34</v>
      </c>
      <c r="C274" s="86"/>
    </row>
    <row r="275" spans="1:3" x14ac:dyDescent="0.3">
      <c r="A275" s="69">
        <v>435</v>
      </c>
      <c r="B275" s="70">
        <v>35</v>
      </c>
      <c r="C275" s="86"/>
    </row>
    <row r="276" spans="1:3" x14ac:dyDescent="0.3">
      <c r="A276" s="67">
        <v>437</v>
      </c>
      <c r="B276" s="68">
        <v>35</v>
      </c>
      <c r="C276" s="86"/>
    </row>
    <row r="277" spans="1:3" x14ac:dyDescent="0.3">
      <c r="A277" s="69">
        <v>438</v>
      </c>
      <c r="B277" s="70">
        <v>36</v>
      </c>
      <c r="C277" s="86"/>
    </row>
    <row r="278" spans="1:3" x14ac:dyDescent="0.3">
      <c r="A278" s="67">
        <v>439</v>
      </c>
      <c r="B278" s="68">
        <v>35</v>
      </c>
      <c r="C278" s="86"/>
    </row>
    <row r="279" spans="1:3" x14ac:dyDescent="0.3">
      <c r="A279" s="69">
        <v>441</v>
      </c>
      <c r="B279" s="70">
        <v>35</v>
      </c>
      <c r="C279" s="86"/>
    </row>
    <row r="280" spans="1:3" x14ac:dyDescent="0.3">
      <c r="A280" s="67">
        <v>442</v>
      </c>
      <c r="B280" s="68">
        <v>35</v>
      </c>
      <c r="C280" s="86"/>
    </row>
    <row r="281" spans="1:3" x14ac:dyDescent="0.3">
      <c r="A281" s="69">
        <v>443</v>
      </c>
      <c r="B281" s="70">
        <v>35</v>
      </c>
      <c r="C281" s="86"/>
    </row>
    <row r="282" spans="1:3" x14ac:dyDescent="0.3">
      <c r="A282" s="67">
        <v>444</v>
      </c>
      <c r="B282" s="68">
        <v>35</v>
      </c>
      <c r="C282" s="86"/>
    </row>
    <row r="283" spans="1:3" x14ac:dyDescent="0.3">
      <c r="A283" s="73">
        <v>445</v>
      </c>
      <c r="B283" s="70">
        <v>35</v>
      </c>
      <c r="C283" s="86"/>
    </row>
    <row r="284" spans="1:3" x14ac:dyDescent="0.3">
      <c r="A284" s="67">
        <v>446</v>
      </c>
      <c r="B284" s="68">
        <v>35</v>
      </c>
      <c r="C284" s="86"/>
    </row>
    <row r="285" spans="1:3" x14ac:dyDescent="0.3">
      <c r="A285" s="69">
        <v>447</v>
      </c>
      <c r="B285" s="70">
        <v>35</v>
      </c>
      <c r="C285" s="86"/>
    </row>
    <row r="286" spans="1:3" x14ac:dyDescent="0.3">
      <c r="A286" s="67">
        <v>448</v>
      </c>
      <c r="B286" s="71">
        <v>35</v>
      </c>
      <c r="C286" s="86"/>
    </row>
    <row r="287" spans="1:3" x14ac:dyDescent="0.3">
      <c r="A287" s="69">
        <v>449</v>
      </c>
      <c r="B287" s="70">
        <v>37</v>
      </c>
      <c r="C287" s="86"/>
    </row>
    <row r="288" spans="1:3" x14ac:dyDescent="0.3">
      <c r="A288" s="67">
        <v>450</v>
      </c>
      <c r="B288" s="68">
        <v>36</v>
      </c>
      <c r="C288" s="86"/>
    </row>
    <row r="289" spans="1:3" x14ac:dyDescent="0.3">
      <c r="A289" s="69">
        <v>451</v>
      </c>
      <c r="B289" s="70">
        <v>36</v>
      </c>
      <c r="C289" s="86"/>
    </row>
    <row r="290" spans="1:3" x14ac:dyDescent="0.3">
      <c r="A290" s="67">
        <v>452</v>
      </c>
      <c r="B290" s="68">
        <v>36</v>
      </c>
      <c r="C290" s="86"/>
    </row>
    <row r="291" spans="1:3" x14ac:dyDescent="0.3">
      <c r="A291" s="69">
        <v>453</v>
      </c>
      <c r="B291" s="70">
        <v>36</v>
      </c>
      <c r="C291" s="86"/>
    </row>
    <row r="292" spans="1:3" x14ac:dyDescent="0.3">
      <c r="A292" s="67">
        <v>454</v>
      </c>
      <c r="B292" s="68">
        <v>36</v>
      </c>
      <c r="C292" s="86"/>
    </row>
    <row r="293" spans="1:3" x14ac:dyDescent="0.3">
      <c r="A293" s="69">
        <v>455</v>
      </c>
      <c r="B293" s="70">
        <v>36</v>
      </c>
      <c r="C293" s="86"/>
    </row>
    <row r="294" spans="1:3" x14ac:dyDescent="0.3">
      <c r="A294" s="67">
        <v>456</v>
      </c>
      <c r="B294" s="68">
        <v>37</v>
      </c>
      <c r="C294" s="86"/>
    </row>
    <row r="295" spans="1:3" x14ac:dyDescent="0.3">
      <c r="A295" s="69">
        <v>457</v>
      </c>
      <c r="B295" s="70">
        <v>37</v>
      </c>
      <c r="C295" s="86"/>
    </row>
    <row r="296" spans="1:3" x14ac:dyDescent="0.3">
      <c r="A296" s="67">
        <v>458</v>
      </c>
      <c r="B296" s="68">
        <v>36</v>
      </c>
      <c r="C296" s="86"/>
    </row>
    <row r="297" spans="1:3" x14ac:dyDescent="0.3">
      <c r="A297" s="69">
        <v>459</v>
      </c>
      <c r="B297" s="70">
        <v>37</v>
      </c>
      <c r="C297" s="86"/>
    </row>
    <row r="298" spans="1:3" x14ac:dyDescent="0.3">
      <c r="A298" s="67">
        <v>460</v>
      </c>
      <c r="B298" s="68">
        <v>37</v>
      </c>
      <c r="C298" s="86"/>
    </row>
    <row r="299" spans="1:3" x14ac:dyDescent="0.3">
      <c r="A299" s="69">
        <v>462</v>
      </c>
      <c r="B299" s="70">
        <v>37</v>
      </c>
      <c r="C299" s="86"/>
    </row>
    <row r="300" spans="1:3" x14ac:dyDescent="0.3">
      <c r="A300" s="67">
        <v>463</v>
      </c>
      <c r="B300" s="68">
        <v>37</v>
      </c>
      <c r="C300" s="86"/>
    </row>
    <row r="301" spans="1:3" x14ac:dyDescent="0.3">
      <c r="A301" s="69">
        <v>464</v>
      </c>
      <c r="B301" s="70">
        <v>37</v>
      </c>
      <c r="C301" s="86"/>
    </row>
    <row r="302" spans="1:3" x14ac:dyDescent="0.3">
      <c r="A302" s="67">
        <v>465</v>
      </c>
      <c r="B302" s="68">
        <v>37</v>
      </c>
      <c r="C302" s="86"/>
    </row>
    <row r="303" spans="1:3" x14ac:dyDescent="0.3">
      <c r="A303" s="69">
        <v>466</v>
      </c>
      <c r="B303" s="70">
        <v>37</v>
      </c>
      <c r="C303" s="86"/>
    </row>
    <row r="304" spans="1:3" x14ac:dyDescent="0.3">
      <c r="A304" s="67">
        <v>467</v>
      </c>
      <c r="B304" s="68">
        <v>37</v>
      </c>
      <c r="C304" s="86"/>
    </row>
    <row r="305" spans="1:3" x14ac:dyDescent="0.3">
      <c r="A305" s="69">
        <v>468</v>
      </c>
      <c r="B305" s="70">
        <v>37</v>
      </c>
      <c r="C305" s="86"/>
    </row>
    <row r="306" spans="1:3" x14ac:dyDescent="0.3">
      <c r="A306" s="67">
        <v>469</v>
      </c>
      <c r="B306" s="68">
        <v>38</v>
      </c>
      <c r="C306" s="86"/>
    </row>
    <row r="307" spans="1:3" x14ac:dyDescent="0.3">
      <c r="A307" s="69">
        <v>470</v>
      </c>
      <c r="B307" s="70">
        <v>38</v>
      </c>
      <c r="C307" s="86"/>
    </row>
    <row r="308" spans="1:3" x14ac:dyDescent="0.3">
      <c r="A308" s="67">
        <v>471</v>
      </c>
      <c r="B308" s="68">
        <v>38</v>
      </c>
      <c r="C308" s="86"/>
    </row>
    <row r="309" spans="1:3" x14ac:dyDescent="0.3">
      <c r="A309" s="69">
        <v>472</v>
      </c>
      <c r="B309" s="70">
        <v>38</v>
      </c>
      <c r="C309" s="86"/>
    </row>
    <row r="310" spans="1:3" x14ac:dyDescent="0.3">
      <c r="A310" s="67">
        <v>473</v>
      </c>
      <c r="B310" s="68">
        <v>38</v>
      </c>
      <c r="C310" s="86"/>
    </row>
    <row r="311" spans="1:3" x14ac:dyDescent="0.3">
      <c r="A311" s="69">
        <v>474</v>
      </c>
      <c r="B311" s="70">
        <v>38</v>
      </c>
      <c r="C311" s="86"/>
    </row>
    <row r="312" spans="1:3" x14ac:dyDescent="0.3">
      <c r="A312" s="67">
        <v>475</v>
      </c>
      <c r="B312" s="68">
        <v>38</v>
      </c>
      <c r="C312" s="86"/>
    </row>
    <row r="313" spans="1:3" x14ac:dyDescent="0.3">
      <c r="A313" s="69">
        <v>476</v>
      </c>
      <c r="B313" s="70">
        <v>38</v>
      </c>
      <c r="C313" s="86"/>
    </row>
    <row r="314" spans="1:3" x14ac:dyDescent="0.3">
      <c r="A314" s="67">
        <v>477</v>
      </c>
      <c r="B314" s="68">
        <v>38</v>
      </c>
      <c r="C314" s="86"/>
    </row>
    <row r="315" spans="1:3" x14ac:dyDescent="0.3">
      <c r="A315" s="69">
        <v>478</v>
      </c>
      <c r="B315" s="70">
        <v>39</v>
      </c>
      <c r="C315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A4CE-38C3-4742-8BD6-6338D48C71D7}">
  <dimension ref="A1:AE317"/>
  <sheetViews>
    <sheetView tabSelected="1" topLeftCell="J1" zoomScaleNormal="100" workbookViewId="0">
      <selection activeCell="O10" sqref="O1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155" customWidth="1"/>
    <col min="11" max="11" width="16.109375" style="155" customWidth="1"/>
    <col min="12" max="12" width="20.6640625" style="2" bestFit="1" customWidth="1"/>
    <col min="13" max="13" width="16" style="155" customWidth="1"/>
    <col min="14" max="14" width="21" style="2" bestFit="1" customWidth="1"/>
    <col min="15" max="15" width="27.109375" style="2" customWidth="1"/>
    <col min="16" max="16" width="18.5546875" style="2" customWidth="1"/>
    <col min="17" max="17" width="7.88671875" style="2" customWidth="1"/>
    <col min="18" max="18" width="17.5546875" style="2" customWidth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153"/>
      <c r="K1" s="154">
        <v>5.5225000000000001E-4</v>
      </c>
      <c r="L1" s="8"/>
      <c r="M1" s="154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156"/>
      <c r="M2" s="156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156"/>
      <c r="M3" s="156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157"/>
      <c r="M4" s="157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58"/>
      <c r="M5" s="158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59"/>
      <c r="K6" s="160"/>
      <c r="L6" s="20" t="s">
        <v>4</v>
      </c>
      <c r="M6" s="16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61" t="s">
        <v>14</v>
      </c>
      <c r="K7" s="162" t="s">
        <v>23</v>
      </c>
      <c r="L7" s="135" t="s">
        <v>15</v>
      </c>
      <c r="M7" s="171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63"/>
      <c r="K8" s="162"/>
      <c r="L8" s="136"/>
      <c r="M8" s="172" t="s">
        <v>24</v>
      </c>
      <c r="N8" s="103" t="s">
        <v>25</v>
      </c>
      <c r="O8" s="177" t="s">
        <v>26</v>
      </c>
      <c r="P8" s="103" t="s">
        <v>27</v>
      </c>
      <c r="Q8" s="103" t="s">
        <v>25</v>
      </c>
      <c r="R8" s="177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10" si="0">D9/F9</f>
        <v>1.8571428571428571E-3</v>
      </c>
      <c r="C9" s="110">
        <v>5025</v>
      </c>
      <c r="D9" s="111">
        <v>0.13</v>
      </c>
      <c r="E9" s="111">
        <v>0.06</v>
      </c>
      <c r="F9" s="110">
        <v>70</v>
      </c>
      <c r="G9" s="112">
        <v>1</v>
      </c>
      <c r="H9" s="113">
        <v>300000</v>
      </c>
      <c r="I9" s="99">
        <f>H9*G9</f>
        <v>300000</v>
      </c>
      <c r="J9" s="164">
        <f>IFERROR(((H9*(1+SUM(D9:E9)))/F9),"-")</f>
        <v>5100</v>
      </c>
      <c r="K9" s="164">
        <f t="shared" ref="K9:K10" si="1">IFERROR((J9*(1+F9*0.0431%)),"-")</f>
        <v>5253.8670000000002</v>
      </c>
      <c r="L9" s="99">
        <f>IFERROR(J9*G9,"-")</f>
        <v>5100</v>
      </c>
      <c r="M9" s="173">
        <f t="shared" ref="M9:M10" si="2">K9*G9</f>
        <v>5253.8670000000002</v>
      </c>
      <c r="N9" s="114">
        <v>0.1</v>
      </c>
      <c r="O9" s="164">
        <f t="shared" ref="O9" si="3">((N9*($H9*(1+D9+E9)))*$Q$1)</f>
        <v>34000.016803959894</v>
      </c>
      <c r="P9" s="99">
        <f t="shared" ref="P9:P10" si="4">O9*G9</f>
        <v>34000.016803959894</v>
      </c>
      <c r="Q9" s="115">
        <v>0.3</v>
      </c>
      <c r="R9" s="164">
        <f t="shared" ref="R9" si="5">((Q9*($H9*(1+D9+E9)))*$Q$1)</f>
        <v>102000.05041187968</v>
      </c>
      <c r="S9" s="99">
        <f t="shared" ref="S9:S10" si="6">R9*G9</f>
        <v>102000.05041187968</v>
      </c>
      <c r="T9" s="101">
        <f t="shared" ref="T9:T10" si="7">(N9+Q9)</f>
        <v>0.4</v>
      </c>
      <c r="U9" s="99">
        <f>(I9)-S9</f>
        <v>197999.94958812033</v>
      </c>
      <c r="V9" s="100">
        <f t="shared" ref="V9" si="8">IFERROR(((($H9*(1+D9+E9))-(O9+R9)-J9)/($F9-1)),"-")</f>
        <v>3128.9845331037741</v>
      </c>
      <c r="W9" s="100">
        <f>IFERROR((V9*(1+($F9-1)*0.1252%)),"-")</f>
        <v>3399.2912489495425</v>
      </c>
      <c r="X9" s="99">
        <f t="shared" ref="X9:X10" si="9">IFERROR(V9*G9,"-")</f>
        <v>3128.9845331037741</v>
      </c>
      <c r="Y9" s="55">
        <v>0</v>
      </c>
      <c r="AA9" s="97"/>
      <c r="AB9" s="97"/>
      <c r="AC9" s="97"/>
      <c r="AD9" s="98"/>
    </row>
    <row r="10" spans="1:31" x14ac:dyDescent="0.3">
      <c r="B10" s="78">
        <f t="shared" si="0"/>
        <v>2.3333333333333335E-3</v>
      </c>
      <c r="C10" s="110">
        <v>5025</v>
      </c>
      <c r="D10" s="111">
        <v>7.0000000000000007E-2</v>
      </c>
      <c r="E10" s="111">
        <v>0.02</v>
      </c>
      <c r="F10" s="110">
        <v>30</v>
      </c>
      <c r="G10" s="112">
        <v>21</v>
      </c>
      <c r="H10" s="113">
        <v>265000</v>
      </c>
      <c r="I10" s="99">
        <f>H10*G10</f>
        <v>5565000</v>
      </c>
      <c r="J10" s="164">
        <f>IFERROR(((H10*(1+SUM(D10:E10)))/F10),"-")</f>
        <v>9628.3333333333339</v>
      </c>
      <c r="K10" s="164">
        <f t="shared" si="1"/>
        <v>9752.8276833333348</v>
      </c>
      <c r="L10" s="99">
        <f t="shared" ref="L10" si="10">IFERROR(J10*G10,"-")</f>
        <v>202195</v>
      </c>
      <c r="M10" s="173">
        <f t="shared" si="2"/>
        <v>204809.38135000004</v>
      </c>
      <c r="N10" s="114">
        <v>0.05</v>
      </c>
      <c r="O10" s="164">
        <f>((N10*($H10*(1+D10+E10)))*$Q$1)</f>
        <v>13754.768702834475</v>
      </c>
      <c r="P10" s="99">
        <f t="shared" si="4"/>
        <v>288850.14275952399</v>
      </c>
      <c r="Q10" s="115">
        <v>0.12</v>
      </c>
      <c r="R10" s="164">
        <f>((Q10*($H10*(1+D10+E10)))*$Q$1)</f>
        <v>33011.444886802739</v>
      </c>
      <c r="S10" s="99">
        <f t="shared" si="6"/>
        <v>693240.34262285754</v>
      </c>
      <c r="T10" s="101">
        <f t="shared" si="7"/>
        <v>0.16999999999999998</v>
      </c>
      <c r="U10" s="99">
        <f t="shared" ref="U10" si="11">(I10)-S10</f>
        <v>4871759.6573771425</v>
      </c>
      <c r="V10" s="100">
        <f>IFERROR(((($H10*(1+D10+E10))-(O10+R10)-J10)/($F10-1)),"-")</f>
        <v>8015.7052785182568</v>
      </c>
      <c r="W10" s="100">
        <f t="shared" ref="W10" si="12">IFERROR((V10*(1+($F10-1)*0.1252%)),"-")</f>
        <v>8306.7395057706981</v>
      </c>
      <c r="X10" s="99">
        <f t="shared" si="9"/>
        <v>168329.81084888338</v>
      </c>
      <c r="Y10" s="55">
        <v>3</v>
      </c>
      <c r="AA10" s="97"/>
      <c r="AB10" s="97"/>
      <c r="AC10" s="97"/>
      <c r="AD10" s="98"/>
    </row>
    <row r="11" spans="1:31" x14ac:dyDescent="0.3">
      <c r="B11" s="78">
        <f t="shared" ref="B11" si="13">D11/F11</f>
        <v>1.6000000000000001E-3</v>
      </c>
      <c r="C11" s="110">
        <v>5025</v>
      </c>
      <c r="D11" s="111">
        <v>0.08</v>
      </c>
      <c r="E11" s="111">
        <v>7.0000000000000007E-2</v>
      </c>
      <c r="F11" s="110">
        <v>50</v>
      </c>
      <c r="G11" s="112">
        <v>18</v>
      </c>
      <c r="H11" s="113">
        <v>389000</v>
      </c>
      <c r="I11" s="99">
        <f t="shared" ref="I11" si="14">H11*G11</f>
        <v>7002000</v>
      </c>
      <c r="J11" s="164">
        <f>IFERROR(((H11*(1+SUM(D11:E11)))/F11),"-")</f>
        <v>8946.9999999999982</v>
      </c>
      <c r="K11" s="164">
        <f t="shared" ref="K11" si="15">IFERROR((J11*(1+F11*0.0431%)),"-")</f>
        <v>9139.8078499999974</v>
      </c>
      <c r="L11" s="99">
        <f t="shared" ref="L11" si="16">IFERROR(J11*G11,"-")</f>
        <v>161045.99999999997</v>
      </c>
      <c r="M11" s="173">
        <f t="shared" ref="M11" si="17">K11*G11</f>
        <v>164516.54129999995</v>
      </c>
      <c r="N11" s="114">
        <v>0.08</v>
      </c>
      <c r="O11" s="164">
        <f t="shared" ref="O11" si="18">((N11*($H11*(1+D11+E11)))*$Q$1)</f>
        <v>34083.826369190952</v>
      </c>
      <c r="P11" s="99">
        <f t="shared" ref="P11" si="19">O11*G11</f>
        <v>613508.87464543711</v>
      </c>
      <c r="Q11" s="115">
        <v>0.2</v>
      </c>
      <c r="R11" s="164">
        <f t="shared" ref="R11" si="20">((Q11*($H11*(1+D11+E11)))*$Q$1)</f>
        <v>85209.565922977374</v>
      </c>
      <c r="S11" s="99">
        <f t="shared" ref="S11" si="21">R11*G11</f>
        <v>1533772.1866135928</v>
      </c>
      <c r="T11" s="101">
        <f t="shared" ref="T11" si="22">(N11+Q11)</f>
        <v>0.28000000000000003</v>
      </c>
      <c r="U11" s="99">
        <f t="shared" ref="U11" si="23">(I11)-S11</f>
        <v>5468227.8133864067</v>
      </c>
      <c r="V11" s="100">
        <f t="shared" ref="V11" si="24">IFERROR(((($H11*(1+D11+E11))-(O11+R11)-J11)/($F11-1)),"-")</f>
        <v>6512.4409736292191</v>
      </c>
      <c r="W11" s="100">
        <f t="shared" ref="W11" si="25">IFERROR((V11*(1+($F11-1)*0.1252%)),"-")</f>
        <v>6911.9662024794243</v>
      </c>
      <c r="X11" s="99">
        <f t="shared" ref="X11" si="26">IFERROR(V11*G11,"-")</f>
        <v>117223.93752532595</v>
      </c>
      <c r="Y11" s="55">
        <v>1</v>
      </c>
      <c r="AA11" s="97"/>
      <c r="AB11" s="97"/>
      <c r="AC11" s="97"/>
      <c r="AD11" s="98"/>
    </row>
    <row r="12" spans="1:31" x14ac:dyDescent="0.3">
      <c r="B12" s="78" t="e">
        <f t="shared" ref="B12:B13" si="27">D12/F12</f>
        <v>#DIV/0!</v>
      </c>
      <c r="C12" s="110"/>
      <c r="D12" s="111"/>
      <c r="E12" s="111"/>
      <c r="F12" s="110"/>
      <c r="G12" s="112"/>
      <c r="H12" s="113"/>
      <c r="I12" s="99">
        <f t="shared" ref="I12:I13" si="28">H12*G12</f>
        <v>0</v>
      </c>
      <c r="J12" s="164" t="str">
        <f t="shared" ref="J12:J13" si="29">IFERROR(((H12*(1+SUM(D12:E12)))/F12),"-")</f>
        <v>-</v>
      </c>
      <c r="K12" s="164" t="str">
        <f t="shared" ref="K12:K13" si="30">IFERROR((J12*(1+F12*0.0431%)),"-")</f>
        <v>-</v>
      </c>
      <c r="L12" s="99" t="str">
        <f t="shared" ref="L12:L13" si="31">IFERROR(J12*G12,"-")</f>
        <v>-</v>
      </c>
      <c r="M12" s="173" t="e">
        <f t="shared" ref="M12:M13" si="32">K12*G12</f>
        <v>#VALUE!</v>
      </c>
      <c r="N12" s="114"/>
      <c r="O12" s="164">
        <f t="shared" ref="O12:O13" si="33">((N12*($H12*(1+D12+E12)))*$Q$1)</f>
        <v>0</v>
      </c>
      <c r="P12" s="99">
        <f t="shared" ref="P12:P13" si="34">O12*G12</f>
        <v>0</v>
      </c>
      <c r="Q12" s="115">
        <v>0.3</v>
      </c>
      <c r="R12" s="164">
        <f t="shared" ref="R12:R13" si="35">((Q12*($H12*(1+D12+E12)))*$Q$1)</f>
        <v>0</v>
      </c>
      <c r="S12" s="99">
        <f t="shared" ref="S12:S13" si="36">R12*G12</f>
        <v>0</v>
      </c>
      <c r="T12" s="101">
        <f t="shared" ref="T12:T13" si="37">(N12+Q12)</f>
        <v>0.3</v>
      </c>
      <c r="U12" s="99">
        <f t="shared" ref="U12:U13" si="38">(I12)-S12</f>
        <v>0</v>
      </c>
      <c r="V12" s="100" t="str">
        <f t="shared" ref="V12:V13" si="39">IFERROR(((($H12*(1+D12+E12))-(O12+R12)-J12)/($F12-1)),"-")</f>
        <v>-</v>
      </c>
      <c r="W12" s="100" t="str">
        <f t="shared" ref="W12:W13" si="40">IFERROR((V12*(1+($F12-1)*0.1252%)),"-")</f>
        <v>-</v>
      </c>
      <c r="X12" s="99" t="str">
        <f t="shared" ref="X12:X13" si="41">IFERROR(V12*G12,"-")</f>
        <v>-</v>
      </c>
      <c r="Y12" s="55">
        <v>2</v>
      </c>
      <c r="AA12" s="97"/>
      <c r="AB12" s="97"/>
      <c r="AC12" s="97"/>
      <c r="AD12" s="98"/>
    </row>
    <row r="13" spans="1:31" x14ac:dyDescent="0.3">
      <c r="B13" s="78" t="e">
        <f t="shared" si="27"/>
        <v>#DIV/0!</v>
      </c>
      <c r="C13" s="110"/>
      <c r="D13" s="111"/>
      <c r="E13" s="111"/>
      <c r="F13" s="110"/>
      <c r="G13" s="112"/>
      <c r="H13" s="113"/>
      <c r="I13" s="99">
        <f t="shared" si="28"/>
        <v>0</v>
      </c>
      <c r="J13" s="164" t="str">
        <f t="shared" si="29"/>
        <v>-</v>
      </c>
      <c r="K13" s="164" t="str">
        <f t="shared" si="30"/>
        <v>-</v>
      </c>
      <c r="L13" s="99" t="str">
        <f t="shared" si="31"/>
        <v>-</v>
      </c>
      <c r="M13" s="173" t="e">
        <f t="shared" si="32"/>
        <v>#VALUE!</v>
      </c>
      <c r="N13" s="114"/>
      <c r="O13" s="164">
        <f t="shared" si="33"/>
        <v>0</v>
      </c>
      <c r="P13" s="99">
        <f t="shared" si="34"/>
        <v>0</v>
      </c>
      <c r="Q13" s="115">
        <v>0.3</v>
      </c>
      <c r="R13" s="164">
        <f t="shared" si="35"/>
        <v>0</v>
      </c>
      <c r="S13" s="99">
        <f t="shared" si="36"/>
        <v>0</v>
      </c>
      <c r="T13" s="101">
        <f t="shared" si="37"/>
        <v>0.3</v>
      </c>
      <c r="U13" s="99">
        <f t="shared" si="38"/>
        <v>0</v>
      </c>
      <c r="V13" s="100" t="str">
        <f t="shared" si="39"/>
        <v>-</v>
      </c>
      <c r="W13" s="100" t="str">
        <f t="shared" si="40"/>
        <v>-</v>
      </c>
      <c r="X13" s="99" t="str">
        <f t="shared" si="41"/>
        <v>-</v>
      </c>
      <c r="Y13" s="55">
        <v>2</v>
      </c>
      <c r="AA13" s="97"/>
      <c r="AB13" s="97"/>
      <c r="AC13" s="97"/>
      <c r="AD13" s="98"/>
    </row>
    <row r="14" spans="1:31" x14ac:dyDescent="0.3">
      <c r="B14" s="78"/>
      <c r="C14" s="32"/>
      <c r="D14" s="33"/>
      <c r="E14" s="33"/>
      <c r="F14" s="32"/>
      <c r="G14" s="34"/>
      <c r="H14" s="35"/>
      <c r="I14" s="35"/>
      <c r="J14" s="164"/>
      <c r="K14" s="164"/>
      <c r="L14" s="35"/>
      <c r="M14" s="173"/>
      <c r="N14" s="87"/>
      <c r="O14" s="36"/>
      <c r="P14" s="35"/>
      <c r="Q14" s="37"/>
      <c r="R14" s="36"/>
      <c r="S14" s="35"/>
      <c r="T14" s="87"/>
      <c r="U14" s="35"/>
      <c r="V14" s="36"/>
      <c r="W14" s="36"/>
      <c r="X14" s="35"/>
    </row>
    <row r="15" spans="1:31" s="108" customFormat="1" ht="52.5" customHeight="1" x14ac:dyDescent="0.3">
      <c r="A15" s="105"/>
      <c r="B15" s="106"/>
      <c r="C15" s="39" t="s">
        <v>43</v>
      </c>
      <c r="D15" s="76" t="e">
        <f>SUMPRODUCT(#REF!,#REF!)/SUM(#REF!)</f>
        <v>#REF!</v>
      </c>
      <c r="E15" s="107"/>
      <c r="F15" s="39" t="s">
        <v>22</v>
      </c>
      <c r="G15" s="40">
        <f t="shared" ref="G15:M15" si="42">SUM(G9:G14)</f>
        <v>40</v>
      </c>
      <c r="H15" s="41">
        <f t="shared" si="42"/>
        <v>954000</v>
      </c>
      <c r="I15" s="41">
        <f t="shared" si="42"/>
        <v>12867000</v>
      </c>
      <c r="J15" s="165">
        <f t="shared" si="42"/>
        <v>23675.333333333332</v>
      </c>
      <c r="K15" s="165">
        <f t="shared" si="42"/>
        <v>24146.502533333332</v>
      </c>
      <c r="L15" s="41">
        <f t="shared" si="42"/>
        <v>368341</v>
      </c>
      <c r="M15" s="174" t="e">
        <f t="shared" si="42"/>
        <v>#VALUE!</v>
      </c>
      <c r="N15" s="43">
        <f>IFERROR(SUMPRODUCT(H9:H14,N9:N14)/H15,"-")</f>
        <v>7.7955974842767298E-2</v>
      </c>
      <c r="O15" s="42">
        <f>SUM(O9:O14)</f>
        <v>81838.611875985313</v>
      </c>
      <c r="P15" s="41">
        <f>SUM(P9:P14)</f>
        <v>936359.03420892102</v>
      </c>
      <c r="Q15" s="43">
        <f>IFERROR(SUMPRODUCT(H9:H14,Q9:Q14)/H15,"-")</f>
        <v>0.20922431865828092</v>
      </c>
      <c r="R15" s="42">
        <f>SUM(R9:R14)</f>
        <v>220221.06122165979</v>
      </c>
      <c r="S15" s="41">
        <f>SUM(S9:S14)</f>
        <v>2329012.5796483299</v>
      </c>
      <c r="T15" s="43">
        <f>IFERROR(Q15+N15,"-")</f>
        <v>0.28718029350104823</v>
      </c>
      <c r="U15" s="41">
        <f>SUM(U9:U14)</f>
        <v>10537987.420351669</v>
      </c>
      <c r="V15" s="42">
        <f>SUM(V9:V14)</f>
        <v>17657.130785251251</v>
      </c>
      <c r="W15" s="42">
        <f>SUM(W9:W14)</f>
        <v>18617.996957199666</v>
      </c>
      <c r="X15" s="41">
        <f>SUM(X9:X14)</f>
        <v>288682.7329073131</v>
      </c>
      <c r="AA15" s="109"/>
      <c r="AB15" s="109"/>
      <c r="AC15" s="109"/>
      <c r="AD15" s="109"/>
      <c r="AE15" s="109"/>
    </row>
    <row r="16" spans="1:31" x14ac:dyDescent="0.3">
      <c r="B16" s="75"/>
      <c r="D16" s="75"/>
      <c r="H16" s="44"/>
      <c r="I16" s="44"/>
      <c r="J16" s="166"/>
      <c r="K16" s="166"/>
      <c r="L16" s="44"/>
      <c r="M16" s="166"/>
      <c r="N16" s="7"/>
      <c r="O16" s="44"/>
      <c r="P16" s="44"/>
      <c r="Q16" s="7"/>
      <c r="R16" s="44"/>
      <c r="S16" s="44"/>
      <c r="U16" s="44"/>
      <c r="V16" s="44"/>
      <c r="W16" s="44"/>
    </row>
    <row r="17" spans="1:26" ht="21.6" thickBot="1" x14ac:dyDescent="0.45">
      <c r="B17" s="31"/>
      <c r="C17" s="45" t="s">
        <v>30</v>
      </c>
      <c r="H17" s="65"/>
      <c r="I17" s="65"/>
      <c r="J17" s="167"/>
      <c r="N17" s="44"/>
    </row>
    <row r="18" spans="1:26" x14ac:dyDescent="0.3">
      <c r="C18" s="17"/>
      <c r="D18" s="17"/>
      <c r="E18" s="17"/>
      <c r="F18" s="17"/>
      <c r="G18" s="20"/>
      <c r="H18" s="20"/>
      <c r="I18" s="20"/>
      <c r="J18" s="160"/>
      <c r="K18" s="168"/>
      <c r="L18" s="20"/>
      <c r="M18" s="160"/>
      <c r="N18" s="21"/>
      <c r="O18" s="22"/>
      <c r="P18" s="22"/>
      <c r="Q18" s="23"/>
      <c r="R18" s="24"/>
      <c r="S18" s="24"/>
      <c r="T18" s="25"/>
      <c r="U18" s="25"/>
      <c r="V18" s="25"/>
      <c r="W18" s="25"/>
      <c r="X18" s="25"/>
      <c r="Z18" s="26"/>
    </row>
    <row r="19" spans="1:26" x14ac:dyDescent="0.3">
      <c r="C19" s="123" t="s">
        <v>31</v>
      </c>
      <c r="D19" s="123"/>
      <c r="E19" s="137">
        <f>I15</f>
        <v>12867000</v>
      </c>
      <c r="F19" s="137"/>
      <c r="H19" s="13"/>
      <c r="I19" s="89"/>
      <c r="L19" s="49"/>
      <c r="M19" s="169"/>
      <c r="N19" s="44"/>
      <c r="P19" s="44"/>
      <c r="Z19" s="50"/>
    </row>
    <row r="20" spans="1:26" x14ac:dyDescent="0.3">
      <c r="C20" s="130" t="s">
        <v>4</v>
      </c>
      <c r="D20" s="130"/>
      <c r="E20" s="131">
        <f>L15</f>
        <v>368341</v>
      </c>
      <c r="F20" s="131"/>
      <c r="G20" s="50"/>
      <c r="H20" s="13"/>
      <c r="K20" s="169">
        <f>J11*G11</f>
        <v>161045.99999999997</v>
      </c>
      <c r="L20" s="49"/>
      <c r="N20"/>
      <c r="P20" s="44"/>
    </row>
    <row r="21" spans="1:26" ht="12.75" customHeight="1" x14ac:dyDescent="0.3">
      <c r="H21" s="13"/>
      <c r="K21" s="155">
        <f>8947*18</f>
        <v>161046</v>
      </c>
    </row>
    <row r="22" spans="1:26" ht="15.75" customHeight="1" x14ac:dyDescent="0.3">
      <c r="C22" s="123" t="s">
        <v>32</v>
      </c>
      <c r="D22" s="123"/>
      <c r="E22" s="132">
        <f>P15+S15</f>
        <v>3265371.6138572507</v>
      </c>
      <c r="F22" s="132"/>
      <c r="H22" s="39" t="s">
        <v>54</v>
      </c>
      <c r="I22" s="64"/>
      <c r="J22" s="170"/>
    </row>
    <row r="23" spans="1:26" ht="15.6" x14ac:dyDescent="0.3">
      <c r="C23" s="121" t="s">
        <v>53</v>
      </c>
      <c r="D23" s="121"/>
      <c r="E23" s="122">
        <f>P15</f>
        <v>936359.03420892102</v>
      </c>
      <c r="F23" s="122"/>
      <c r="G23" s="53"/>
      <c r="H23" s="40">
        <f>AVERAGE(F9:F13)</f>
        <v>50</v>
      </c>
      <c r="I23" s="64"/>
      <c r="J23" s="170"/>
      <c r="L23" s="54"/>
      <c r="M23" s="175"/>
      <c r="N23" s="54"/>
    </row>
    <row r="24" spans="1:26" x14ac:dyDescent="0.3">
      <c r="C24" s="121" t="s">
        <v>34</v>
      </c>
      <c r="D24" s="121"/>
      <c r="E24" s="122">
        <f>S15</f>
        <v>2329012.5796483299</v>
      </c>
      <c r="F24" s="122"/>
      <c r="G24" s="88"/>
      <c r="H24" s="44"/>
      <c r="M24" s="176"/>
      <c r="S24"/>
    </row>
    <row r="25" spans="1:26" ht="6.9" customHeight="1" x14ac:dyDescent="0.3">
      <c r="C25" s="51"/>
      <c r="D25" s="51"/>
      <c r="E25" s="51"/>
      <c r="F25" s="51"/>
      <c r="G25" s="51"/>
      <c r="I25" s="1"/>
      <c r="L25"/>
      <c r="M25" s="176"/>
    </row>
    <row r="26" spans="1:26" ht="15" customHeight="1" x14ac:dyDescent="0.3">
      <c r="C26" s="123" t="s">
        <v>35</v>
      </c>
      <c r="D26" s="123"/>
      <c r="E26" s="124">
        <f>U15</f>
        <v>10537987.420351669</v>
      </c>
      <c r="F26" s="125"/>
      <c r="G26" s="51"/>
      <c r="H26" s="65"/>
      <c r="I26" s="13"/>
    </row>
    <row r="27" spans="1:26" x14ac:dyDescent="0.3">
      <c r="C27" s="121" t="s">
        <v>7</v>
      </c>
      <c r="D27" s="121"/>
      <c r="E27" s="122">
        <f>X15</f>
        <v>288682.7329073131</v>
      </c>
      <c r="F27" s="122"/>
      <c r="G27" s="51"/>
      <c r="H27" s="13"/>
      <c r="I27" s="1"/>
    </row>
    <row r="28" spans="1:26" x14ac:dyDescent="0.3">
      <c r="I28" s="55"/>
    </row>
    <row r="29" spans="1:26" hidden="1" x14ac:dyDescent="0.3">
      <c r="A29" s="2"/>
      <c r="C29" s="84" t="s">
        <v>48</v>
      </c>
      <c r="N29" s="44"/>
      <c r="S29" s="57"/>
      <c r="X29" s="57"/>
    </row>
    <row r="30" spans="1:26" hidden="1" x14ac:dyDescent="0.3">
      <c r="A30" s="2"/>
    </row>
    <row r="31" spans="1:26" hidden="1" x14ac:dyDescent="0.3">
      <c r="A31" s="2"/>
    </row>
    <row r="32" spans="1:26" hidden="1" x14ac:dyDescent="0.3">
      <c r="A32" s="2"/>
    </row>
    <row r="33" spans="1:4" hidden="1" x14ac:dyDescent="0.3">
      <c r="A33" s="2"/>
    </row>
    <row r="34" spans="1:4" hidden="1" x14ac:dyDescent="0.3">
      <c r="C34" s="118" t="s">
        <v>55</v>
      </c>
      <c r="D34" s="116">
        <f>E26-E23</f>
        <v>9601628.3861427475</v>
      </c>
    </row>
    <row r="35" spans="1:4" hidden="1" x14ac:dyDescent="0.3">
      <c r="C35" s="118" t="s">
        <v>57</v>
      </c>
      <c r="D35" s="117">
        <f>AVERAGE(D9:D13:E9:E13)*2</f>
        <v>0.14333333333333334</v>
      </c>
    </row>
    <row r="36" spans="1:4" hidden="1" x14ac:dyDescent="0.3">
      <c r="C36" s="118" t="s">
        <v>56</v>
      </c>
      <c r="D36" s="116">
        <f>E19*D35</f>
        <v>1844270</v>
      </c>
    </row>
    <row r="37" spans="1:4" x14ac:dyDescent="0.3">
      <c r="C37" s="118" t="s">
        <v>59</v>
      </c>
      <c r="D37" s="119">
        <f>(D36/D34)/H23</f>
        <v>3.8415775446208385E-3</v>
      </c>
    </row>
    <row r="38" spans="1:4" x14ac:dyDescent="0.3">
      <c r="C38" s="118" t="s">
        <v>60</v>
      </c>
      <c r="D38" s="119">
        <f>D37*12</f>
        <v>4.6098930535450063E-2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V7:V8"/>
    <mergeCell ref="W7:W8"/>
    <mergeCell ref="X7:X8"/>
    <mergeCell ref="C19:D19"/>
    <mergeCell ref="E19:F1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20:D20"/>
    <mergeCell ref="E20:F20"/>
    <mergeCell ref="C22:D22"/>
    <mergeCell ref="E22:F22"/>
    <mergeCell ref="C27:D27"/>
    <mergeCell ref="E27:F27"/>
    <mergeCell ref="C23:D23"/>
    <mergeCell ref="E23:F23"/>
    <mergeCell ref="C24:D24"/>
    <mergeCell ref="E24:F24"/>
    <mergeCell ref="C26:D26"/>
    <mergeCell ref="E26:F2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EDA-1375-4390-9F19-D97A7BE778DB}">
  <dimension ref="A1:AE317"/>
  <sheetViews>
    <sheetView topLeftCell="L4" workbookViewId="0">
      <selection activeCell="P17" sqref="P17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4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24" si="1">H9*G9</f>
        <v>316049.64</v>
      </c>
      <c r="J9" s="100">
        <f t="shared" ref="J9:J10" si="2">IFERROR(((H9*(1+SUM(D9:E9)))/F9),"-")</f>
        <v>4219.7836549450558</v>
      </c>
      <c r="K9" s="100">
        <f t="shared" ref="K9:K12" si="3">IFERROR((J9*(1+F9*0.0431%)),"-")</f>
        <v>4385.2877896756554</v>
      </c>
      <c r="L9" s="99">
        <f t="shared" ref="L9:L12" si="4">IFERROR(J9*G9,"-")</f>
        <v>4219.7836549450558</v>
      </c>
      <c r="M9" s="35">
        <f t="shared" ref="M9:M24" si="5">K9*G9</f>
        <v>4385.2877896756554</v>
      </c>
      <c r="N9" s="114">
        <v>0.15570000000000001</v>
      </c>
      <c r="O9" s="36">
        <f t="shared" ref="O9:O24" si="6">((N9*($H9*(1+D9+E9)))*$Q$1)</f>
        <v>56941.788782389216</v>
      </c>
      <c r="P9" s="99">
        <f t="shared" ref="P9:P24" si="7">O9*G9</f>
        <v>56941.788782389216</v>
      </c>
      <c r="Q9" s="115">
        <v>0.3</v>
      </c>
      <c r="R9" s="36">
        <f t="shared" ref="R9:R24" si="8">((Q9*($H9*(1+D9+E9)))*$Q$1)</f>
        <v>109714.42925315841</v>
      </c>
      <c r="S9" s="99">
        <f t="shared" ref="S9:S24" si="9">R9*G9</f>
        <v>109714.42925315841</v>
      </c>
      <c r="T9" s="101">
        <f t="shared" ref="T9:T24" si="10">(N9+Q9)</f>
        <v>0.45569999999999999</v>
      </c>
      <c r="U9" s="99">
        <f t="shared" ref="U9:U24" si="11">(I9)-S9</f>
        <v>206335.21074684162</v>
      </c>
      <c r="V9" s="100">
        <f t="shared" ref="V9:V12" si="12">IFERROR(((($H9*(1+D9+E9))-(O9+R9)-J9)/($F9-1)),"-")</f>
        <v>2368.0478989945254</v>
      </c>
      <c r="W9" s="100">
        <f t="shared" ref="W9:W12" si="13">IFERROR((V9*(1+($F9-1)*0.1252%)),"-")</f>
        <v>2634.8795362532287</v>
      </c>
      <c r="X9" s="99">
        <f t="shared" ref="X9:X12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12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1.7708333333333335E-3</v>
      </c>
      <c r="C13" s="110">
        <v>3048</v>
      </c>
      <c r="D13" s="111">
        <v>0.17</v>
      </c>
      <c r="E13" s="111">
        <v>4.4999999999999998E-2</v>
      </c>
      <c r="F13" s="110">
        <v>96</v>
      </c>
      <c r="G13" s="112">
        <v>1</v>
      </c>
      <c r="H13" s="113">
        <v>761333.97</v>
      </c>
      <c r="I13" s="99">
        <f t="shared" si="1"/>
        <v>761333.97</v>
      </c>
      <c r="J13" s="100">
        <f t="shared" ref="J13:J15" si="16">IFERROR(((H13*(1+SUM(D13:E13)))/F13),"-")</f>
        <v>9635.6330578124998</v>
      </c>
      <c r="K13" s="100">
        <f t="shared" ref="K13:K15" si="17">IFERROR((J13*(1+F13*0.0431%)),"-")</f>
        <v>10034.31701121255</v>
      </c>
      <c r="L13" s="99">
        <f t="shared" ref="L13:L15" si="18">IFERROR(J13*G13,"-")</f>
        <v>9635.6330578124998</v>
      </c>
      <c r="M13" s="35">
        <f t="shared" si="5"/>
        <v>10034.31701121255</v>
      </c>
      <c r="N13" s="120">
        <v>0.17</v>
      </c>
      <c r="O13" s="36">
        <f t="shared" si="6"/>
        <v>149765.34211767607</v>
      </c>
      <c r="P13" s="99">
        <f t="shared" si="7"/>
        <v>149765.34211767607</v>
      </c>
      <c r="Q13" s="115">
        <v>0.3</v>
      </c>
      <c r="R13" s="36">
        <f t="shared" si="8"/>
        <v>264291.78020766366</v>
      </c>
      <c r="S13" s="99">
        <f t="shared" si="9"/>
        <v>264291.78020766366</v>
      </c>
      <c r="T13" s="101">
        <f t="shared" si="10"/>
        <v>0.47</v>
      </c>
      <c r="U13" s="99">
        <f t="shared" si="11"/>
        <v>497042.18979233631</v>
      </c>
      <c r="V13" s="100">
        <f t="shared" ref="V13:V15" si="19">IFERROR(((($H13*(1+D13+E13))-(O13+R13)-J13)/($F13-1)),"-")</f>
        <v>5277.1370333352379</v>
      </c>
      <c r="W13" s="100">
        <f t="shared" ref="W13:W15" si="20">IFERROR((V13*(1+($F13-1)*0.1252%)),"-")</f>
        <v>5904.799712080131</v>
      </c>
      <c r="X13" s="99">
        <f t="shared" ref="X13:X15" si="21">IFERROR(V13*G13,"-")</f>
        <v>5277.1370333352379</v>
      </c>
      <c r="Y13" s="55">
        <v>5</v>
      </c>
      <c r="AA13" s="97"/>
      <c r="AB13" s="97"/>
      <c r="AC13" s="97"/>
      <c r="AD13" s="98"/>
    </row>
    <row r="14" spans="1:31" x14ac:dyDescent="0.3">
      <c r="B14" s="78">
        <f t="shared" si="0"/>
        <v>1.7708333333333335E-3</v>
      </c>
      <c r="C14" s="110">
        <v>3049</v>
      </c>
      <c r="D14" s="111">
        <v>0.17</v>
      </c>
      <c r="E14" s="111">
        <v>4.4999999999999998E-2</v>
      </c>
      <c r="F14" s="110">
        <v>96</v>
      </c>
      <c r="G14" s="112">
        <v>1</v>
      </c>
      <c r="H14" s="113">
        <v>304533.59999999998</v>
      </c>
      <c r="I14" s="99">
        <f t="shared" si="1"/>
        <v>304533.59999999998</v>
      </c>
      <c r="J14" s="100">
        <f t="shared" si="16"/>
        <v>3854.2533750000002</v>
      </c>
      <c r="K14" s="100">
        <f t="shared" si="17"/>
        <v>4013.7269626440007</v>
      </c>
      <c r="L14" s="99">
        <f t="shared" si="18"/>
        <v>3854.2533750000002</v>
      </c>
      <c r="M14" s="35">
        <f t="shared" si="5"/>
        <v>4013.7269626440007</v>
      </c>
      <c r="N14" s="114">
        <v>0.15</v>
      </c>
      <c r="O14" s="36">
        <f t="shared" si="6"/>
        <v>52858.358124390899</v>
      </c>
      <c r="P14" s="99">
        <f t="shared" si="7"/>
        <v>52858.358124390899</v>
      </c>
      <c r="Q14" s="115">
        <v>0.3</v>
      </c>
      <c r="R14" s="36">
        <f t="shared" si="8"/>
        <v>105716.7162487818</v>
      </c>
      <c r="S14" s="99">
        <f t="shared" si="9"/>
        <v>105716.7162487818</v>
      </c>
      <c r="T14" s="101">
        <f t="shared" si="10"/>
        <v>0.44999999999999996</v>
      </c>
      <c r="U14" s="99">
        <f t="shared" si="11"/>
        <v>198816.88375121818</v>
      </c>
      <c r="V14" s="100">
        <f t="shared" si="19"/>
        <v>2185.0420658087073</v>
      </c>
      <c r="W14" s="100">
        <f t="shared" si="20"/>
        <v>2444.9309691159951</v>
      </c>
      <c r="X14" s="99">
        <f t="shared" si="21"/>
        <v>2185.0420658087073</v>
      </c>
      <c r="Y14" s="55">
        <v>3</v>
      </c>
      <c r="AA14" s="97"/>
      <c r="AB14" s="97"/>
      <c r="AC14" s="97"/>
      <c r="AD14" s="98"/>
    </row>
    <row r="15" spans="1:31" x14ac:dyDescent="0.3">
      <c r="B15" s="78">
        <f t="shared" si="0"/>
        <v>2.268041237113402E-3</v>
      </c>
      <c r="C15" s="110">
        <v>3051</v>
      </c>
      <c r="D15" s="111">
        <v>0.22</v>
      </c>
      <c r="E15" s="111">
        <v>0.05</v>
      </c>
      <c r="F15" s="110">
        <v>97</v>
      </c>
      <c r="G15" s="112">
        <v>1</v>
      </c>
      <c r="H15" s="113">
        <v>303986.94</v>
      </c>
      <c r="I15" s="99">
        <f t="shared" si="1"/>
        <v>303986.94</v>
      </c>
      <c r="J15" s="100">
        <f t="shared" si="16"/>
        <v>3980.0351938144327</v>
      </c>
      <c r="K15" s="100">
        <f t="shared" si="17"/>
        <v>4146.4285251622323</v>
      </c>
      <c r="L15" s="99">
        <f t="shared" si="18"/>
        <v>3980.0351938144327</v>
      </c>
      <c r="M15" s="35">
        <f t="shared" si="5"/>
        <v>4146.4285251622323</v>
      </c>
      <c r="N15" s="120">
        <v>0.2059</v>
      </c>
      <c r="O15" s="36">
        <f t="shared" si="6"/>
        <v>75705.234465062458</v>
      </c>
      <c r="P15" s="99">
        <f t="shared" si="7"/>
        <v>75705.234465062458</v>
      </c>
      <c r="Q15" s="115">
        <v>0.3</v>
      </c>
      <c r="R15" s="36">
        <f t="shared" si="8"/>
        <v>110303.88703020271</v>
      </c>
      <c r="S15" s="99">
        <f t="shared" si="9"/>
        <v>110303.88703020271</v>
      </c>
      <c r="T15" s="101">
        <f t="shared" si="10"/>
        <v>0.50590000000000002</v>
      </c>
      <c r="U15" s="99">
        <f t="shared" si="11"/>
        <v>193683.05296979728</v>
      </c>
      <c r="V15" s="100">
        <f t="shared" si="19"/>
        <v>2042.440178238754</v>
      </c>
      <c r="W15" s="100">
        <f t="shared" si="20"/>
        <v>2287.9251481416263</v>
      </c>
      <c r="X15" s="99">
        <f t="shared" si="21"/>
        <v>2042.440178238754</v>
      </c>
      <c r="Y15" s="55">
        <v>8</v>
      </c>
      <c r="AA15" s="97"/>
      <c r="AB15" s="97"/>
      <c r="AC15" s="97"/>
      <c r="AD15" s="98"/>
    </row>
    <row r="16" spans="1:31" x14ac:dyDescent="0.3">
      <c r="B16" s="78">
        <f t="shared" si="0"/>
        <v>2.2448979591836735E-3</v>
      </c>
      <c r="C16" s="110">
        <v>3053</v>
      </c>
      <c r="D16" s="111">
        <v>0.22</v>
      </c>
      <c r="E16" s="111">
        <v>0.05</v>
      </c>
      <c r="F16" s="110">
        <v>98</v>
      </c>
      <c r="G16" s="112">
        <v>1</v>
      </c>
      <c r="H16" s="113">
        <v>304930.76</v>
      </c>
      <c r="I16" s="99">
        <f t="shared" si="1"/>
        <v>304930.76</v>
      </c>
      <c r="J16" s="100">
        <f t="shared" ref="J16:J20" si="22">IFERROR(((H16*(1+SUM(D16:E16)))/F16),"-")</f>
        <v>3951.6537265306124</v>
      </c>
      <c r="K16" s="100">
        <f t="shared" ref="K16:K20" si="23">IFERROR((J16*(1+F16*0.0431%)),"-")</f>
        <v>4118.5636766318121</v>
      </c>
      <c r="L16" s="99">
        <f t="shared" ref="L16:L20" si="24">IFERROR(J16*G16,"-")</f>
        <v>3951.6537265306124</v>
      </c>
      <c r="M16" s="35">
        <f t="shared" si="5"/>
        <v>4118.5636766318121</v>
      </c>
      <c r="N16" s="114">
        <v>0.18</v>
      </c>
      <c r="O16" s="36">
        <f t="shared" si="6"/>
        <v>66387.815416821235</v>
      </c>
      <c r="P16" s="99">
        <f t="shared" si="7"/>
        <v>66387.815416821235</v>
      </c>
      <c r="Q16" s="115">
        <v>0.3</v>
      </c>
      <c r="R16" s="36">
        <f t="shared" si="8"/>
        <v>110646.3590280354</v>
      </c>
      <c r="S16" s="99">
        <f t="shared" si="9"/>
        <v>110646.3590280354</v>
      </c>
      <c r="T16" s="101">
        <f t="shared" si="10"/>
        <v>0.48</v>
      </c>
      <c r="U16" s="99">
        <f t="shared" si="11"/>
        <v>194284.40097196461</v>
      </c>
      <c r="V16" s="100">
        <f t="shared" ref="V16:V20" si="25">IFERROR(((($H16*(1+D16+E16))-(O16+R16)-J16)/($F16-1)),"-")</f>
        <v>2126.5591446248736</v>
      </c>
      <c r="W16" s="100">
        <f t="shared" ref="W16:W20" si="26">IFERROR((V16*(1+($F16-1)*0.1252%)),"-")</f>
        <v>2384.8169933846971</v>
      </c>
      <c r="X16" s="99">
        <f t="shared" ref="X16:X20" si="27">IFERROR(V16*G16,"-")</f>
        <v>2126.5591446248736</v>
      </c>
      <c r="Y16" s="55">
        <v>5</v>
      </c>
      <c r="AA16" s="97"/>
      <c r="AB16" s="97"/>
      <c r="AC16" s="97"/>
      <c r="AD16" s="98"/>
    </row>
    <row r="17" spans="1:31" x14ac:dyDescent="0.3">
      <c r="B17" s="78">
        <f t="shared" si="0"/>
        <v>2.2000000000000001E-3</v>
      </c>
      <c r="C17" s="110">
        <v>3054</v>
      </c>
      <c r="D17" s="111">
        <v>0.22</v>
      </c>
      <c r="E17" s="111">
        <v>0.05</v>
      </c>
      <c r="F17" s="110">
        <v>100</v>
      </c>
      <c r="G17" s="112">
        <v>1</v>
      </c>
      <c r="H17" s="113">
        <v>760535.51</v>
      </c>
      <c r="I17" s="99">
        <f t="shared" si="1"/>
        <v>760535.51</v>
      </c>
      <c r="J17" s="100">
        <f t="shared" si="22"/>
        <v>9658.8009770000008</v>
      </c>
      <c r="K17" s="100">
        <f t="shared" si="23"/>
        <v>10075.0952991087</v>
      </c>
      <c r="L17" s="99">
        <f t="shared" si="24"/>
        <v>9658.8009770000008</v>
      </c>
      <c r="M17" s="35">
        <f t="shared" si="5"/>
        <v>10075.0952991087</v>
      </c>
      <c r="N17" s="114">
        <v>0.23</v>
      </c>
      <c r="O17" s="36">
        <f t="shared" si="6"/>
        <v>211573.8402536246</v>
      </c>
      <c r="P17" s="99">
        <f t="shared" si="7"/>
        <v>211573.8402536246</v>
      </c>
      <c r="Q17" s="115">
        <v>0.3</v>
      </c>
      <c r="R17" s="36">
        <f t="shared" si="8"/>
        <v>275965.87859168428</v>
      </c>
      <c r="S17" s="99">
        <f t="shared" si="9"/>
        <v>275965.87859168428</v>
      </c>
      <c r="T17" s="101">
        <f t="shared" si="10"/>
        <v>0.53</v>
      </c>
      <c r="U17" s="99">
        <f t="shared" si="11"/>
        <v>484569.63140831573</v>
      </c>
      <c r="V17" s="100">
        <f t="shared" si="25"/>
        <v>4734.1573522999106</v>
      </c>
      <c r="W17" s="100">
        <f t="shared" si="26"/>
        <v>5320.9466878027797</v>
      </c>
      <c r="X17" s="99">
        <f t="shared" si="27"/>
        <v>4734.1573522999106</v>
      </c>
      <c r="Y17" s="55">
        <v>8</v>
      </c>
      <c r="AA17" s="97"/>
      <c r="AB17" s="97"/>
      <c r="AC17" s="97"/>
      <c r="AD17" s="98"/>
    </row>
    <row r="18" spans="1:31" x14ac:dyDescent="0.3">
      <c r="B18" s="78">
        <f t="shared" si="0"/>
        <v>2.0754716981132076E-3</v>
      </c>
      <c r="C18" s="110">
        <v>3060</v>
      </c>
      <c r="D18" s="111">
        <v>0.22</v>
      </c>
      <c r="E18" s="111">
        <v>0.05</v>
      </c>
      <c r="F18" s="110">
        <v>106</v>
      </c>
      <c r="G18" s="112">
        <v>1</v>
      </c>
      <c r="H18" s="113">
        <v>733991.03</v>
      </c>
      <c r="I18" s="99">
        <f t="shared" si="1"/>
        <v>733991.03</v>
      </c>
      <c r="J18" s="100">
        <f t="shared" si="22"/>
        <v>8794.0434726415097</v>
      </c>
      <c r="K18" s="100">
        <f t="shared" si="23"/>
        <v>9195.8081427326088</v>
      </c>
      <c r="L18" s="99">
        <f t="shared" si="24"/>
        <v>8794.0434726415097</v>
      </c>
      <c r="M18" s="35">
        <f t="shared" si="5"/>
        <v>9195.8081427326088</v>
      </c>
      <c r="N18" s="120">
        <v>0.25080000000000002</v>
      </c>
      <c r="O18" s="36">
        <f t="shared" si="6"/>
        <v>222655.24043564696</v>
      </c>
      <c r="P18" s="99">
        <f t="shared" si="7"/>
        <v>222655.24043564696</v>
      </c>
      <c r="Q18" s="115">
        <v>0.3</v>
      </c>
      <c r="R18" s="36">
        <f t="shared" si="8"/>
        <v>266334.01965986477</v>
      </c>
      <c r="S18" s="99">
        <f t="shared" si="9"/>
        <v>266334.01965986477</v>
      </c>
      <c r="T18" s="101">
        <f t="shared" si="10"/>
        <v>0.55079999999999996</v>
      </c>
      <c r="U18" s="99">
        <f t="shared" si="11"/>
        <v>467657.01034013525</v>
      </c>
      <c r="V18" s="100">
        <f t="shared" si="25"/>
        <v>4137.0029003033032</v>
      </c>
      <c r="W18" s="100">
        <f t="shared" si="26"/>
        <v>4680.8533015771764</v>
      </c>
      <c r="X18" s="99">
        <f t="shared" si="27"/>
        <v>4137.0029003033032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1.9298245614035089E-3</v>
      </c>
      <c r="C19" s="110">
        <v>3061</v>
      </c>
      <c r="D19" s="111">
        <v>0.22</v>
      </c>
      <c r="E19" s="111">
        <v>0.05</v>
      </c>
      <c r="F19" s="110">
        <v>114</v>
      </c>
      <c r="G19" s="112">
        <v>1</v>
      </c>
      <c r="H19" s="113">
        <v>365097.89</v>
      </c>
      <c r="I19" s="99">
        <f t="shared" si="1"/>
        <v>365097.89</v>
      </c>
      <c r="J19" s="100">
        <f t="shared" si="22"/>
        <v>4067.3185991228074</v>
      </c>
      <c r="K19" s="100">
        <f t="shared" si="23"/>
        <v>4267.1622311721076</v>
      </c>
      <c r="L19" s="99">
        <f t="shared" si="24"/>
        <v>4067.3185991228074</v>
      </c>
      <c r="M19" s="35">
        <f t="shared" si="5"/>
        <v>4267.1622311721076</v>
      </c>
      <c r="N19" s="120">
        <v>0.25</v>
      </c>
      <c r="O19" s="36">
        <f t="shared" si="6"/>
        <v>110398.70225325409</v>
      </c>
      <c r="P19" s="99">
        <f t="shared" si="7"/>
        <v>110398.70225325409</v>
      </c>
      <c r="Q19" s="115">
        <v>0.3</v>
      </c>
      <c r="R19" s="36">
        <f t="shared" si="8"/>
        <v>132478.44270390488</v>
      </c>
      <c r="S19" s="99">
        <f t="shared" si="9"/>
        <v>132478.44270390488</v>
      </c>
      <c r="T19" s="101">
        <f t="shared" si="10"/>
        <v>0.55000000000000004</v>
      </c>
      <c r="U19" s="99">
        <f t="shared" si="11"/>
        <v>232619.44729609514</v>
      </c>
      <c r="V19" s="100">
        <f t="shared" si="25"/>
        <v>1917.9633340152059</v>
      </c>
      <c r="W19" s="100">
        <f t="shared" si="26"/>
        <v>2189.3091146583411</v>
      </c>
      <c r="X19" s="99">
        <f t="shared" si="27"/>
        <v>1917.9633340152059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1.9130434782608696E-3</v>
      </c>
      <c r="C20" s="110">
        <v>3062</v>
      </c>
      <c r="D20" s="111">
        <v>0.22</v>
      </c>
      <c r="E20" s="111">
        <v>0.05</v>
      </c>
      <c r="F20" s="110">
        <v>115</v>
      </c>
      <c r="G20" s="112">
        <v>1</v>
      </c>
      <c r="H20" s="113">
        <v>365353.2</v>
      </c>
      <c r="I20" s="99">
        <f t="shared" si="1"/>
        <v>365353.2</v>
      </c>
      <c r="J20" s="100">
        <f t="shared" si="22"/>
        <v>4034.7701217391304</v>
      </c>
      <c r="K20" s="100">
        <f t="shared" si="23"/>
        <v>4234.7535028231305</v>
      </c>
      <c r="L20" s="99">
        <f t="shared" si="24"/>
        <v>4034.7701217391304</v>
      </c>
      <c r="M20" s="35">
        <f t="shared" si="5"/>
        <v>4234.7535028231305</v>
      </c>
      <c r="N20" s="120">
        <v>0.1</v>
      </c>
      <c r="O20" s="36">
        <f t="shared" si="6"/>
        <v>44190.361268944711</v>
      </c>
      <c r="P20" s="99">
        <f t="shared" si="7"/>
        <v>44190.361268944711</v>
      </c>
      <c r="Q20" s="115">
        <v>0.3</v>
      </c>
      <c r="R20" s="36">
        <f t="shared" si="8"/>
        <v>132571.08380683413</v>
      </c>
      <c r="S20" s="99">
        <f t="shared" si="9"/>
        <v>132571.08380683413</v>
      </c>
      <c r="T20" s="101">
        <f t="shared" si="10"/>
        <v>0.4</v>
      </c>
      <c r="U20" s="99">
        <f t="shared" si="11"/>
        <v>232782.11619316589</v>
      </c>
      <c r="V20" s="100">
        <f t="shared" si="25"/>
        <v>2484.2311298463333</v>
      </c>
      <c r="W20" s="100">
        <f t="shared" si="26"/>
        <v>2838.8004705470407</v>
      </c>
      <c r="X20" s="99">
        <f t="shared" si="27"/>
        <v>2484.2311298463333</v>
      </c>
      <c r="Y20" s="55">
        <v>8</v>
      </c>
      <c r="AA20" s="97"/>
      <c r="AB20" s="97"/>
      <c r="AC20" s="97"/>
      <c r="AD20" s="98"/>
    </row>
    <row r="21" spans="1:31" x14ac:dyDescent="0.3">
      <c r="B21" s="78">
        <f t="shared" si="0"/>
        <v>1.6058394160583941E-3</v>
      </c>
      <c r="C21" s="110">
        <v>3070</v>
      </c>
      <c r="D21" s="111">
        <v>0.22</v>
      </c>
      <c r="E21" s="111">
        <v>0.05</v>
      </c>
      <c r="F21" s="110">
        <v>137</v>
      </c>
      <c r="G21" s="112">
        <v>1</v>
      </c>
      <c r="H21" s="113">
        <v>337998.88</v>
      </c>
      <c r="I21" s="99">
        <f t="shared" si="1"/>
        <v>337998.88</v>
      </c>
      <c r="J21" s="100">
        <f>IFERROR(((H21*(1+SUM(D21:E21)))/F21),"-")</f>
        <v>3133.2742890510949</v>
      </c>
      <c r="K21" s="100">
        <f>IFERROR((J21*(1+F21*0.0431%)),"-")</f>
        <v>3318.284735996695</v>
      </c>
      <c r="L21" s="99">
        <f>IFERROR(J21*G21,"-")</f>
        <v>3133.2742890510949</v>
      </c>
      <c r="M21" s="35">
        <f t="shared" si="5"/>
        <v>3318.284735996695</v>
      </c>
      <c r="N21" s="120">
        <v>0.2</v>
      </c>
      <c r="O21" s="36">
        <f t="shared" si="6"/>
        <v>81763.579000806305</v>
      </c>
      <c r="P21" s="99">
        <f t="shared" si="7"/>
        <v>81763.579000806305</v>
      </c>
      <c r="Q21" s="115">
        <v>0.3</v>
      </c>
      <c r="R21" s="36">
        <f t="shared" si="8"/>
        <v>122645.36850120944</v>
      </c>
      <c r="S21" s="99">
        <f t="shared" si="9"/>
        <v>122645.36850120944</v>
      </c>
      <c r="T21" s="101">
        <f t="shared" si="10"/>
        <v>0.5</v>
      </c>
      <c r="U21" s="99">
        <f t="shared" si="11"/>
        <v>215353.51149879058</v>
      </c>
      <c r="V21" s="100">
        <f>IFERROR(((($H21*(1+D21+E21))-(O21+R21)-J21)/($F21-1)),"-")</f>
        <v>1630.2673221245086</v>
      </c>
      <c r="W21" s="100">
        <f>IFERROR((V21*(1+($F21-1)*0.1252%)),"-")</f>
        <v>1907.856199597293</v>
      </c>
      <c r="X21" s="99">
        <f>IFERROR(V21*G21,"-")</f>
        <v>1630.2673221245086</v>
      </c>
      <c r="Y21" s="55">
        <v>4</v>
      </c>
      <c r="AA21" s="97" t="e">
        <f>#REF!</f>
        <v>#REF!</v>
      </c>
      <c r="AB21" s="97" t="e">
        <f>#REF!</f>
        <v>#REF!</v>
      </c>
      <c r="AC21" s="97">
        <f>AVERAGE(F21:F25)</f>
        <v>147.4</v>
      </c>
      <c r="AD21" s="98" t="e">
        <f>#REF!</f>
        <v>#REF!</v>
      </c>
    </row>
    <row r="22" spans="1:31" x14ac:dyDescent="0.3">
      <c r="B22" s="78">
        <f t="shared" si="0"/>
        <v>1.5827338129496403E-3</v>
      </c>
      <c r="C22" s="110">
        <v>3075</v>
      </c>
      <c r="D22" s="111">
        <v>0.22</v>
      </c>
      <c r="E22" s="111">
        <v>0.05</v>
      </c>
      <c r="F22" s="110">
        <v>139</v>
      </c>
      <c r="G22" s="112">
        <v>1</v>
      </c>
      <c r="H22" s="113">
        <v>159854.76999999999</v>
      </c>
      <c r="I22" s="99">
        <f t="shared" si="1"/>
        <v>159854.76999999999</v>
      </c>
      <c r="J22" s="100">
        <f t="shared" ref="J22:J24" si="28">IFERROR(((H22*(1+SUM(D22:E22)))/F22),"-")</f>
        <v>1460.5435820143884</v>
      </c>
      <c r="K22" s="100">
        <f t="shared" ref="K22:K24" si="29">IFERROR((J22*(1+F22*0.0431%)),"-")</f>
        <v>1548.0432874692885</v>
      </c>
      <c r="L22" s="99">
        <f t="shared" ref="L22:L24" si="30">IFERROR(J22*G22,"-")</f>
        <v>1460.5435820143884</v>
      </c>
      <c r="M22" s="35">
        <f t="shared" si="5"/>
        <v>1548.0432874692885</v>
      </c>
      <c r="N22" s="114">
        <v>0.25</v>
      </c>
      <c r="O22" s="36">
        <f t="shared" si="6"/>
        <v>48337.061485051068</v>
      </c>
      <c r="P22" s="99">
        <f t="shared" si="7"/>
        <v>48337.061485051068</v>
      </c>
      <c r="Q22" s="115">
        <v>0.3</v>
      </c>
      <c r="R22" s="36">
        <f t="shared" si="8"/>
        <v>58004.473782061279</v>
      </c>
      <c r="S22" s="99">
        <f t="shared" si="9"/>
        <v>58004.473782061279</v>
      </c>
      <c r="T22" s="101">
        <f t="shared" si="10"/>
        <v>0.55000000000000004</v>
      </c>
      <c r="U22" s="99">
        <f t="shared" si="11"/>
        <v>101850.29621793871</v>
      </c>
      <c r="V22" s="100">
        <f t="shared" ref="V22:V24" si="31">IFERROR(((($H22*(1+D22+E22))-(O22+R22)-J22)/($F22-1)),"-")</f>
        <v>689.9527467454584</v>
      </c>
      <c r="W22" s="100">
        <f t="shared" ref="W22:W24" si="32">IFERROR((V22*(1+($F22-1)*0.1252%)),"-")</f>
        <v>809.16002251715179</v>
      </c>
      <c r="X22" s="99">
        <f t="shared" ref="X22:X24" si="33">IFERROR(V22*G22,"-")</f>
        <v>689.9527467454584</v>
      </c>
      <c r="Y22" s="55">
        <v>4</v>
      </c>
      <c r="AA22" s="97"/>
      <c r="AB22" s="97"/>
      <c r="AC22" s="97"/>
      <c r="AD22" s="98"/>
    </row>
    <row r="23" spans="1:31" x14ac:dyDescent="0.3">
      <c r="B23" s="78">
        <f t="shared" si="0"/>
        <v>1.5827338129496403E-3</v>
      </c>
      <c r="C23" s="110">
        <v>3076</v>
      </c>
      <c r="D23" s="111">
        <v>0.22</v>
      </c>
      <c r="E23" s="111">
        <v>0.05</v>
      </c>
      <c r="F23" s="110">
        <v>139</v>
      </c>
      <c r="G23" s="112">
        <v>1</v>
      </c>
      <c r="H23" s="113">
        <v>333030.77</v>
      </c>
      <c r="I23" s="99">
        <f t="shared" si="1"/>
        <v>333030.77</v>
      </c>
      <c r="J23" s="100">
        <f t="shared" si="28"/>
        <v>3042.7991215827342</v>
      </c>
      <c r="K23" s="100">
        <f t="shared" si="29"/>
        <v>3225.090174157634</v>
      </c>
      <c r="L23" s="99">
        <f t="shared" si="30"/>
        <v>3042.7991215827342</v>
      </c>
      <c r="M23" s="35">
        <f t="shared" si="5"/>
        <v>3225.090174157634</v>
      </c>
      <c r="N23" s="120">
        <v>0.18</v>
      </c>
      <c r="O23" s="36">
        <f t="shared" si="6"/>
        <v>72505.592046147955</v>
      </c>
      <c r="P23" s="99">
        <f t="shared" si="7"/>
        <v>72505.592046147955</v>
      </c>
      <c r="Q23" s="115">
        <v>0.3</v>
      </c>
      <c r="R23" s="36">
        <f t="shared" si="8"/>
        <v>120842.65341024658</v>
      </c>
      <c r="S23" s="99">
        <f t="shared" si="9"/>
        <v>120842.65341024658</v>
      </c>
      <c r="T23" s="101">
        <f t="shared" si="10"/>
        <v>0.48</v>
      </c>
      <c r="U23" s="99">
        <f t="shared" si="11"/>
        <v>212188.11658975342</v>
      </c>
      <c r="V23" s="100">
        <f t="shared" si="31"/>
        <v>1641.7248791450925</v>
      </c>
      <c r="W23" s="100">
        <f t="shared" si="32"/>
        <v>1925.3755368642651</v>
      </c>
      <c r="X23" s="99">
        <f t="shared" si="33"/>
        <v>1641.7248791450925</v>
      </c>
      <c r="Y23" s="55">
        <v>5</v>
      </c>
      <c r="AA23" s="97"/>
      <c r="AB23" s="97"/>
      <c r="AC23" s="97"/>
      <c r="AD23" s="98"/>
    </row>
    <row r="24" spans="1:31" x14ac:dyDescent="0.3">
      <c r="B24" s="78">
        <f t="shared" si="0"/>
        <v>1.5492957746478873E-3</v>
      </c>
      <c r="C24" s="110">
        <v>3081</v>
      </c>
      <c r="D24" s="111">
        <v>0.22</v>
      </c>
      <c r="E24" s="111">
        <v>0.05</v>
      </c>
      <c r="F24" s="110">
        <v>142</v>
      </c>
      <c r="G24" s="112">
        <v>1</v>
      </c>
      <c r="H24" s="113">
        <v>311892.59000000003</v>
      </c>
      <c r="I24" s="99">
        <f t="shared" si="1"/>
        <v>311892.59000000003</v>
      </c>
      <c r="J24" s="100">
        <f t="shared" si="28"/>
        <v>2789.4618964788738</v>
      </c>
      <c r="K24" s="100">
        <f t="shared" si="29"/>
        <v>2960.1825434671737</v>
      </c>
      <c r="L24" s="99">
        <f t="shared" si="30"/>
        <v>2789.4618964788738</v>
      </c>
      <c r="M24" s="35">
        <f t="shared" si="5"/>
        <v>2960.1825434671737</v>
      </c>
      <c r="N24" s="120">
        <v>0.21</v>
      </c>
      <c r="O24" s="36">
        <f t="shared" si="6"/>
        <v>79220.757013581358</v>
      </c>
      <c r="P24" s="99">
        <f t="shared" si="7"/>
        <v>79220.757013581358</v>
      </c>
      <c r="Q24" s="115">
        <v>0.3</v>
      </c>
      <c r="R24" s="36">
        <f t="shared" si="8"/>
        <v>113172.51001940193</v>
      </c>
      <c r="S24" s="99">
        <f t="shared" si="9"/>
        <v>113172.51001940193</v>
      </c>
      <c r="T24" s="101">
        <f t="shared" si="10"/>
        <v>0.51</v>
      </c>
      <c r="U24" s="99">
        <f t="shared" si="11"/>
        <v>198720.07998059809</v>
      </c>
      <c r="V24" s="100">
        <f t="shared" si="31"/>
        <v>1424.9706409258006</v>
      </c>
      <c r="W24" s="100">
        <f t="shared" si="32"/>
        <v>1676.5235581097138</v>
      </c>
      <c r="X24" s="99">
        <f t="shared" si="33"/>
        <v>1424.9706409258006</v>
      </c>
      <c r="Y24" s="55">
        <v>4</v>
      </c>
      <c r="AA24" s="97"/>
      <c r="AB24" s="97"/>
      <c r="AC24" s="97"/>
      <c r="AD24" s="98"/>
    </row>
    <row r="25" spans="1:31" x14ac:dyDescent="0.3">
      <c r="B25" s="78">
        <f t="shared" ref="B25:B28" si="34">D25/F25</f>
        <v>1.2777777777777779E-3</v>
      </c>
      <c r="C25" s="110">
        <v>3106</v>
      </c>
      <c r="D25" s="111">
        <v>0.23</v>
      </c>
      <c r="E25" s="111">
        <v>0.03</v>
      </c>
      <c r="F25" s="110">
        <v>180</v>
      </c>
      <c r="G25" s="112">
        <v>1</v>
      </c>
      <c r="H25" s="113">
        <v>312920.7</v>
      </c>
      <c r="I25" s="99">
        <f t="shared" ref="I25:I28" si="35">H25*G25</f>
        <v>312920.7</v>
      </c>
      <c r="J25" s="100">
        <f t="shared" ref="J25" si="36">IFERROR(((H25*(1+SUM(D25:E25)))/F25),"-")</f>
        <v>2190.4449</v>
      </c>
      <c r="K25" s="100">
        <f t="shared" ref="K25" si="37">IFERROR((J25*(1+F25*0.0431%)),"-")</f>
        <v>2360.3796153419999</v>
      </c>
      <c r="L25" s="99">
        <f t="shared" ref="L25" si="38">IFERROR(J25*G25,"-")</f>
        <v>2190.4449</v>
      </c>
      <c r="M25" s="35">
        <f t="shared" ref="M25:M28" si="39">K25*G25</f>
        <v>2360.3796153419999</v>
      </c>
      <c r="N25" s="114">
        <v>0.25</v>
      </c>
      <c r="O25" s="36">
        <f t="shared" ref="O25:O28" si="40">((N25*($H25*(1+D25+E25)))*$Q$1)</f>
        <v>93876.256396825527</v>
      </c>
      <c r="P25" s="99">
        <f t="shared" ref="P25:P28" si="41">O25*G25</f>
        <v>93876.256396825527</v>
      </c>
      <c r="Q25" s="115">
        <v>0.3</v>
      </c>
      <c r="R25" s="36">
        <f t="shared" ref="R25:R28" si="42">((Q25*($H25*(1+D25+E25)))*$Q$1)</f>
        <v>112651.50767619062</v>
      </c>
      <c r="S25" s="99">
        <f t="shared" ref="S25:S28" si="43">R25*G25</f>
        <v>112651.50767619062</v>
      </c>
      <c r="T25" s="101">
        <f t="shared" ref="T25:T28" si="44">(N25+Q25)</f>
        <v>0.55000000000000004</v>
      </c>
      <c r="U25" s="99">
        <f t="shared" ref="U25:U28" si="45">(I25)-S25</f>
        <v>200269.19232380937</v>
      </c>
      <c r="V25" s="100">
        <f t="shared" ref="V25" si="46">IFERROR(((($H25*(1+D25+E25))-(O25+R25)-J25)/($F25-1)),"-")</f>
        <v>1036.658508530636</v>
      </c>
      <c r="W25" s="100">
        <f t="shared" ref="W25" si="47">IFERROR((V25*(1+($F25-1)*0.1252%)),"-")</f>
        <v>1268.9819735604199</v>
      </c>
      <c r="X25" s="99">
        <f t="shared" ref="X25" si="48">IFERROR(V25*G25,"-")</f>
        <v>1036.658508530636</v>
      </c>
      <c r="Y25" s="55">
        <v>2</v>
      </c>
      <c r="AA25" s="97"/>
      <c r="AB25" s="97"/>
      <c r="AC25" s="97"/>
      <c r="AD25" s="98"/>
    </row>
    <row r="26" spans="1:31" x14ac:dyDescent="0.3">
      <c r="B26" s="78">
        <f t="shared" si="34"/>
        <v>1.0638297872340426E-3</v>
      </c>
      <c r="C26" s="110">
        <v>3142</v>
      </c>
      <c r="D26" s="111">
        <v>0.25</v>
      </c>
      <c r="E26" s="111">
        <v>0.03</v>
      </c>
      <c r="F26" s="110">
        <v>235</v>
      </c>
      <c r="G26" s="112">
        <v>1</v>
      </c>
      <c r="H26" s="113">
        <v>120000</v>
      </c>
      <c r="I26" s="99">
        <f t="shared" si="35"/>
        <v>120000</v>
      </c>
      <c r="J26" s="100">
        <f t="shared" ref="J26" si="49">IFERROR(((H26*(1+SUM(D26:E26)))/F26),"-")</f>
        <v>653.61702127659578</v>
      </c>
      <c r="K26" s="100">
        <f t="shared" ref="K26" si="50">IFERROR((J26*(1+F26*0.0431%)),"-")</f>
        <v>719.81862127659588</v>
      </c>
      <c r="L26" s="99">
        <f t="shared" ref="L26" si="51">IFERROR(J26*G26,"-")</f>
        <v>653.61702127659578</v>
      </c>
      <c r="M26" s="35">
        <f t="shared" si="39"/>
        <v>719.81862127659588</v>
      </c>
      <c r="N26" s="114">
        <v>0.25</v>
      </c>
      <c r="O26" s="36">
        <f t="shared" si="40"/>
        <v>36571.446646276192</v>
      </c>
      <c r="P26" s="99">
        <f t="shared" si="41"/>
        <v>36571.446646276192</v>
      </c>
      <c r="Q26" s="115">
        <v>0.3</v>
      </c>
      <c r="R26" s="36">
        <f t="shared" si="42"/>
        <v>43885.735975531425</v>
      </c>
      <c r="S26" s="99">
        <f t="shared" si="43"/>
        <v>43885.735975531425</v>
      </c>
      <c r="T26" s="101">
        <f t="shared" si="44"/>
        <v>0.55000000000000004</v>
      </c>
      <c r="U26" s="99">
        <f t="shared" si="45"/>
        <v>76114.264024468575</v>
      </c>
      <c r="V26" s="100">
        <f t="shared" ref="V26" si="52">IFERROR(((($H26*(1+D26+E26))-(O26+R26)-J26)/($F26-1)),"-")</f>
        <v>309.78290750818712</v>
      </c>
      <c r="W26" s="100">
        <f t="shared" ref="W26" si="53">IFERROR((V26*(1+($F26-1)*0.1252%)),"-")</f>
        <v>400.53938635504574</v>
      </c>
      <c r="X26" s="99">
        <f t="shared" ref="X26" si="54">IFERROR(V26*G26,"-")</f>
        <v>309.78290750818712</v>
      </c>
      <c r="Y26" s="55">
        <v>14</v>
      </c>
      <c r="AA26" s="97"/>
      <c r="AB26" s="97"/>
      <c r="AC26" s="97"/>
      <c r="AD26" s="98"/>
    </row>
    <row r="27" spans="1:31" x14ac:dyDescent="0.3">
      <c r="B27" s="78">
        <f t="shared" si="34"/>
        <v>1.0593220338983051E-3</v>
      </c>
      <c r="C27" s="110">
        <v>3143</v>
      </c>
      <c r="D27" s="111">
        <v>0.25</v>
      </c>
      <c r="E27" s="111">
        <v>0.03</v>
      </c>
      <c r="F27" s="110">
        <v>236</v>
      </c>
      <c r="G27" s="112">
        <v>1</v>
      </c>
      <c r="H27" s="113">
        <v>80000</v>
      </c>
      <c r="I27" s="99">
        <f t="shared" si="35"/>
        <v>80000</v>
      </c>
      <c r="J27" s="100">
        <f t="shared" ref="J27" si="55">IFERROR(((H27*(1+SUM(D27:E27)))/F27),"-")</f>
        <v>433.89830508474574</v>
      </c>
      <c r="K27" s="100">
        <f t="shared" ref="K27" si="56">IFERROR((J27*(1+F27*0.0431%)),"-")</f>
        <v>478.03270508474571</v>
      </c>
      <c r="L27" s="99">
        <f t="shared" ref="L27" si="57">IFERROR(J27*G27,"-")</f>
        <v>433.89830508474574</v>
      </c>
      <c r="M27" s="35">
        <f t="shared" si="39"/>
        <v>478.03270508474571</v>
      </c>
      <c r="N27" s="114">
        <v>0.24</v>
      </c>
      <c r="O27" s="36">
        <f t="shared" si="40"/>
        <v>23405.725853616761</v>
      </c>
      <c r="P27" s="99">
        <f t="shared" si="41"/>
        <v>23405.725853616761</v>
      </c>
      <c r="Q27" s="115">
        <v>0.3</v>
      </c>
      <c r="R27" s="36">
        <f t="shared" si="42"/>
        <v>29257.157317020952</v>
      </c>
      <c r="S27" s="99">
        <f t="shared" si="43"/>
        <v>29257.157317020952</v>
      </c>
      <c r="T27" s="101">
        <f t="shared" si="44"/>
        <v>0.54</v>
      </c>
      <c r="U27" s="99">
        <f t="shared" si="45"/>
        <v>50742.842682979048</v>
      </c>
      <c r="V27" s="100">
        <f t="shared" ref="V27" si="58">IFERROR(((($H27*(1+D27+E27))-(O27+R27)-J27)/($F27-1)),"-")</f>
        <v>209.80092989054273</v>
      </c>
      <c r="W27" s="100">
        <f t="shared" ref="W27" si="59">IFERROR((V27*(1+($F27-1)*0.1252%)),"-")</f>
        <v>271.52855948293825</v>
      </c>
      <c r="X27" s="99">
        <f t="shared" ref="X27" si="60">IFERROR(V27*G27,"-")</f>
        <v>209.80092989054273</v>
      </c>
      <c r="Y27" s="55">
        <v>9</v>
      </c>
      <c r="AA27" s="97"/>
      <c r="AB27" s="97"/>
      <c r="AC27" s="97"/>
      <c r="AD27" s="98"/>
    </row>
    <row r="28" spans="1:31" x14ac:dyDescent="0.3">
      <c r="B28" s="78">
        <f t="shared" si="34"/>
        <v>1.0593220338983051E-3</v>
      </c>
      <c r="C28" s="110">
        <v>3145</v>
      </c>
      <c r="D28" s="111">
        <v>0.25</v>
      </c>
      <c r="E28" s="111">
        <v>0.03</v>
      </c>
      <c r="F28" s="110">
        <v>236</v>
      </c>
      <c r="G28" s="112">
        <v>1</v>
      </c>
      <c r="H28" s="113">
        <v>120000</v>
      </c>
      <c r="I28" s="99">
        <f t="shared" si="35"/>
        <v>120000</v>
      </c>
      <c r="J28" s="100">
        <f t="shared" ref="J28" si="61">IFERROR(((H28*(1+SUM(D28:E28)))/F28),"-")</f>
        <v>650.84745762711862</v>
      </c>
      <c r="K28" s="100">
        <f t="shared" ref="K28" si="62">IFERROR((J28*(1+F28*0.0431%)),"-")</f>
        <v>717.0490576271186</v>
      </c>
      <c r="L28" s="99">
        <f t="shared" ref="L28" si="63">IFERROR(J28*G28,"-")</f>
        <v>650.84745762711862</v>
      </c>
      <c r="M28" s="35">
        <f t="shared" si="39"/>
        <v>717.0490576271186</v>
      </c>
      <c r="N28" s="114">
        <v>0.21</v>
      </c>
      <c r="O28" s="36">
        <f t="shared" si="40"/>
        <v>30720.015182871997</v>
      </c>
      <c r="P28" s="99">
        <f t="shared" si="41"/>
        <v>30720.015182871997</v>
      </c>
      <c r="Q28" s="115">
        <v>0.3</v>
      </c>
      <c r="R28" s="36">
        <f t="shared" si="42"/>
        <v>43885.735975531425</v>
      </c>
      <c r="S28" s="99">
        <f t="shared" si="43"/>
        <v>43885.735975531425</v>
      </c>
      <c r="T28" s="101">
        <f t="shared" si="44"/>
        <v>0.51</v>
      </c>
      <c r="U28" s="99">
        <f t="shared" si="45"/>
        <v>76114.264024468575</v>
      </c>
      <c r="V28" s="100">
        <f t="shared" ref="V28" si="64">IFERROR(((($H28*(1+D28+E28))-(O28+R28)-J28)/($F28-1)),"-")</f>
        <v>333.37617610199766</v>
      </c>
      <c r="W28" s="100">
        <f t="shared" ref="W28" si="65">IFERROR((V28*(1+($F28-1)*0.1252%)),"-")</f>
        <v>431.46211463472747</v>
      </c>
      <c r="X28" s="99">
        <f t="shared" ref="X28" si="66">IFERROR(V28*G28,"-")</f>
        <v>333.37617610199766</v>
      </c>
      <c r="Y28" s="55">
        <v>10</v>
      </c>
      <c r="AA28" s="97"/>
      <c r="AB28" s="97"/>
      <c r="AC28" s="97"/>
      <c r="AD28" s="98"/>
    </row>
    <row r="29" spans="1:31" x14ac:dyDescent="0.3">
      <c r="B29" s="78"/>
      <c r="C29" s="32"/>
      <c r="D29" s="33"/>
      <c r="E29" s="33"/>
      <c r="F29" s="32"/>
      <c r="G29" s="34"/>
      <c r="H29" s="35"/>
      <c r="I29" s="35"/>
      <c r="J29" s="36"/>
      <c r="K29" s="36"/>
      <c r="L29" s="35"/>
      <c r="M29" s="35"/>
      <c r="N29" s="87"/>
      <c r="O29" s="36"/>
      <c r="P29" s="35"/>
      <c r="Q29" s="37"/>
      <c r="R29" s="36"/>
      <c r="S29" s="35"/>
      <c r="T29" s="87"/>
      <c r="U29" s="35"/>
      <c r="V29" s="36"/>
      <c r="W29" s="36"/>
      <c r="X29" s="35"/>
    </row>
    <row r="30" spans="1:31" s="108" customFormat="1" ht="52.5" customHeight="1" x14ac:dyDescent="0.3">
      <c r="A30" s="105"/>
      <c r="B30" s="106"/>
      <c r="C30" s="39" t="s">
        <v>43</v>
      </c>
      <c r="D30" s="76" t="e">
        <f>SUMPRODUCT(#REF!,#REF!)/SUM(#REF!)</f>
        <v>#REF!</v>
      </c>
      <c r="E30" s="107"/>
      <c r="F30" s="39" t="s">
        <v>22</v>
      </c>
      <c r="G30" s="40">
        <f t="shared" ref="G30:M30" si="67">SUM(G9:G29)</f>
        <v>20</v>
      </c>
      <c r="H30" s="41">
        <f t="shared" si="67"/>
        <v>7414065.9399999985</v>
      </c>
      <c r="I30" s="41">
        <f t="shared" si="67"/>
        <v>7414065.9399999985</v>
      </c>
      <c r="J30" s="42">
        <f t="shared" si="67"/>
        <v>85384.058610471009</v>
      </c>
      <c r="K30" s="42">
        <f t="shared" si="67"/>
        <v>89375.846365737321</v>
      </c>
      <c r="L30" s="41">
        <f t="shared" si="67"/>
        <v>85384.058610471009</v>
      </c>
      <c r="M30" s="41">
        <f t="shared" si="67"/>
        <v>89375.846365737321</v>
      </c>
      <c r="N30" s="43">
        <f>IFERROR(SUMPRODUCT(H9:H29,N9:N29)/H30,"-")</f>
        <v>0.20070081151692595</v>
      </c>
      <c r="O30" s="42">
        <f>SUM(O9:O29)</f>
        <v>1773657.0757275159</v>
      </c>
      <c r="P30" s="41">
        <f>SUM(P9:P29)</f>
        <v>1773657.0757275159</v>
      </c>
      <c r="Q30" s="43">
        <f>IFERROR(SUMPRODUCT(H9:H29,Q9:Q29)/H30,"-")</f>
        <v>0.3000000000000001</v>
      </c>
      <c r="R30" s="42">
        <f>SUM(R9:R29)</f>
        <v>2646198.0299264076</v>
      </c>
      <c r="S30" s="41">
        <f>SUM(S9:S29)</f>
        <v>2646198.0299264076</v>
      </c>
      <c r="T30" s="43">
        <f>IFERROR(Q30+N30,"-")</f>
        <v>0.50070081151692603</v>
      </c>
      <c r="U30" s="41">
        <f>SUM(U9:U29)</f>
        <v>4767867.9100735914</v>
      </c>
      <c r="V30" s="42">
        <f>SUM(V9:V29)</f>
        <v>44450.970080143634</v>
      </c>
      <c r="W30" s="42">
        <f>SUM(W9:W29)</f>
        <v>50406.044682664207</v>
      </c>
      <c r="X30" s="41">
        <f>SUM(X9:X29)</f>
        <v>44450.970080143634</v>
      </c>
      <c r="AA30" s="109"/>
      <c r="AB30" s="109"/>
      <c r="AC30" s="109"/>
      <c r="AD30" s="109"/>
      <c r="AE30" s="109"/>
    </row>
    <row r="31" spans="1:31" x14ac:dyDescent="0.3">
      <c r="B31" s="75"/>
      <c r="D31" s="75"/>
      <c r="H31" s="44"/>
      <c r="I31" s="44"/>
      <c r="J31" s="44"/>
      <c r="K31" s="44"/>
      <c r="L31" s="44"/>
      <c r="M31" s="44"/>
      <c r="N31" s="7"/>
      <c r="O31" s="44"/>
      <c r="P31" s="44"/>
      <c r="Q31" s="7"/>
      <c r="R31" s="44"/>
      <c r="S31" s="44"/>
      <c r="U31" s="44"/>
      <c r="V31" s="44"/>
      <c r="W31" s="44"/>
    </row>
    <row r="32" spans="1:31" ht="21.6" thickBot="1" x14ac:dyDescent="0.45">
      <c r="B32" s="31"/>
      <c r="C32" s="45" t="s">
        <v>30</v>
      </c>
      <c r="H32" s="65"/>
      <c r="I32" s="65"/>
      <c r="J32" s="65"/>
      <c r="N32" s="44"/>
    </row>
    <row r="33" spans="1:26" x14ac:dyDescent="0.3">
      <c r="C33" s="17"/>
      <c r="D33" s="17"/>
      <c r="E33" s="17"/>
      <c r="F33" s="17"/>
      <c r="G33" s="20"/>
      <c r="H33" s="20"/>
      <c r="I33" s="20"/>
      <c r="J33" s="20"/>
      <c r="K33" s="46"/>
      <c r="L33" s="20"/>
      <c r="M33" s="20"/>
      <c r="N33" s="21"/>
      <c r="O33" s="22"/>
      <c r="P33" s="22"/>
      <c r="Q33" s="23"/>
      <c r="R33" s="24"/>
      <c r="S33" s="24"/>
      <c r="T33" s="25"/>
      <c r="U33" s="25"/>
      <c r="V33" s="25"/>
      <c r="W33" s="25"/>
      <c r="X33" s="25"/>
      <c r="Z33" s="26"/>
    </row>
    <row r="34" spans="1:26" x14ac:dyDescent="0.3">
      <c r="C34" s="123" t="s">
        <v>31</v>
      </c>
      <c r="D34" s="123"/>
      <c r="E34" s="137">
        <f>I30</f>
        <v>7414065.9399999985</v>
      </c>
      <c r="F34" s="137"/>
      <c r="H34" s="13"/>
      <c r="I34" s="89"/>
      <c r="L34" s="49"/>
      <c r="N34" s="44"/>
      <c r="P34" s="44"/>
      <c r="Z34" s="50"/>
    </row>
    <row r="35" spans="1:26" x14ac:dyDescent="0.3">
      <c r="C35" s="130" t="s">
        <v>4</v>
      </c>
      <c r="D35" s="130"/>
      <c r="E35" s="131">
        <f>L30</f>
        <v>85384.058610471009</v>
      </c>
      <c r="F35" s="131"/>
      <c r="G35" s="50"/>
      <c r="H35" s="13"/>
      <c r="L35" s="49"/>
      <c r="N35"/>
      <c r="P35" s="44"/>
    </row>
    <row r="36" spans="1:26" ht="12.75" customHeight="1" x14ac:dyDescent="0.3">
      <c r="H36" s="13"/>
    </row>
    <row r="37" spans="1:26" ht="15.75" customHeight="1" x14ac:dyDescent="0.3">
      <c r="C37" s="123" t="s">
        <v>32</v>
      </c>
      <c r="D37" s="123"/>
      <c r="E37" s="132">
        <f>P30+S30</f>
        <v>4419855.105653923</v>
      </c>
      <c r="F37" s="132"/>
      <c r="H37" s="39" t="s">
        <v>54</v>
      </c>
      <c r="I37" s="64"/>
      <c r="J37" s="64"/>
    </row>
    <row r="38" spans="1:26" ht="15.6" x14ac:dyDescent="0.3">
      <c r="C38" s="121" t="s">
        <v>53</v>
      </c>
      <c r="D38" s="121"/>
      <c r="E38" s="122">
        <f>P30</f>
        <v>1773657.0757275159</v>
      </c>
      <c r="F38" s="122"/>
      <c r="G38" s="53"/>
      <c r="H38" s="40">
        <f>AVERAGE(F9:F28)</f>
        <v>131.6</v>
      </c>
      <c r="I38" s="64"/>
      <c r="J38" s="64"/>
      <c r="L38" s="54"/>
      <c r="M38" s="54"/>
      <c r="N38" s="54"/>
    </row>
    <row r="39" spans="1:26" x14ac:dyDescent="0.3">
      <c r="C39" s="121" t="s">
        <v>34</v>
      </c>
      <c r="D39" s="121"/>
      <c r="E39" s="122">
        <f>S30</f>
        <v>2646198.0299264076</v>
      </c>
      <c r="F39" s="122"/>
      <c r="G39" s="88"/>
      <c r="H39" s="44"/>
      <c r="M39"/>
      <c r="S39"/>
    </row>
    <row r="40" spans="1:26" ht="6.9" customHeight="1" x14ac:dyDescent="0.3">
      <c r="C40" s="51"/>
      <c r="D40" s="51"/>
      <c r="E40" s="51"/>
      <c r="F40" s="51"/>
      <c r="G40" s="51"/>
      <c r="I40" s="1"/>
      <c r="L40"/>
      <c r="M40"/>
    </row>
    <row r="41" spans="1:26" ht="15" customHeight="1" x14ac:dyDescent="0.3">
      <c r="C41" s="123" t="s">
        <v>35</v>
      </c>
      <c r="D41" s="123"/>
      <c r="E41" s="124">
        <f>U30</f>
        <v>4767867.9100735914</v>
      </c>
      <c r="F41" s="125"/>
      <c r="G41" s="51"/>
      <c r="H41" s="65"/>
      <c r="I41" s="13"/>
    </row>
    <row r="42" spans="1:26" x14ac:dyDescent="0.3">
      <c r="C42" s="121" t="s">
        <v>7</v>
      </c>
      <c r="D42" s="121"/>
      <c r="E42" s="122">
        <f>X30</f>
        <v>44450.970080143634</v>
      </c>
      <c r="F42" s="122"/>
      <c r="G42" s="51"/>
      <c r="H42" s="13"/>
      <c r="I42" s="1"/>
    </row>
    <row r="43" spans="1:26" x14ac:dyDescent="0.3">
      <c r="I43" s="55"/>
    </row>
    <row r="44" spans="1:26" hidden="1" x14ac:dyDescent="0.3">
      <c r="A44" s="2"/>
      <c r="C44" s="84" t="s">
        <v>48</v>
      </c>
      <c r="N44" s="44"/>
      <c r="S44" s="57"/>
      <c r="X44" s="57"/>
    </row>
    <row r="45" spans="1:26" hidden="1" x14ac:dyDescent="0.3">
      <c r="A45" s="2"/>
    </row>
    <row r="46" spans="1:26" hidden="1" x14ac:dyDescent="0.3">
      <c r="A46" s="2"/>
    </row>
    <row r="47" spans="1:26" hidden="1" x14ac:dyDescent="0.3">
      <c r="A47" s="2"/>
    </row>
    <row r="48" spans="1:26" hidden="1" x14ac:dyDescent="0.3">
      <c r="A48" s="2"/>
    </row>
    <row r="49" spans="3:4" hidden="1" x14ac:dyDescent="0.3">
      <c r="C49" s="118" t="s">
        <v>55</v>
      </c>
      <c r="D49" s="116">
        <f>E41-E38</f>
        <v>2994210.8343460755</v>
      </c>
    </row>
    <row r="50" spans="3:4" hidden="1" x14ac:dyDescent="0.3">
      <c r="C50" s="118" t="s">
        <v>57</v>
      </c>
      <c r="D50" s="117">
        <f>AVERAGE(D9:D28:E9:E28)*2</f>
        <v>0.25450000000000006</v>
      </c>
    </row>
    <row r="51" spans="3:4" hidden="1" x14ac:dyDescent="0.3">
      <c r="C51" s="118" t="s">
        <v>56</v>
      </c>
      <c r="D51" s="116">
        <f>E34*D50</f>
        <v>1886879.7817300002</v>
      </c>
    </row>
    <row r="52" spans="3:4" x14ac:dyDescent="0.3">
      <c r="C52" s="118" t="s">
        <v>59</v>
      </c>
      <c r="D52" s="119">
        <f>(D51/D49)/H38</f>
        <v>4.788571365088052E-3</v>
      </c>
    </row>
    <row r="53" spans="3:4" x14ac:dyDescent="0.3">
      <c r="C53" s="118" t="s">
        <v>60</v>
      </c>
      <c r="D53" s="119">
        <f>D52*12</f>
        <v>5.7462856381056623E-2</v>
      </c>
    </row>
    <row r="54" spans="3:4" x14ac:dyDescent="0.3"/>
    <row r="55" spans="3:4" x14ac:dyDescent="0.3"/>
    <row r="56" spans="3:4" x14ac:dyDescent="0.3"/>
    <row r="57" spans="3:4" x14ac:dyDescent="0.3"/>
    <row r="58" spans="3:4" x14ac:dyDescent="0.3"/>
    <row r="59" spans="3:4" x14ac:dyDescent="0.3"/>
    <row r="60" spans="3:4" x14ac:dyDescent="0.3"/>
    <row r="61" spans="3:4" x14ac:dyDescent="0.3"/>
    <row r="62" spans="3:4" x14ac:dyDescent="0.3"/>
    <row r="63" spans="3:4" x14ac:dyDescent="0.3"/>
    <row r="64" spans="3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42:D42"/>
    <mergeCell ref="E42:F42"/>
    <mergeCell ref="C38:D38"/>
    <mergeCell ref="E38:F38"/>
    <mergeCell ref="C39:D39"/>
    <mergeCell ref="E39:F39"/>
    <mergeCell ref="C41:D41"/>
    <mergeCell ref="E41:F41"/>
    <mergeCell ref="C34:D34"/>
    <mergeCell ref="E34:F34"/>
    <mergeCell ref="C35:D35"/>
    <mergeCell ref="E35:F35"/>
    <mergeCell ref="C37:D37"/>
    <mergeCell ref="E37:F37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586-D4EF-40BF-BAB1-B6CCCD72F41E}">
  <dimension ref="A1:AE317"/>
  <sheetViews>
    <sheetView workbookViewId="0">
      <selection activeCell="A20" sqref="A2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7" si="0">D9/F9</f>
        <v>1.7708333333333335E-3</v>
      </c>
      <c r="C9" s="110">
        <v>3048</v>
      </c>
      <c r="D9" s="111">
        <v>0.17</v>
      </c>
      <c r="E9" s="111">
        <v>4.4999999999999998E-2</v>
      </c>
      <c r="F9" s="110">
        <v>96</v>
      </c>
      <c r="G9" s="112">
        <v>1</v>
      </c>
      <c r="H9" s="113">
        <v>761333.97</v>
      </c>
      <c r="I9" s="99">
        <f t="shared" ref="I9:I37" si="1">H9*G9</f>
        <v>761333.97</v>
      </c>
      <c r="J9" s="100">
        <f t="shared" ref="J9:J10" si="2">IFERROR(((H9*(1+SUM(D9:E9)))/F9),"-")</f>
        <v>9635.6330578124998</v>
      </c>
      <c r="K9" s="100">
        <f t="shared" ref="K9:K10" si="3">IFERROR((J9*(1+F9*0.0431%)),"-")</f>
        <v>10034.31701121255</v>
      </c>
      <c r="L9" s="99">
        <f t="shared" ref="L9:L10" si="4">IFERROR(J9*G9,"-")</f>
        <v>9635.6330578124998</v>
      </c>
      <c r="M9" s="35">
        <f t="shared" ref="M9:M37" si="5">K9*G9</f>
        <v>10034.31701121255</v>
      </c>
      <c r="N9" s="120">
        <v>0.17</v>
      </c>
      <c r="O9" s="36">
        <f t="shared" ref="O9:O37" si="6">((N9*($H9*(1+D9+E9)))*$Q$1)</f>
        <v>149765.34211767607</v>
      </c>
      <c r="P9" s="99">
        <f t="shared" ref="P9:P37" si="7">O9*G9</f>
        <v>149765.34211767607</v>
      </c>
      <c r="Q9" s="115">
        <v>0.3</v>
      </c>
      <c r="R9" s="36">
        <f t="shared" ref="R9:R37" si="8">((Q9*($H9*(1+D9+E9)))*$Q$1)</f>
        <v>264291.78020766366</v>
      </c>
      <c r="S9" s="99">
        <f t="shared" ref="S9:S37" si="9">R9*G9</f>
        <v>264291.78020766366</v>
      </c>
      <c r="T9" s="101">
        <f t="shared" ref="T9:T37" si="10">(N9+Q9)</f>
        <v>0.47</v>
      </c>
      <c r="U9" s="99">
        <f t="shared" ref="U9:U37" si="11">(I9)-S9</f>
        <v>497042.18979233631</v>
      </c>
      <c r="V9" s="100">
        <f t="shared" ref="V9:V10" si="12">IFERROR(((($H9*(1+D9+E9))-(O9+R9)-J9)/($F9-1)),"-")</f>
        <v>5277.1370333352379</v>
      </c>
      <c r="W9" s="100">
        <f t="shared" ref="W9:W10" si="13">IFERROR((V9*(1+($F9-1)*0.1252%)),"-")</f>
        <v>5904.799712080131</v>
      </c>
      <c r="X9" s="99">
        <f t="shared" ref="X9:X10" si="14">IFERROR(V9*G9,"-")</f>
        <v>5277.1370333352379</v>
      </c>
      <c r="Y9" s="55">
        <v>5</v>
      </c>
      <c r="AA9" s="97"/>
      <c r="AB9" s="97"/>
      <c r="AC9" s="97"/>
      <c r="AD9" s="98"/>
    </row>
    <row r="10" spans="1:31" x14ac:dyDescent="0.3">
      <c r="B10" s="78">
        <f t="shared" si="0"/>
        <v>2.268041237113402E-3</v>
      </c>
      <c r="C10" s="110">
        <v>3051</v>
      </c>
      <c r="D10" s="111">
        <v>0.22</v>
      </c>
      <c r="E10" s="111">
        <v>0.05</v>
      </c>
      <c r="F10" s="110">
        <v>97</v>
      </c>
      <c r="G10" s="112">
        <v>1</v>
      </c>
      <c r="H10" s="113">
        <v>303986.94</v>
      </c>
      <c r="I10" s="99">
        <f t="shared" si="1"/>
        <v>303986.94</v>
      </c>
      <c r="J10" s="100">
        <f t="shared" si="2"/>
        <v>3980.0351938144327</v>
      </c>
      <c r="K10" s="100">
        <f t="shared" si="3"/>
        <v>4146.4285251622323</v>
      </c>
      <c r="L10" s="99">
        <f t="shared" si="4"/>
        <v>3980.0351938144327</v>
      </c>
      <c r="M10" s="35">
        <f t="shared" si="5"/>
        <v>4146.4285251622323</v>
      </c>
      <c r="N10" s="120">
        <v>0.2059</v>
      </c>
      <c r="O10" s="36">
        <f t="shared" si="6"/>
        <v>75705.234465062458</v>
      </c>
      <c r="P10" s="99">
        <f t="shared" si="7"/>
        <v>75705.234465062458</v>
      </c>
      <c r="Q10" s="115">
        <v>0.3</v>
      </c>
      <c r="R10" s="36">
        <f t="shared" si="8"/>
        <v>110303.88703020271</v>
      </c>
      <c r="S10" s="99">
        <f t="shared" si="9"/>
        <v>110303.88703020271</v>
      </c>
      <c r="T10" s="101">
        <f t="shared" si="10"/>
        <v>0.50590000000000002</v>
      </c>
      <c r="U10" s="99">
        <f t="shared" si="11"/>
        <v>193683.05296979728</v>
      </c>
      <c r="V10" s="100">
        <f t="shared" si="12"/>
        <v>2042.440178238754</v>
      </c>
      <c r="W10" s="100">
        <f t="shared" si="13"/>
        <v>2287.9251481416263</v>
      </c>
      <c r="X10" s="99">
        <f t="shared" si="14"/>
        <v>2042.440178238754</v>
      </c>
      <c r="Y10" s="55">
        <v>8</v>
      </c>
      <c r="AA10" s="97"/>
      <c r="AB10" s="97"/>
      <c r="AC10" s="97"/>
      <c r="AD10" s="98"/>
    </row>
    <row r="11" spans="1:31" x14ac:dyDescent="0.3">
      <c r="B11" s="78">
        <f t="shared" si="0"/>
        <v>2.2448979591836735E-3</v>
      </c>
      <c r="C11" s="110">
        <v>3053</v>
      </c>
      <c r="D11" s="111">
        <v>0.22</v>
      </c>
      <c r="E11" s="111">
        <v>0.05</v>
      </c>
      <c r="F11" s="110">
        <v>98</v>
      </c>
      <c r="G11" s="112">
        <v>1</v>
      </c>
      <c r="H11" s="113">
        <v>304930.76</v>
      </c>
      <c r="I11" s="99">
        <f t="shared" si="1"/>
        <v>304930.76</v>
      </c>
      <c r="J11" s="100">
        <f t="shared" ref="J11:J17" si="15">IFERROR(((H11*(1+SUM(D11:E11)))/F11),"-")</f>
        <v>3951.6537265306124</v>
      </c>
      <c r="K11" s="100">
        <f t="shared" ref="K11:K17" si="16">IFERROR((J11*(1+F11*0.0431%)),"-")</f>
        <v>4118.5636766318121</v>
      </c>
      <c r="L11" s="99">
        <f t="shared" ref="L11:L17" si="17">IFERROR(J11*G11,"-")</f>
        <v>3951.6537265306124</v>
      </c>
      <c r="M11" s="35">
        <f t="shared" si="5"/>
        <v>4118.5636766318121</v>
      </c>
      <c r="N11" s="114">
        <v>0.18</v>
      </c>
      <c r="O11" s="36">
        <f t="shared" si="6"/>
        <v>66387.815416821235</v>
      </c>
      <c r="P11" s="99">
        <f t="shared" si="7"/>
        <v>66387.815416821235</v>
      </c>
      <c r="Q11" s="115">
        <v>0.3</v>
      </c>
      <c r="R11" s="36">
        <f t="shared" si="8"/>
        <v>110646.3590280354</v>
      </c>
      <c r="S11" s="99">
        <f t="shared" si="9"/>
        <v>110646.3590280354</v>
      </c>
      <c r="T11" s="101">
        <f t="shared" si="10"/>
        <v>0.48</v>
      </c>
      <c r="U11" s="99">
        <f t="shared" si="11"/>
        <v>194284.40097196461</v>
      </c>
      <c r="V11" s="100">
        <f t="shared" ref="V11:V17" si="18">IFERROR(((($H11*(1+D11+E11))-(O11+R11)-J11)/($F11-1)),"-")</f>
        <v>2126.5591446248736</v>
      </c>
      <c r="W11" s="100">
        <f t="shared" ref="W11:W17" si="19">IFERROR((V11*(1+($F11-1)*0.1252%)),"-")</f>
        <v>2384.8169933846971</v>
      </c>
      <c r="X11" s="99">
        <f t="shared" ref="X11:X17" si="20">IFERROR(V11*G11,"-")</f>
        <v>2126.5591446248736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2.2000000000000001E-3</v>
      </c>
      <c r="C12" s="110">
        <v>3054</v>
      </c>
      <c r="D12" s="111">
        <v>0.22</v>
      </c>
      <c r="E12" s="111">
        <v>0.05</v>
      </c>
      <c r="F12" s="110">
        <v>100</v>
      </c>
      <c r="G12" s="112">
        <v>1</v>
      </c>
      <c r="H12" s="113">
        <v>760535.51</v>
      </c>
      <c r="I12" s="99">
        <f t="shared" si="1"/>
        <v>760535.51</v>
      </c>
      <c r="J12" s="100">
        <f t="shared" si="15"/>
        <v>9658.8009770000008</v>
      </c>
      <c r="K12" s="100">
        <f t="shared" si="16"/>
        <v>10075.0952991087</v>
      </c>
      <c r="L12" s="99">
        <f t="shared" si="17"/>
        <v>9658.8009770000008</v>
      </c>
      <c r="M12" s="35">
        <f t="shared" si="5"/>
        <v>10075.0952991087</v>
      </c>
      <c r="N12" s="114">
        <v>0.23</v>
      </c>
      <c r="O12" s="36">
        <f t="shared" si="6"/>
        <v>211573.8402536246</v>
      </c>
      <c r="P12" s="99">
        <f t="shared" si="7"/>
        <v>211573.8402536246</v>
      </c>
      <c r="Q12" s="115">
        <v>0.3</v>
      </c>
      <c r="R12" s="36">
        <f t="shared" si="8"/>
        <v>275965.87859168428</v>
      </c>
      <c r="S12" s="99">
        <f t="shared" si="9"/>
        <v>275965.87859168428</v>
      </c>
      <c r="T12" s="101">
        <f t="shared" si="10"/>
        <v>0.53</v>
      </c>
      <c r="U12" s="99">
        <f t="shared" si="11"/>
        <v>484569.63140831573</v>
      </c>
      <c r="V12" s="100">
        <f t="shared" si="18"/>
        <v>4734.1573522999106</v>
      </c>
      <c r="W12" s="100">
        <f t="shared" si="19"/>
        <v>5320.9466878027797</v>
      </c>
      <c r="X12" s="99">
        <f t="shared" si="20"/>
        <v>4734.1573522999106</v>
      </c>
      <c r="Y12" s="55">
        <v>8</v>
      </c>
      <c r="AA12" s="97"/>
      <c r="AB12" s="97"/>
      <c r="AC12" s="97"/>
      <c r="AD12" s="98"/>
    </row>
    <row r="13" spans="1:31" x14ac:dyDescent="0.3">
      <c r="B13" s="78">
        <f t="shared" si="0"/>
        <v>2.2000000000000001E-3</v>
      </c>
      <c r="C13" s="110">
        <v>3055</v>
      </c>
      <c r="D13" s="111">
        <v>0.22</v>
      </c>
      <c r="E13" s="111">
        <v>0.05</v>
      </c>
      <c r="F13" s="110">
        <v>100</v>
      </c>
      <c r="G13" s="112">
        <v>1</v>
      </c>
      <c r="H13" s="113">
        <v>304214.19</v>
      </c>
      <c r="I13" s="99">
        <f t="shared" si="1"/>
        <v>304214.19</v>
      </c>
      <c r="J13" s="100">
        <f t="shared" si="15"/>
        <v>3863.5202130000002</v>
      </c>
      <c r="K13" s="100">
        <f t="shared" si="16"/>
        <v>4030.0379341803</v>
      </c>
      <c r="L13" s="99">
        <f t="shared" si="17"/>
        <v>3863.5202130000002</v>
      </c>
      <c r="M13" s="35">
        <f t="shared" si="5"/>
        <v>4030.0379341803</v>
      </c>
      <c r="N13" s="114">
        <v>0.30099999999999999</v>
      </c>
      <c r="O13" s="36">
        <f t="shared" si="6"/>
        <v>110754.30084452676</v>
      </c>
      <c r="P13" s="99">
        <f t="shared" si="7"/>
        <v>110754.30084452676</v>
      </c>
      <c r="Q13" s="115">
        <v>0.3</v>
      </c>
      <c r="R13" s="36">
        <f t="shared" si="8"/>
        <v>110386.34635667119</v>
      </c>
      <c r="S13" s="99">
        <f t="shared" si="9"/>
        <v>110386.34635667119</v>
      </c>
      <c r="T13" s="101">
        <f t="shared" si="10"/>
        <v>0.60099999999999998</v>
      </c>
      <c r="U13" s="99">
        <f t="shared" si="11"/>
        <v>193827.84364332882</v>
      </c>
      <c r="V13" s="100">
        <f t="shared" si="18"/>
        <v>1629.7763018767885</v>
      </c>
      <c r="W13" s="100">
        <f t="shared" si="19"/>
        <v>1831.7838149418126</v>
      </c>
      <c r="X13" s="99">
        <f t="shared" si="20"/>
        <v>1629.7763018767885</v>
      </c>
      <c r="Y13" s="55">
        <v>6</v>
      </c>
      <c r="AA13" s="97"/>
      <c r="AB13" s="97"/>
      <c r="AC13" s="97"/>
      <c r="AD13" s="98"/>
    </row>
    <row r="14" spans="1:31" x14ac:dyDescent="0.3">
      <c r="B14" s="78">
        <f t="shared" si="0"/>
        <v>2.0754716981132076E-3</v>
      </c>
      <c r="C14" s="110">
        <v>3059</v>
      </c>
      <c r="D14" s="111">
        <v>0.22</v>
      </c>
      <c r="E14" s="111">
        <v>0.05</v>
      </c>
      <c r="F14" s="110">
        <v>106</v>
      </c>
      <c r="G14" s="112">
        <v>1</v>
      </c>
      <c r="H14" s="113">
        <v>366995.52</v>
      </c>
      <c r="I14" s="99">
        <f t="shared" si="1"/>
        <v>366995.52</v>
      </c>
      <c r="J14" s="100">
        <f t="shared" si="15"/>
        <v>4397.0217962264151</v>
      </c>
      <c r="K14" s="100">
        <f t="shared" si="16"/>
        <v>4597.9041340088143</v>
      </c>
      <c r="L14" s="99">
        <f t="shared" si="17"/>
        <v>4397.0217962264151</v>
      </c>
      <c r="M14" s="35">
        <f t="shared" si="5"/>
        <v>4597.9041340088143</v>
      </c>
      <c r="N14" s="120">
        <v>0.28100000000000003</v>
      </c>
      <c r="O14" s="36">
        <f t="shared" si="6"/>
        <v>124733.1009067518</v>
      </c>
      <c r="P14" s="99">
        <f t="shared" si="7"/>
        <v>124733.1009067518</v>
      </c>
      <c r="Q14" s="115">
        <v>0.3</v>
      </c>
      <c r="R14" s="36">
        <f t="shared" si="8"/>
        <v>133167.01164421896</v>
      </c>
      <c r="S14" s="99">
        <f t="shared" si="9"/>
        <v>133167.01164421896</v>
      </c>
      <c r="T14" s="101">
        <f t="shared" si="10"/>
        <v>0.58099999999999996</v>
      </c>
      <c r="U14" s="99">
        <f t="shared" si="11"/>
        <v>233828.50835578106</v>
      </c>
      <c r="V14" s="100">
        <f t="shared" si="18"/>
        <v>1940.8302481219318</v>
      </c>
      <c r="W14" s="100">
        <f t="shared" si="19"/>
        <v>2195.9717925400414</v>
      </c>
      <c r="X14" s="99">
        <f t="shared" si="20"/>
        <v>1940.8302481219318</v>
      </c>
      <c r="Y14" s="55">
        <v>10</v>
      </c>
      <c r="AA14" s="97"/>
      <c r="AB14" s="97"/>
      <c r="AC14" s="97"/>
      <c r="AD14" s="98"/>
    </row>
    <row r="15" spans="1:31" x14ac:dyDescent="0.3">
      <c r="B15" s="78">
        <f t="shared" si="0"/>
        <v>2.0754716981132076E-3</v>
      </c>
      <c r="C15" s="110">
        <v>3060</v>
      </c>
      <c r="D15" s="111">
        <v>0.22</v>
      </c>
      <c r="E15" s="111">
        <v>0.05</v>
      </c>
      <c r="F15" s="110">
        <v>106</v>
      </c>
      <c r="G15" s="112">
        <v>1</v>
      </c>
      <c r="H15" s="113">
        <v>733991.03</v>
      </c>
      <c r="I15" s="99">
        <f t="shared" si="1"/>
        <v>733991.03</v>
      </c>
      <c r="J15" s="100">
        <f t="shared" si="15"/>
        <v>8794.0434726415097</v>
      </c>
      <c r="K15" s="100">
        <f t="shared" si="16"/>
        <v>9195.8081427326088</v>
      </c>
      <c r="L15" s="99">
        <f t="shared" si="17"/>
        <v>8794.0434726415097</v>
      </c>
      <c r="M15" s="35">
        <f t="shared" si="5"/>
        <v>9195.8081427326088</v>
      </c>
      <c r="N15" s="120">
        <v>0.25080000000000002</v>
      </c>
      <c r="O15" s="36">
        <f t="shared" si="6"/>
        <v>222655.24043564696</v>
      </c>
      <c r="P15" s="99">
        <f t="shared" si="7"/>
        <v>222655.24043564696</v>
      </c>
      <c r="Q15" s="115">
        <v>0.3</v>
      </c>
      <c r="R15" s="36">
        <f t="shared" si="8"/>
        <v>266334.01965986477</v>
      </c>
      <c r="S15" s="99">
        <f t="shared" si="9"/>
        <v>266334.01965986477</v>
      </c>
      <c r="T15" s="101">
        <f t="shared" si="10"/>
        <v>0.55079999999999996</v>
      </c>
      <c r="U15" s="99">
        <f t="shared" si="11"/>
        <v>467657.01034013525</v>
      </c>
      <c r="V15" s="100">
        <f t="shared" si="18"/>
        <v>4137.0029003033032</v>
      </c>
      <c r="W15" s="100">
        <f t="shared" si="19"/>
        <v>4680.8533015771764</v>
      </c>
      <c r="X15" s="99">
        <f t="shared" si="20"/>
        <v>4137.0029003033032</v>
      </c>
      <c r="Y15" s="55">
        <v>10</v>
      </c>
      <c r="AA15" s="97"/>
      <c r="AB15" s="97"/>
      <c r="AC15" s="97"/>
      <c r="AD15" s="98"/>
    </row>
    <row r="16" spans="1:31" x14ac:dyDescent="0.3">
      <c r="B16" s="78">
        <f t="shared" si="0"/>
        <v>1.9298245614035089E-3</v>
      </c>
      <c r="C16" s="110">
        <v>3061</v>
      </c>
      <c r="D16" s="111">
        <v>0.22</v>
      </c>
      <c r="E16" s="111">
        <v>0.05</v>
      </c>
      <c r="F16" s="110">
        <v>114</v>
      </c>
      <c r="G16" s="112">
        <v>1</v>
      </c>
      <c r="H16" s="113">
        <v>365097.89</v>
      </c>
      <c r="I16" s="99">
        <f t="shared" si="1"/>
        <v>365097.89</v>
      </c>
      <c r="J16" s="100">
        <f t="shared" si="15"/>
        <v>4067.3185991228074</v>
      </c>
      <c r="K16" s="100">
        <f t="shared" si="16"/>
        <v>4267.1622311721076</v>
      </c>
      <c r="L16" s="99">
        <f t="shared" si="17"/>
        <v>4067.3185991228074</v>
      </c>
      <c r="M16" s="35">
        <f t="shared" si="5"/>
        <v>4267.1622311721076</v>
      </c>
      <c r="N16" s="120">
        <v>0.25</v>
      </c>
      <c r="O16" s="36">
        <f t="shared" si="6"/>
        <v>110398.70225325409</v>
      </c>
      <c r="P16" s="99">
        <f t="shared" si="7"/>
        <v>110398.70225325409</v>
      </c>
      <c r="Q16" s="115">
        <v>0.3</v>
      </c>
      <c r="R16" s="36">
        <f t="shared" si="8"/>
        <v>132478.44270390488</v>
      </c>
      <c r="S16" s="99">
        <f t="shared" si="9"/>
        <v>132478.44270390488</v>
      </c>
      <c r="T16" s="101">
        <f t="shared" si="10"/>
        <v>0.55000000000000004</v>
      </c>
      <c r="U16" s="99">
        <f t="shared" si="11"/>
        <v>232619.44729609514</v>
      </c>
      <c r="V16" s="100">
        <f t="shared" si="18"/>
        <v>1917.9633340152059</v>
      </c>
      <c r="W16" s="100">
        <f t="shared" si="19"/>
        <v>2189.3091146583411</v>
      </c>
      <c r="X16" s="99">
        <f t="shared" si="20"/>
        <v>1917.9633340152059</v>
      </c>
      <c r="Y16" s="55">
        <v>10</v>
      </c>
      <c r="AA16" s="97"/>
      <c r="AB16" s="97"/>
      <c r="AC16" s="97"/>
      <c r="AD16" s="98"/>
    </row>
    <row r="17" spans="2:30" x14ac:dyDescent="0.3">
      <c r="B17" s="78">
        <f t="shared" si="0"/>
        <v>1.9130434782608696E-3</v>
      </c>
      <c r="C17" s="110">
        <v>3062</v>
      </c>
      <c r="D17" s="111">
        <v>0.22</v>
      </c>
      <c r="E17" s="111">
        <v>0.05</v>
      </c>
      <c r="F17" s="110">
        <v>115</v>
      </c>
      <c r="G17" s="112">
        <v>1</v>
      </c>
      <c r="H17" s="113">
        <v>365353.2</v>
      </c>
      <c r="I17" s="99">
        <f t="shared" si="1"/>
        <v>365353.2</v>
      </c>
      <c r="J17" s="100">
        <f t="shared" si="15"/>
        <v>4034.7701217391304</v>
      </c>
      <c r="K17" s="100">
        <f t="shared" si="16"/>
        <v>4234.7535028231305</v>
      </c>
      <c r="L17" s="99">
        <f t="shared" si="17"/>
        <v>4034.7701217391304</v>
      </c>
      <c r="M17" s="35">
        <f t="shared" si="5"/>
        <v>4234.7535028231305</v>
      </c>
      <c r="N17" s="120">
        <v>0.1</v>
      </c>
      <c r="O17" s="36">
        <f t="shared" si="6"/>
        <v>44190.361268944711</v>
      </c>
      <c r="P17" s="99">
        <f t="shared" si="7"/>
        <v>44190.361268944711</v>
      </c>
      <c r="Q17" s="115">
        <v>0.3</v>
      </c>
      <c r="R17" s="36">
        <f t="shared" si="8"/>
        <v>132571.08380683413</v>
      </c>
      <c r="S17" s="99">
        <f t="shared" si="9"/>
        <v>132571.08380683413</v>
      </c>
      <c r="T17" s="101">
        <f t="shared" si="10"/>
        <v>0.4</v>
      </c>
      <c r="U17" s="99">
        <f t="shared" si="11"/>
        <v>232782.11619316589</v>
      </c>
      <c r="V17" s="100">
        <f t="shared" si="18"/>
        <v>2484.2311298463333</v>
      </c>
      <c r="W17" s="100">
        <f t="shared" si="19"/>
        <v>2838.8004705470407</v>
      </c>
      <c r="X17" s="99">
        <f t="shared" si="20"/>
        <v>2484.2311298463333</v>
      </c>
      <c r="Y17" s="55">
        <v>8</v>
      </c>
      <c r="AA17" s="97"/>
      <c r="AB17" s="97"/>
      <c r="AC17" s="97"/>
      <c r="AD17" s="98"/>
    </row>
    <row r="18" spans="2:30" x14ac:dyDescent="0.3">
      <c r="B18" s="78">
        <f t="shared" si="0"/>
        <v>1.8965517241379311E-3</v>
      </c>
      <c r="C18" s="110">
        <v>3063</v>
      </c>
      <c r="D18" s="111">
        <v>0.22</v>
      </c>
      <c r="E18" s="111">
        <v>0.05</v>
      </c>
      <c r="F18" s="110">
        <v>116</v>
      </c>
      <c r="G18" s="112">
        <v>1</v>
      </c>
      <c r="H18" s="113">
        <v>364880.2</v>
      </c>
      <c r="I18" s="99">
        <f t="shared" si="1"/>
        <v>364880.2</v>
      </c>
      <c r="J18" s="100">
        <f>IFERROR(((H18*(1+SUM(D18:E18)))/F18),"-")</f>
        <v>3994.8090862068971</v>
      </c>
      <c r="K18" s="100">
        <f>IFERROR((J18*(1+F18*0.0431%)),"-")</f>
        <v>4194.5335612808967</v>
      </c>
      <c r="L18" s="99">
        <f>IFERROR(J18*G18,"-")</f>
        <v>3994.8090862068971</v>
      </c>
      <c r="M18" s="35">
        <f t="shared" si="5"/>
        <v>4194.5335612808967</v>
      </c>
      <c r="N18" s="120">
        <v>0.28839999999999999</v>
      </c>
      <c r="O18" s="36">
        <f t="shared" si="6"/>
        <v>127280.00680475704</v>
      </c>
      <c r="P18" s="99">
        <f t="shared" si="7"/>
        <v>127280.00680475704</v>
      </c>
      <c r="Q18" s="115">
        <v>0.3</v>
      </c>
      <c r="R18" s="36">
        <f t="shared" si="8"/>
        <v>132399.4522934366</v>
      </c>
      <c r="S18" s="99">
        <f t="shared" si="9"/>
        <v>132399.4522934366</v>
      </c>
      <c r="T18" s="101">
        <f t="shared" si="10"/>
        <v>0.58840000000000003</v>
      </c>
      <c r="U18" s="99">
        <f t="shared" si="11"/>
        <v>232480.74770656342</v>
      </c>
      <c r="V18" s="100">
        <f>IFERROR(((($H18*(1+D18+E18))-(O18+R18)-J18)/($F18-1)),"-")</f>
        <v>1736.7268331791265</v>
      </c>
      <c r="W18" s="100">
        <f>IFERROR((V18*(1+($F18-1)*0.1252%)),"-")</f>
        <v>1986.7807626202571</v>
      </c>
      <c r="X18" s="99">
        <f>IFERROR(V18*G18,"-")</f>
        <v>1736.7268331791265</v>
      </c>
      <c r="Y18" s="55">
        <v>7</v>
      </c>
      <c r="AA18" s="97" t="e">
        <f>#REF!</f>
        <v>#REF!</v>
      </c>
      <c r="AB18" s="97" t="e">
        <f>#REF!</f>
        <v>#REF!</v>
      </c>
      <c r="AC18" s="97">
        <f>AVERAGE(F18:F38)</f>
        <v>152.23809523809524</v>
      </c>
      <c r="AD18" s="98">
        <f>E53</f>
        <v>0.03</v>
      </c>
    </row>
    <row r="19" spans="2:30" x14ac:dyDescent="0.3">
      <c r="B19" s="78">
        <f t="shared" si="0"/>
        <v>1.864406779661017E-3</v>
      </c>
      <c r="C19" s="110">
        <v>3064</v>
      </c>
      <c r="D19" s="111">
        <v>0.22</v>
      </c>
      <c r="E19" s="111">
        <v>0.05</v>
      </c>
      <c r="F19" s="110">
        <v>118</v>
      </c>
      <c r="G19" s="112">
        <v>1</v>
      </c>
      <c r="H19" s="113">
        <v>847172.59</v>
      </c>
      <c r="I19" s="99">
        <f t="shared" si="1"/>
        <v>847172.59</v>
      </c>
      <c r="J19" s="100">
        <f t="shared" ref="J19:J22" si="21">IFERROR(((H19*(1+SUM(D19:E19)))/F19),"-")</f>
        <v>9117.87448559322</v>
      </c>
      <c r="K19" s="100">
        <f t="shared" ref="K19:K22" si="22">IFERROR((J19*(1+F19*0.0431%)),"-")</f>
        <v>9581.5913461815198</v>
      </c>
      <c r="L19" s="99">
        <f t="shared" ref="L19:L22" si="23">IFERROR(J19*G19,"-")</f>
        <v>9117.87448559322</v>
      </c>
      <c r="M19" s="35">
        <f t="shared" si="5"/>
        <v>9581.5913461815198</v>
      </c>
      <c r="N19" s="120">
        <v>0.30099999999999999</v>
      </c>
      <c r="O19" s="36">
        <f t="shared" si="6"/>
        <v>308427.45336796064</v>
      </c>
      <c r="P19" s="99">
        <f t="shared" si="7"/>
        <v>308427.45336796064</v>
      </c>
      <c r="Q19" s="115">
        <v>0.3</v>
      </c>
      <c r="R19" s="36">
        <f t="shared" si="8"/>
        <v>307402.77744315012</v>
      </c>
      <c r="S19" s="99">
        <f t="shared" si="9"/>
        <v>307402.77744315012</v>
      </c>
      <c r="T19" s="101">
        <f t="shared" si="10"/>
        <v>0.60099999999999998</v>
      </c>
      <c r="U19" s="99">
        <f t="shared" si="11"/>
        <v>539769.81255684979</v>
      </c>
      <c r="V19" s="100">
        <f t="shared" ref="V19:V22" si="24">IFERROR(((($H19*(1+D19+E19))-(O19+R19)-J19)/($F19-1)),"-")</f>
        <v>3854.3682393444105</v>
      </c>
      <c r="W19" s="100">
        <f t="shared" ref="W19:W22" si="25">IFERROR((V19*(1+($F19-1)*0.1252%)),"-")</f>
        <v>4418.9715165165371</v>
      </c>
      <c r="X19" s="99">
        <f t="shared" ref="X19:X22" si="26">IFERROR(V19*G19,"-")</f>
        <v>3854.3682393444105</v>
      </c>
      <c r="Y19" s="55">
        <v>14</v>
      </c>
      <c r="AA19" s="97"/>
      <c r="AB19" s="97"/>
      <c r="AC19" s="97"/>
      <c r="AD19" s="98"/>
    </row>
    <row r="20" spans="2:30" x14ac:dyDescent="0.3">
      <c r="B20" s="78">
        <f t="shared" si="0"/>
        <v>1.864406779661017E-3</v>
      </c>
      <c r="C20" s="110">
        <v>3065</v>
      </c>
      <c r="D20" s="111">
        <v>0.22</v>
      </c>
      <c r="E20" s="111">
        <v>0.05</v>
      </c>
      <c r="F20" s="110">
        <v>118</v>
      </c>
      <c r="G20" s="112">
        <v>1</v>
      </c>
      <c r="H20" s="113">
        <v>352988.58</v>
      </c>
      <c r="I20" s="99">
        <f t="shared" si="1"/>
        <v>352988.58</v>
      </c>
      <c r="J20" s="100">
        <f t="shared" si="21"/>
        <v>3799.114377966102</v>
      </c>
      <c r="K20" s="100">
        <f t="shared" si="22"/>
        <v>3992.3297370007022</v>
      </c>
      <c r="L20" s="99">
        <f t="shared" si="23"/>
        <v>3799.114377966102</v>
      </c>
      <c r="M20" s="35">
        <f t="shared" si="5"/>
        <v>3992.3297370007022</v>
      </c>
      <c r="N20" s="120">
        <v>0.27629999999999999</v>
      </c>
      <c r="O20" s="36">
        <f t="shared" si="6"/>
        <v>117965.81612230187</v>
      </c>
      <c r="P20" s="99">
        <f t="shared" si="7"/>
        <v>117965.81612230187</v>
      </c>
      <c r="Q20" s="115">
        <v>0.3</v>
      </c>
      <c r="R20" s="36">
        <f t="shared" si="8"/>
        <v>128084.49090369366</v>
      </c>
      <c r="S20" s="99">
        <f t="shared" si="9"/>
        <v>128084.49090369366</v>
      </c>
      <c r="T20" s="101">
        <f t="shared" si="10"/>
        <v>0.57630000000000003</v>
      </c>
      <c r="U20" s="99">
        <f t="shared" si="11"/>
        <v>224904.08909630636</v>
      </c>
      <c r="V20" s="100">
        <f t="shared" si="24"/>
        <v>1696.1203008208411</v>
      </c>
      <c r="W20" s="100">
        <f t="shared" si="25"/>
        <v>1944.5747869662812</v>
      </c>
      <c r="X20" s="99">
        <f t="shared" si="26"/>
        <v>1696.1203008208411</v>
      </c>
      <c r="Y20" s="55">
        <v>5</v>
      </c>
      <c r="AA20" s="97"/>
      <c r="AB20" s="97"/>
      <c r="AC20" s="97"/>
      <c r="AD20" s="98"/>
    </row>
    <row r="21" spans="2:30" x14ac:dyDescent="0.3">
      <c r="B21" s="78">
        <f t="shared" si="0"/>
        <v>1.71875E-3</v>
      </c>
      <c r="C21" s="110">
        <v>3066</v>
      </c>
      <c r="D21" s="111">
        <v>0.22</v>
      </c>
      <c r="E21" s="111">
        <v>0.05</v>
      </c>
      <c r="F21" s="110">
        <v>128</v>
      </c>
      <c r="G21" s="112">
        <v>1</v>
      </c>
      <c r="H21" s="113">
        <v>350048.61</v>
      </c>
      <c r="I21" s="99">
        <f t="shared" si="1"/>
        <v>350048.61</v>
      </c>
      <c r="J21" s="100">
        <f t="shared" si="21"/>
        <v>3473.1385523437498</v>
      </c>
      <c r="K21" s="100">
        <f t="shared" si="22"/>
        <v>3664.7446599994501</v>
      </c>
      <c r="L21" s="99">
        <f t="shared" si="23"/>
        <v>3473.1385523437498</v>
      </c>
      <c r="M21" s="35">
        <f t="shared" si="5"/>
        <v>3664.7446599994501</v>
      </c>
      <c r="N21" s="120">
        <v>0.26640000000000003</v>
      </c>
      <c r="O21" s="36">
        <f t="shared" si="6"/>
        <v>112791.71872080197</v>
      </c>
      <c r="P21" s="99">
        <f t="shared" si="7"/>
        <v>112791.71872080197</v>
      </c>
      <c r="Q21" s="115">
        <v>0.3</v>
      </c>
      <c r="R21" s="36">
        <f t="shared" si="8"/>
        <v>127017.70126216437</v>
      </c>
      <c r="S21" s="99">
        <f t="shared" si="9"/>
        <v>127017.70126216437</v>
      </c>
      <c r="T21" s="101">
        <f t="shared" si="10"/>
        <v>0.56640000000000001</v>
      </c>
      <c r="U21" s="99">
        <f t="shared" si="11"/>
        <v>223030.90873783562</v>
      </c>
      <c r="V21" s="100">
        <f t="shared" si="24"/>
        <v>1584.8754028715739</v>
      </c>
      <c r="W21" s="100">
        <f t="shared" si="25"/>
        <v>1836.8769314297656</v>
      </c>
      <c r="X21" s="99">
        <f t="shared" si="26"/>
        <v>1584.8754028715739</v>
      </c>
      <c r="Y21" s="55">
        <v>9</v>
      </c>
      <c r="AA21" s="97"/>
      <c r="AB21" s="97"/>
      <c r="AC21" s="97"/>
      <c r="AD21" s="98"/>
    </row>
    <row r="22" spans="2:30" x14ac:dyDescent="0.3">
      <c r="B22" s="78">
        <f t="shared" si="0"/>
        <v>1.6176470588235294E-3</v>
      </c>
      <c r="C22" s="110">
        <v>3069</v>
      </c>
      <c r="D22" s="111">
        <v>0.22</v>
      </c>
      <c r="E22" s="111">
        <v>0.05</v>
      </c>
      <c r="F22" s="110">
        <v>136</v>
      </c>
      <c r="G22" s="112">
        <v>1</v>
      </c>
      <c r="H22" s="113">
        <v>163504.07</v>
      </c>
      <c r="I22" s="99">
        <f t="shared" si="1"/>
        <v>163504.07</v>
      </c>
      <c r="J22" s="100">
        <f t="shared" si="21"/>
        <v>1526.8394772058825</v>
      </c>
      <c r="K22" s="100">
        <f t="shared" si="22"/>
        <v>1616.3367000017824</v>
      </c>
      <c r="L22" s="99">
        <f t="shared" si="23"/>
        <v>1526.8394772058825</v>
      </c>
      <c r="M22" s="35">
        <f t="shared" si="5"/>
        <v>1616.3367000017824</v>
      </c>
      <c r="N22" s="120">
        <v>0.27110000000000001</v>
      </c>
      <c r="O22" s="36">
        <f t="shared" si="6"/>
        <v>53613.322486843688</v>
      </c>
      <c r="P22" s="99">
        <f t="shared" si="7"/>
        <v>53613.322486843688</v>
      </c>
      <c r="Q22" s="115">
        <v>0.3</v>
      </c>
      <c r="R22" s="36">
        <f t="shared" si="8"/>
        <v>59328.649007942106</v>
      </c>
      <c r="S22" s="99">
        <f t="shared" si="9"/>
        <v>59328.649007942106</v>
      </c>
      <c r="T22" s="101">
        <f t="shared" si="10"/>
        <v>0.57109999999999994</v>
      </c>
      <c r="U22" s="99">
        <f t="shared" si="11"/>
        <v>104175.4209920579</v>
      </c>
      <c r="V22" s="100">
        <f t="shared" si="24"/>
        <v>690.2322809482099</v>
      </c>
      <c r="W22" s="100">
        <f t="shared" si="25"/>
        <v>806.89534107407633</v>
      </c>
      <c r="X22" s="99">
        <f t="shared" si="26"/>
        <v>690.2322809482099</v>
      </c>
      <c r="Y22" s="55">
        <v>6</v>
      </c>
      <c r="AA22" s="97"/>
      <c r="AB22" s="97"/>
      <c r="AC22" s="97"/>
      <c r="AD22" s="98"/>
    </row>
    <row r="23" spans="2:30" x14ac:dyDescent="0.3">
      <c r="B23" s="78">
        <f t="shared" si="0"/>
        <v>1.5942028985507246E-3</v>
      </c>
      <c r="C23" s="110">
        <v>3071</v>
      </c>
      <c r="D23" s="111">
        <v>0.22</v>
      </c>
      <c r="E23" s="111">
        <v>0.05</v>
      </c>
      <c r="F23" s="110">
        <v>138</v>
      </c>
      <c r="G23" s="112">
        <v>1</v>
      </c>
      <c r="H23" s="113">
        <v>806529.79</v>
      </c>
      <c r="I23" s="99">
        <f t="shared" si="1"/>
        <v>806529.79</v>
      </c>
      <c r="J23" s="100">
        <f t="shared" ref="J23:J30" si="27">IFERROR(((H23*(1+SUM(D23:E23)))/F23),"-")</f>
        <v>7422.4118355072469</v>
      </c>
      <c r="K23" s="100">
        <f t="shared" ref="K23:K30" si="28">IFERROR((J23*(1+F23*0.0431%)),"-")</f>
        <v>7863.8820466595462</v>
      </c>
      <c r="L23" s="99">
        <f t="shared" ref="L23:L30" si="29">IFERROR(J23*G23,"-")</f>
        <v>7422.4118355072469</v>
      </c>
      <c r="M23" s="35">
        <f t="shared" si="5"/>
        <v>7863.8820466595462</v>
      </c>
      <c r="N23" s="114">
        <v>0.3</v>
      </c>
      <c r="O23" s="36">
        <f t="shared" si="6"/>
        <v>292655.2398687033</v>
      </c>
      <c r="P23" s="99">
        <f t="shared" si="7"/>
        <v>292655.2398687033</v>
      </c>
      <c r="Q23" s="115">
        <v>0.3</v>
      </c>
      <c r="R23" s="36">
        <f t="shared" si="8"/>
        <v>292655.2398687033</v>
      </c>
      <c r="S23" s="99">
        <f t="shared" si="9"/>
        <v>292655.2398687033</v>
      </c>
      <c r="T23" s="101">
        <f t="shared" si="10"/>
        <v>0.6</v>
      </c>
      <c r="U23" s="99">
        <f t="shared" si="11"/>
        <v>513874.55013129674</v>
      </c>
      <c r="V23" s="100">
        <f t="shared" ref="V23:V30" si="30">IFERROR(((($H23*(1+D23+E23))-(O23+R23)-J23)/($F23-1)),"-")</f>
        <v>3150.0725673509942</v>
      </c>
      <c r="W23" s="100">
        <f t="shared" ref="W23:W30" si="31">IFERROR((V23*(1+($F23-1)*0.1252%)),"-")</f>
        <v>3690.3856143933062</v>
      </c>
      <c r="X23" s="99">
        <f t="shared" ref="X23:X30" si="32">IFERROR(V23*G23,"-")</f>
        <v>3150.0725673509942</v>
      </c>
      <c r="Y23" s="55">
        <v>7</v>
      </c>
      <c r="AA23" s="97"/>
      <c r="AB23" s="97"/>
      <c r="AC23" s="97"/>
      <c r="AD23" s="98"/>
    </row>
    <row r="24" spans="2:30" x14ac:dyDescent="0.3">
      <c r="B24" s="78">
        <f t="shared" si="0"/>
        <v>1.5942028985507246E-3</v>
      </c>
      <c r="C24" s="110">
        <v>3073</v>
      </c>
      <c r="D24" s="111">
        <v>0.22</v>
      </c>
      <c r="E24" s="111">
        <v>0.05</v>
      </c>
      <c r="F24" s="110">
        <v>138</v>
      </c>
      <c r="G24" s="112">
        <v>1</v>
      </c>
      <c r="H24" s="113">
        <v>336054.08</v>
      </c>
      <c r="I24" s="99">
        <f t="shared" si="1"/>
        <v>336054.08</v>
      </c>
      <c r="J24" s="100">
        <f t="shared" si="27"/>
        <v>3092.6716057971016</v>
      </c>
      <c r="K24" s="100">
        <f t="shared" si="28"/>
        <v>3276.6175275667015</v>
      </c>
      <c r="L24" s="99">
        <f t="shared" si="29"/>
        <v>3092.6716057971016</v>
      </c>
      <c r="M24" s="35">
        <f t="shared" si="5"/>
        <v>3276.6175275667015</v>
      </c>
      <c r="N24" s="120">
        <v>0.29899999999999999</v>
      </c>
      <c r="O24" s="36">
        <f t="shared" si="6"/>
        <v>121533.21796907079</v>
      </c>
      <c r="P24" s="99">
        <f t="shared" si="7"/>
        <v>121533.21796907079</v>
      </c>
      <c r="Q24" s="115">
        <v>0.3</v>
      </c>
      <c r="R24" s="36">
        <f t="shared" si="8"/>
        <v>121939.68358100747</v>
      </c>
      <c r="S24" s="99">
        <f t="shared" si="9"/>
        <v>121939.68358100747</v>
      </c>
      <c r="T24" s="101">
        <f t="shared" si="10"/>
        <v>0.59899999999999998</v>
      </c>
      <c r="U24" s="99">
        <f t="shared" si="11"/>
        <v>214114.39641899255</v>
      </c>
      <c r="V24" s="100">
        <f t="shared" si="30"/>
        <v>1315.4971419279173</v>
      </c>
      <c r="W24" s="100">
        <f t="shared" si="31"/>
        <v>1541.1364736999612</v>
      </c>
      <c r="X24" s="99">
        <f t="shared" si="32"/>
        <v>1315.4971419279173</v>
      </c>
      <c r="Y24" s="55">
        <v>7</v>
      </c>
      <c r="AA24" s="97"/>
      <c r="AB24" s="97"/>
      <c r="AC24" s="97"/>
      <c r="AD24" s="98"/>
    </row>
    <row r="25" spans="2:30" x14ac:dyDescent="0.3">
      <c r="B25" s="78">
        <f t="shared" si="0"/>
        <v>1.5827338129496403E-3</v>
      </c>
      <c r="C25" s="110">
        <v>3076</v>
      </c>
      <c r="D25" s="111">
        <v>0.22</v>
      </c>
      <c r="E25" s="111">
        <v>0.05</v>
      </c>
      <c r="F25" s="110">
        <v>139</v>
      </c>
      <c r="G25" s="112">
        <v>1</v>
      </c>
      <c r="H25" s="113">
        <v>333030.77</v>
      </c>
      <c r="I25" s="99">
        <f t="shared" si="1"/>
        <v>333030.77</v>
      </c>
      <c r="J25" s="100">
        <f t="shared" si="27"/>
        <v>3042.7991215827342</v>
      </c>
      <c r="K25" s="100">
        <f t="shared" si="28"/>
        <v>3225.090174157634</v>
      </c>
      <c r="L25" s="99">
        <f t="shared" si="29"/>
        <v>3042.7991215827342</v>
      </c>
      <c r="M25" s="35">
        <f t="shared" si="5"/>
        <v>3225.090174157634</v>
      </c>
      <c r="N25" s="120">
        <v>0.18</v>
      </c>
      <c r="O25" s="36">
        <f t="shared" si="6"/>
        <v>72505.592046147955</v>
      </c>
      <c r="P25" s="99">
        <f t="shared" si="7"/>
        <v>72505.592046147955</v>
      </c>
      <c r="Q25" s="115">
        <v>0.3</v>
      </c>
      <c r="R25" s="36">
        <f t="shared" si="8"/>
        <v>120842.65341024658</v>
      </c>
      <c r="S25" s="99">
        <f t="shared" si="9"/>
        <v>120842.65341024658</v>
      </c>
      <c r="T25" s="101">
        <f t="shared" si="10"/>
        <v>0.48</v>
      </c>
      <c r="U25" s="99">
        <f t="shared" si="11"/>
        <v>212188.11658975342</v>
      </c>
      <c r="V25" s="100">
        <f t="shared" si="30"/>
        <v>1641.7248791450925</v>
      </c>
      <c r="W25" s="100">
        <f t="shared" si="31"/>
        <v>1925.3755368642651</v>
      </c>
      <c r="X25" s="99">
        <f t="shared" si="32"/>
        <v>1641.7248791450925</v>
      </c>
      <c r="Y25" s="55">
        <v>5</v>
      </c>
      <c r="AA25" s="97"/>
      <c r="AB25" s="97"/>
      <c r="AC25" s="97"/>
      <c r="AD25" s="98"/>
    </row>
    <row r="26" spans="2:30" x14ac:dyDescent="0.3">
      <c r="B26" s="78">
        <f t="shared" si="0"/>
        <v>1.5602836879432625E-3</v>
      </c>
      <c r="C26" s="110">
        <v>3078</v>
      </c>
      <c r="D26" s="111">
        <v>0.22</v>
      </c>
      <c r="E26" s="111">
        <v>0.05</v>
      </c>
      <c r="F26" s="110">
        <v>141</v>
      </c>
      <c r="G26" s="112">
        <v>1</v>
      </c>
      <c r="H26" s="113">
        <v>324295.96999999997</v>
      </c>
      <c r="I26" s="99">
        <f t="shared" si="1"/>
        <v>324295.96999999997</v>
      </c>
      <c r="J26" s="100">
        <f t="shared" si="27"/>
        <v>2920.9637014184395</v>
      </c>
      <c r="K26" s="100">
        <f t="shared" si="28"/>
        <v>3098.4735865173393</v>
      </c>
      <c r="L26" s="99">
        <f t="shared" si="29"/>
        <v>2920.9637014184395</v>
      </c>
      <c r="M26" s="35">
        <f t="shared" si="5"/>
        <v>3098.4735865173393</v>
      </c>
      <c r="N26" s="114">
        <v>0.3</v>
      </c>
      <c r="O26" s="36">
        <f t="shared" si="6"/>
        <v>117673.16727235059</v>
      </c>
      <c r="P26" s="99">
        <f t="shared" si="7"/>
        <v>117673.16727235059</v>
      </c>
      <c r="Q26" s="115">
        <v>0.3</v>
      </c>
      <c r="R26" s="36">
        <f t="shared" si="8"/>
        <v>117673.16727235059</v>
      </c>
      <c r="S26" s="99">
        <f t="shared" si="9"/>
        <v>117673.16727235059</v>
      </c>
      <c r="T26" s="101">
        <f t="shared" si="10"/>
        <v>0.6</v>
      </c>
      <c r="U26" s="99">
        <f t="shared" si="11"/>
        <v>206622.8027276494</v>
      </c>
      <c r="V26" s="100">
        <f t="shared" si="30"/>
        <v>1239.918454670574</v>
      </c>
      <c r="W26" s="100">
        <f t="shared" si="31"/>
        <v>1457.2513614052323</v>
      </c>
      <c r="X26" s="99">
        <f t="shared" si="32"/>
        <v>1239.918454670574</v>
      </c>
      <c r="Y26" s="55">
        <v>5</v>
      </c>
      <c r="AA26" s="97"/>
      <c r="AB26" s="97"/>
      <c r="AC26" s="97"/>
      <c r="AD26" s="98"/>
    </row>
    <row r="27" spans="2:30" x14ac:dyDescent="0.3">
      <c r="B27" s="78">
        <f t="shared" si="0"/>
        <v>1.5492957746478873E-3</v>
      </c>
      <c r="C27" s="110">
        <v>3082</v>
      </c>
      <c r="D27" s="111">
        <v>0.22</v>
      </c>
      <c r="E27" s="111">
        <v>0.05</v>
      </c>
      <c r="F27" s="110">
        <v>142</v>
      </c>
      <c r="G27" s="112">
        <v>1</v>
      </c>
      <c r="H27" s="113">
        <v>149708.44</v>
      </c>
      <c r="I27" s="99">
        <f t="shared" si="1"/>
        <v>149708.44</v>
      </c>
      <c r="J27" s="100">
        <f t="shared" si="27"/>
        <v>1338.941681690141</v>
      </c>
      <c r="K27" s="100">
        <f t="shared" si="28"/>
        <v>1420.8875904929409</v>
      </c>
      <c r="L27" s="99">
        <f t="shared" si="29"/>
        <v>1338.941681690141</v>
      </c>
      <c r="M27" s="35">
        <f t="shared" si="5"/>
        <v>1420.8875904929409</v>
      </c>
      <c r="N27" s="120">
        <v>0.32500000000000001</v>
      </c>
      <c r="O27" s="36">
        <f t="shared" si="6"/>
        <v>58849.70395218362</v>
      </c>
      <c r="P27" s="99">
        <f t="shared" si="7"/>
        <v>58849.70395218362</v>
      </c>
      <c r="Q27" s="115">
        <v>0.3</v>
      </c>
      <c r="R27" s="36">
        <f t="shared" si="8"/>
        <v>54322.803648169487</v>
      </c>
      <c r="S27" s="99">
        <f t="shared" si="9"/>
        <v>54322.803648169487</v>
      </c>
      <c r="T27" s="101">
        <f t="shared" si="10"/>
        <v>0.625</v>
      </c>
      <c r="U27" s="99">
        <f t="shared" si="11"/>
        <v>95385.636351830515</v>
      </c>
      <c r="V27" s="100">
        <f t="shared" si="30"/>
        <v>536.29978381529622</v>
      </c>
      <c r="W27" s="100">
        <f t="shared" si="31"/>
        <v>630.9738572517781</v>
      </c>
      <c r="X27" s="99">
        <f t="shared" si="32"/>
        <v>536.29978381529622</v>
      </c>
      <c r="Y27" s="55">
        <v>6</v>
      </c>
      <c r="AA27" s="97"/>
      <c r="AB27" s="97"/>
      <c r="AC27" s="97"/>
      <c r="AD27" s="98"/>
    </row>
    <row r="28" spans="2:30" x14ac:dyDescent="0.3">
      <c r="B28" s="78">
        <f t="shared" si="0"/>
        <v>1.5384615384615385E-3</v>
      </c>
      <c r="C28" s="110">
        <v>3083</v>
      </c>
      <c r="D28" s="111">
        <v>0.22</v>
      </c>
      <c r="E28" s="111">
        <v>0.05</v>
      </c>
      <c r="F28" s="110">
        <v>143</v>
      </c>
      <c r="G28" s="112">
        <v>1</v>
      </c>
      <c r="H28" s="113">
        <v>148803.66</v>
      </c>
      <c r="I28" s="99">
        <f t="shared" si="1"/>
        <v>148803.66</v>
      </c>
      <c r="J28" s="100">
        <f t="shared" si="27"/>
        <v>1321.5429944055943</v>
      </c>
      <c r="K28" s="100">
        <f t="shared" si="28"/>
        <v>1402.9936537797944</v>
      </c>
      <c r="L28" s="99">
        <f t="shared" si="29"/>
        <v>1321.5429944055943</v>
      </c>
      <c r="M28" s="35">
        <f t="shared" si="5"/>
        <v>1402.9936537797944</v>
      </c>
      <c r="N28" s="120">
        <v>0.27110000000000001</v>
      </c>
      <c r="O28" s="36">
        <f t="shared" si="6"/>
        <v>48793.027664709763</v>
      </c>
      <c r="P28" s="99">
        <f t="shared" si="7"/>
        <v>48793.027664709763</v>
      </c>
      <c r="Q28" s="115">
        <v>0.3</v>
      </c>
      <c r="R28" s="36">
        <f t="shared" si="8"/>
        <v>53994.497600195238</v>
      </c>
      <c r="S28" s="99">
        <f t="shared" si="9"/>
        <v>53994.497600195238</v>
      </c>
      <c r="T28" s="101">
        <f t="shared" si="10"/>
        <v>0.57109999999999994</v>
      </c>
      <c r="U28" s="99">
        <f t="shared" si="11"/>
        <v>94809.162399804773</v>
      </c>
      <c r="V28" s="100">
        <f t="shared" si="30"/>
        <v>597.68718268091118</v>
      </c>
      <c r="W28" s="100">
        <f t="shared" si="31"/>
        <v>703.94640076665428</v>
      </c>
      <c r="X28" s="99">
        <f t="shared" si="32"/>
        <v>597.68718268091118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1.4965986394557824E-3</v>
      </c>
      <c r="C29" s="110">
        <v>3085</v>
      </c>
      <c r="D29" s="111">
        <v>0.22</v>
      </c>
      <c r="E29" s="111">
        <v>0.05</v>
      </c>
      <c r="F29" s="110">
        <v>147</v>
      </c>
      <c r="G29" s="112">
        <v>1</v>
      </c>
      <c r="H29" s="113">
        <v>141892.85999999999</v>
      </c>
      <c r="I29" s="99">
        <f t="shared" si="1"/>
        <v>141892.85999999999</v>
      </c>
      <c r="J29" s="100">
        <f t="shared" si="27"/>
        <v>1225.8770897959182</v>
      </c>
      <c r="K29" s="100">
        <f t="shared" si="28"/>
        <v>1303.544984574118</v>
      </c>
      <c r="L29" s="99">
        <f t="shared" si="29"/>
        <v>1225.8770897959182</v>
      </c>
      <c r="M29" s="35">
        <f t="shared" si="5"/>
        <v>1303.544984574118</v>
      </c>
      <c r="N29" s="114">
        <v>0.29949999999999999</v>
      </c>
      <c r="O29" s="36">
        <f t="shared" si="6"/>
        <v>51401.051779283604</v>
      </c>
      <c r="P29" s="99">
        <f t="shared" si="7"/>
        <v>51401.051779283604</v>
      </c>
      <c r="Q29" s="115">
        <v>0.3</v>
      </c>
      <c r="R29" s="36">
        <f t="shared" si="8"/>
        <v>51486.863217980244</v>
      </c>
      <c r="S29" s="99">
        <f t="shared" si="9"/>
        <v>51486.863217980244</v>
      </c>
      <c r="T29" s="101">
        <f t="shared" si="10"/>
        <v>0.59949999999999992</v>
      </c>
      <c r="U29" s="99">
        <f t="shared" si="11"/>
        <v>90405.996782019734</v>
      </c>
      <c r="V29" s="100">
        <f t="shared" si="30"/>
        <v>521.1653432393166</v>
      </c>
      <c r="W29" s="100">
        <f t="shared" si="31"/>
        <v>616.43019866071779</v>
      </c>
      <c r="X29" s="99">
        <f t="shared" si="32"/>
        <v>521.1653432393166</v>
      </c>
      <c r="Y29" s="55">
        <v>6</v>
      </c>
      <c r="AA29" s="97"/>
      <c r="AB29" s="97"/>
      <c r="AC29" s="97"/>
      <c r="AD29" s="98"/>
    </row>
    <row r="30" spans="2:30" x14ac:dyDescent="0.3">
      <c r="B30" s="78">
        <f t="shared" si="0"/>
        <v>1.5277777777777779E-3</v>
      </c>
      <c r="C30" s="110">
        <v>3086</v>
      </c>
      <c r="D30" s="111">
        <v>0.22</v>
      </c>
      <c r="E30" s="111">
        <v>0.05</v>
      </c>
      <c r="F30" s="110">
        <v>144</v>
      </c>
      <c r="G30" s="112">
        <v>1</v>
      </c>
      <c r="H30" s="113">
        <v>147537.35</v>
      </c>
      <c r="I30" s="99">
        <f t="shared" si="1"/>
        <v>147537.35</v>
      </c>
      <c r="J30" s="100">
        <f t="shared" si="27"/>
        <v>1301.1974618055556</v>
      </c>
      <c r="K30" s="100">
        <f t="shared" si="28"/>
        <v>1381.9549810750555</v>
      </c>
      <c r="L30" s="99">
        <f t="shared" si="29"/>
        <v>1301.1974618055556</v>
      </c>
      <c r="M30" s="35">
        <f t="shared" si="5"/>
        <v>1381.9549810750555</v>
      </c>
      <c r="N30" s="114">
        <v>0.28139999999999998</v>
      </c>
      <c r="O30" s="36">
        <f t="shared" si="6"/>
        <v>50215.837264367598</v>
      </c>
      <c r="P30" s="99">
        <f t="shared" si="7"/>
        <v>50215.837264367598</v>
      </c>
      <c r="Q30" s="115">
        <v>0.3</v>
      </c>
      <c r="R30" s="36">
        <f t="shared" si="8"/>
        <v>53535.007744528353</v>
      </c>
      <c r="S30" s="99">
        <f t="shared" si="9"/>
        <v>53535.007744528353</v>
      </c>
      <c r="T30" s="101">
        <f t="shared" si="10"/>
        <v>0.58139999999999992</v>
      </c>
      <c r="U30" s="99">
        <f t="shared" si="11"/>
        <v>94002.342255471653</v>
      </c>
      <c r="V30" s="100">
        <f t="shared" si="30"/>
        <v>575.66707712796153</v>
      </c>
      <c r="W30" s="100">
        <f t="shared" si="31"/>
        <v>678.73220794864324</v>
      </c>
      <c r="X30" s="99">
        <f t="shared" si="32"/>
        <v>575.66707712796153</v>
      </c>
      <c r="Y30" s="55">
        <v>5</v>
      </c>
      <c r="AA30" s="97"/>
      <c r="AB30" s="97"/>
      <c r="AC30" s="97"/>
      <c r="AD30" s="98"/>
    </row>
    <row r="31" spans="2:30" x14ac:dyDescent="0.3">
      <c r="B31" s="78">
        <f t="shared" si="0"/>
        <v>1.4765100671140939E-3</v>
      </c>
      <c r="C31" s="110">
        <v>3092</v>
      </c>
      <c r="D31" s="111">
        <v>0.22</v>
      </c>
      <c r="E31" s="111">
        <v>0.05</v>
      </c>
      <c r="F31" s="110">
        <v>149</v>
      </c>
      <c r="G31" s="112">
        <v>1</v>
      </c>
      <c r="H31" s="113">
        <v>138251.34</v>
      </c>
      <c r="I31" s="99">
        <f t="shared" si="1"/>
        <v>138251.34</v>
      </c>
      <c r="J31" s="100">
        <f t="shared" ref="J31:J33" si="33">IFERROR(((H31*(1+SUM(D31:E31)))/F31),"-")</f>
        <v>1178.3839046979867</v>
      </c>
      <c r="K31" s="100">
        <f t="shared" ref="K31:K33" si="34">IFERROR((J31*(1+F31*0.0431%)),"-")</f>
        <v>1254.0585406737869</v>
      </c>
      <c r="L31" s="99">
        <f t="shared" ref="L31:L33" si="35">IFERROR(J31*G31,"-")</f>
        <v>1178.3839046979867</v>
      </c>
      <c r="M31" s="35">
        <f t="shared" si="5"/>
        <v>1254.0585406737869</v>
      </c>
      <c r="N31" s="114">
        <v>0.37</v>
      </c>
      <c r="O31" s="36">
        <f t="shared" si="6"/>
        <v>61870.796927214855</v>
      </c>
      <c r="P31" s="99">
        <f t="shared" si="7"/>
        <v>61870.796927214855</v>
      </c>
      <c r="Q31" s="115">
        <v>0.3</v>
      </c>
      <c r="R31" s="36">
        <f t="shared" si="8"/>
        <v>50165.511022066101</v>
      </c>
      <c r="S31" s="99">
        <f t="shared" si="9"/>
        <v>50165.511022066101</v>
      </c>
      <c r="T31" s="101">
        <f t="shared" si="10"/>
        <v>0.66999999999999993</v>
      </c>
      <c r="U31" s="99">
        <f t="shared" si="11"/>
        <v>88085.828977933896</v>
      </c>
      <c r="V31" s="100">
        <f t="shared" ref="V31:V33" si="36">IFERROR(((($H31*(1+D31+E31))-(O31+R31)-J31)/($F31-1)),"-")</f>
        <v>421.38182395960189</v>
      </c>
      <c r="W31" s="100">
        <f t="shared" ref="W31:W33" si="37">IFERROR((V31*(1+($F31-1)*0.1252%)),"-")</f>
        <v>499.46219041202033</v>
      </c>
      <c r="X31" s="99">
        <f t="shared" ref="X31:X33" si="38">IFERROR(V31*G31,"-")</f>
        <v>421.38182395960189</v>
      </c>
      <c r="Y31" s="55">
        <v>5</v>
      </c>
      <c r="AA31" s="97"/>
      <c r="AB31" s="97"/>
      <c r="AC31" s="97"/>
      <c r="AD31" s="98"/>
    </row>
    <row r="32" spans="2:30" x14ac:dyDescent="0.3">
      <c r="B32" s="78">
        <f t="shared" si="0"/>
        <v>1.4666666666666667E-3</v>
      </c>
      <c r="C32" s="110">
        <v>3093</v>
      </c>
      <c r="D32" s="111">
        <v>0.22</v>
      </c>
      <c r="E32" s="111">
        <v>0.05</v>
      </c>
      <c r="F32" s="110">
        <v>150</v>
      </c>
      <c r="G32" s="112">
        <v>1</v>
      </c>
      <c r="H32" s="113">
        <v>287106.94</v>
      </c>
      <c r="I32" s="99">
        <f t="shared" si="1"/>
        <v>287106.94</v>
      </c>
      <c r="J32" s="100">
        <f t="shared" si="33"/>
        <v>2430.8387586666668</v>
      </c>
      <c r="K32" s="100">
        <f t="shared" si="34"/>
        <v>2587.9924844144671</v>
      </c>
      <c r="L32" s="99">
        <f t="shared" si="35"/>
        <v>2430.8387586666668</v>
      </c>
      <c r="M32" s="35">
        <f t="shared" si="5"/>
        <v>2587.9924844144671</v>
      </c>
      <c r="N32" s="114">
        <v>0.30299999999999999</v>
      </c>
      <c r="O32" s="36">
        <f t="shared" si="6"/>
        <v>105220.64398589183</v>
      </c>
      <c r="P32" s="99">
        <f t="shared" si="7"/>
        <v>105220.64398589183</v>
      </c>
      <c r="Q32" s="115">
        <v>0.3</v>
      </c>
      <c r="R32" s="36">
        <f t="shared" si="8"/>
        <v>104178.85543157606</v>
      </c>
      <c r="S32" s="99">
        <f t="shared" si="9"/>
        <v>104178.85543157606</v>
      </c>
      <c r="T32" s="101">
        <f t="shared" si="10"/>
        <v>0.60299999999999998</v>
      </c>
      <c r="U32" s="99">
        <f t="shared" si="11"/>
        <v>182928.08456842395</v>
      </c>
      <c r="V32" s="100">
        <f t="shared" si="36"/>
        <v>1025.4729907641977</v>
      </c>
      <c r="W32" s="100">
        <f t="shared" si="37"/>
        <v>1216.7729262452772</v>
      </c>
      <c r="X32" s="99">
        <f t="shared" si="38"/>
        <v>1025.4729907641977</v>
      </c>
      <c r="Y32" s="55">
        <v>5</v>
      </c>
      <c r="AA32" s="97"/>
      <c r="AB32" s="97"/>
      <c r="AC32" s="97"/>
      <c r="AD32" s="98"/>
    </row>
    <row r="33" spans="2:30" x14ac:dyDescent="0.3">
      <c r="B33" s="78">
        <f t="shared" si="0"/>
        <v>1.456953642384106E-3</v>
      </c>
      <c r="C33" s="110">
        <v>3094</v>
      </c>
      <c r="D33" s="111">
        <v>0.22</v>
      </c>
      <c r="E33" s="111">
        <v>0.05</v>
      </c>
      <c r="F33" s="110">
        <v>151</v>
      </c>
      <c r="G33" s="112">
        <v>1</v>
      </c>
      <c r="H33" s="113">
        <v>137372.76</v>
      </c>
      <c r="I33" s="99">
        <f t="shared" si="1"/>
        <v>137372.76</v>
      </c>
      <c r="J33" s="100">
        <f t="shared" si="33"/>
        <v>1155.3867894039736</v>
      </c>
      <c r="K33" s="100">
        <f t="shared" si="34"/>
        <v>1230.5805170451736</v>
      </c>
      <c r="L33" s="99">
        <f t="shared" si="35"/>
        <v>1155.3867894039736</v>
      </c>
      <c r="M33" s="35">
        <f t="shared" si="5"/>
        <v>1230.5805170451736</v>
      </c>
      <c r="N33" s="114">
        <v>0.39</v>
      </c>
      <c r="O33" s="36">
        <f t="shared" si="6"/>
        <v>64800.725386713319</v>
      </c>
      <c r="P33" s="99">
        <f t="shared" si="7"/>
        <v>64800.725386713319</v>
      </c>
      <c r="Q33" s="115">
        <v>0.3</v>
      </c>
      <c r="R33" s="36">
        <f t="shared" si="8"/>
        <v>49846.711835933311</v>
      </c>
      <c r="S33" s="99">
        <f t="shared" si="9"/>
        <v>49846.711835933311</v>
      </c>
      <c r="T33" s="101">
        <f t="shared" si="10"/>
        <v>0.69</v>
      </c>
      <c r="U33" s="99">
        <f t="shared" si="11"/>
        <v>87526.048164066699</v>
      </c>
      <c r="V33" s="100">
        <f t="shared" si="36"/>
        <v>391.07054125299601</v>
      </c>
      <c r="W33" s="100">
        <f t="shared" si="37"/>
        <v>464.51358890030866</v>
      </c>
      <c r="X33" s="99">
        <f t="shared" si="38"/>
        <v>391.07054125299601</v>
      </c>
      <c r="Y33" s="55">
        <v>6</v>
      </c>
      <c r="AA33" s="97"/>
      <c r="AB33" s="97"/>
      <c r="AC33" s="97"/>
      <c r="AD33" s="98"/>
    </row>
    <row r="34" spans="2:30" x14ac:dyDescent="0.3">
      <c r="B34" s="78">
        <f t="shared" si="0"/>
        <v>1.4193548387096775E-3</v>
      </c>
      <c r="C34" s="110">
        <v>3096</v>
      </c>
      <c r="D34" s="111">
        <v>0.22</v>
      </c>
      <c r="E34" s="111">
        <v>0.05</v>
      </c>
      <c r="F34" s="110">
        <v>155</v>
      </c>
      <c r="G34" s="112">
        <v>1</v>
      </c>
      <c r="H34" s="113">
        <v>130874.16</v>
      </c>
      <c r="I34" s="99">
        <f t="shared" si="1"/>
        <v>130874.16</v>
      </c>
      <c r="J34" s="100">
        <f t="shared" ref="J34:J37" si="39">IFERROR(((H34*(1+SUM(D34:E34)))/F34),"-")</f>
        <v>1072.3237625806451</v>
      </c>
      <c r="K34" s="100">
        <f t="shared" ref="K34:K38" si="40">IFERROR((J34*(1+F34*0.0431%)),"-")</f>
        <v>1143.9603515398451</v>
      </c>
      <c r="L34" s="99">
        <f t="shared" ref="L34:L38" si="41">IFERROR(J34*G34,"-")</f>
        <v>1072.3237625806451</v>
      </c>
      <c r="M34" s="35">
        <f t="shared" si="5"/>
        <v>1143.9603515398451</v>
      </c>
      <c r="N34" s="120">
        <v>0.25600000000000001</v>
      </c>
      <c r="O34" s="36">
        <f t="shared" si="6"/>
        <v>40523.64564644394</v>
      </c>
      <c r="P34" s="99">
        <f t="shared" si="7"/>
        <v>40523.64564644394</v>
      </c>
      <c r="Q34" s="115">
        <v>0.3</v>
      </c>
      <c r="R34" s="36">
        <f t="shared" si="8"/>
        <v>47488.64724192649</v>
      </c>
      <c r="S34" s="99">
        <f t="shared" si="9"/>
        <v>47488.64724192649</v>
      </c>
      <c r="T34" s="101">
        <f t="shared" si="10"/>
        <v>0.55600000000000005</v>
      </c>
      <c r="U34" s="99">
        <f t="shared" si="11"/>
        <v>83385.512758073513</v>
      </c>
      <c r="V34" s="100">
        <f t="shared" ref="V34:V38" si="42">IFERROR(((($H34*(1+D34+E34))-(O34+R34)-J34)/($F34-1)),"-")</f>
        <v>500.81536720161637</v>
      </c>
      <c r="W34" s="100">
        <f t="shared" ref="W34:W38" si="43">IFERROR((V34*(1+($F34-1)*0.1252%)),"-")</f>
        <v>597.37657652102564</v>
      </c>
      <c r="X34" s="99">
        <f t="shared" ref="X34:X38" si="44">IFERROR(V34*G34,"-")</f>
        <v>500.81536720161637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1.1363636363636363E-3</v>
      </c>
      <c r="C35" s="110">
        <v>3099</v>
      </c>
      <c r="D35" s="111">
        <v>0.25</v>
      </c>
      <c r="E35" s="111">
        <v>0.03</v>
      </c>
      <c r="F35" s="110">
        <v>220</v>
      </c>
      <c r="G35" s="112">
        <v>1</v>
      </c>
      <c r="H35" s="113">
        <v>127600.92</v>
      </c>
      <c r="I35" s="99">
        <f t="shared" si="1"/>
        <v>127600.92</v>
      </c>
      <c r="J35" s="100">
        <f t="shared" si="39"/>
        <v>742.40535272727266</v>
      </c>
      <c r="K35" s="100">
        <f t="shared" si="40"/>
        <v>812.80022827287257</v>
      </c>
      <c r="L35" s="99">
        <f t="shared" si="41"/>
        <v>742.40535272727266</v>
      </c>
      <c r="M35" s="35">
        <f t="shared" si="5"/>
        <v>812.80022827287257</v>
      </c>
      <c r="N35" s="114">
        <v>0.3</v>
      </c>
      <c r="O35" s="36">
        <f t="shared" si="6"/>
        <v>46665.502377957557</v>
      </c>
      <c r="P35" s="99">
        <f t="shared" si="7"/>
        <v>46665.502377957557</v>
      </c>
      <c r="Q35" s="115">
        <v>0.3</v>
      </c>
      <c r="R35" s="36">
        <f t="shared" si="8"/>
        <v>46665.502377957557</v>
      </c>
      <c r="S35" s="99">
        <f t="shared" si="9"/>
        <v>46665.502377957557</v>
      </c>
      <c r="T35" s="101">
        <f t="shared" si="10"/>
        <v>0.6</v>
      </c>
      <c r="U35" s="99">
        <f t="shared" si="11"/>
        <v>80935.417622042442</v>
      </c>
      <c r="V35" s="100">
        <f t="shared" si="42"/>
        <v>316.2363812390758</v>
      </c>
      <c r="W35" s="100">
        <f t="shared" si="43"/>
        <v>402.94460213825556</v>
      </c>
      <c r="X35" s="99">
        <f t="shared" si="44"/>
        <v>316.2363812390758</v>
      </c>
      <c r="Y35" s="55">
        <v>5</v>
      </c>
      <c r="AA35" s="97"/>
      <c r="AB35" s="97"/>
      <c r="AC35" s="97"/>
      <c r="AD35" s="98"/>
    </row>
    <row r="36" spans="2:30" x14ac:dyDescent="0.3">
      <c r="B36" s="78">
        <f t="shared" si="0"/>
        <v>8.7845303867403312E-4</v>
      </c>
      <c r="C36" s="110">
        <v>3102</v>
      </c>
      <c r="D36" s="111">
        <v>0.159</v>
      </c>
      <c r="E36" s="111">
        <v>0.03</v>
      </c>
      <c r="F36" s="110">
        <v>181</v>
      </c>
      <c r="G36" s="112">
        <v>1</v>
      </c>
      <c r="H36" s="113">
        <v>515863.5</v>
      </c>
      <c r="I36" s="99">
        <f t="shared" si="1"/>
        <v>515863.5</v>
      </c>
      <c r="J36" s="100">
        <f t="shared" si="39"/>
        <v>3388.7386823204424</v>
      </c>
      <c r="K36" s="100">
        <f t="shared" si="40"/>
        <v>3653.0975756669427</v>
      </c>
      <c r="L36" s="99">
        <f t="shared" si="41"/>
        <v>3388.7386823204424</v>
      </c>
      <c r="M36" s="35">
        <f t="shared" si="5"/>
        <v>3653.0975756669427</v>
      </c>
      <c r="N36" s="114">
        <v>0.39</v>
      </c>
      <c r="O36" s="36">
        <f t="shared" si="6"/>
        <v>227820.17315358881</v>
      </c>
      <c r="P36" s="99">
        <f t="shared" si="7"/>
        <v>227820.17315358881</v>
      </c>
      <c r="Q36" s="115">
        <v>0.3</v>
      </c>
      <c r="R36" s="36">
        <f t="shared" si="8"/>
        <v>175246.28704122215</v>
      </c>
      <c r="S36" s="99">
        <f t="shared" si="9"/>
        <v>175246.28704122215</v>
      </c>
      <c r="T36" s="101">
        <f t="shared" si="10"/>
        <v>0.69</v>
      </c>
      <c r="U36" s="99">
        <f t="shared" si="11"/>
        <v>340617.21295877785</v>
      </c>
      <c r="V36" s="100">
        <f t="shared" si="42"/>
        <v>1149.4805701270482</v>
      </c>
      <c r="W36" s="100">
        <f t="shared" si="43"/>
        <v>1408.5275114108797</v>
      </c>
      <c r="X36" s="99">
        <f t="shared" si="44"/>
        <v>1149.4805701270482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1.1363636363636363E-3</v>
      </c>
      <c r="C37" s="110">
        <v>3104</v>
      </c>
      <c r="D37" s="111">
        <v>0.25</v>
      </c>
      <c r="E37" s="111">
        <v>0.03</v>
      </c>
      <c r="F37" s="110">
        <v>220</v>
      </c>
      <c r="G37" s="112">
        <v>1</v>
      </c>
      <c r="H37" s="113">
        <v>125168.28</v>
      </c>
      <c r="I37" s="99">
        <f t="shared" si="1"/>
        <v>125168.28</v>
      </c>
      <c r="J37" s="100">
        <f t="shared" si="39"/>
        <v>728.25181090909098</v>
      </c>
      <c r="K37" s="100">
        <f t="shared" si="40"/>
        <v>797.30464761949088</v>
      </c>
      <c r="L37" s="99">
        <f t="shared" si="41"/>
        <v>728.25181090909098</v>
      </c>
      <c r="M37" s="35">
        <f t="shared" si="5"/>
        <v>797.30464761949088</v>
      </c>
      <c r="N37" s="114">
        <v>0.29199999999999998</v>
      </c>
      <c r="O37" s="36">
        <f t="shared" si="6"/>
        <v>44555.161385241277</v>
      </c>
      <c r="P37" s="99">
        <f t="shared" si="7"/>
        <v>44555.161385241277</v>
      </c>
      <c r="Q37" s="115">
        <v>0.3</v>
      </c>
      <c r="R37" s="36">
        <f t="shared" si="8"/>
        <v>45775.850738261594</v>
      </c>
      <c r="S37" s="99">
        <f t="shared" si="9"/>
        <v>45775.850738261594</v>
      </c>
      <c r="T37" s="101">
        <f t="shared" si="10"/>
        <v>0.59199999999999997</v>
      </c>
      <c r="U37" s="99">
        <f t="shared" si="11"/>
        <v>79392.429261738405</v>
      </c>
      <c r="V37" s="100">
        <f t="shared" si="42"/>
        <v>315.78143591592709</v>
      </c>
      <c r="W37" s="100">
        <f t="shared" si="43"/>
        <v>402.36491626684335</v>
      </c>
      <c r="X37" s="99">
        <f t="shared" si="44"/>
        <v>315.78143591592709</v>
      </c>
      <c r="Y37" s="55">
        <v>6</v>
      </c>
      <c r="AA37" s="97"/>
      <c r="AB37" s="97"/>
      <c r="AC37" s="97"/>
      <c r="AD37" s="98"/>
    </row>
    <row r="38" spans="2:30" x14ac:dyDescent="0.3">
      <c r="B38" s="78">
        <f t="shared" ref="B38:B63" si="45">D38/F38</f>
        <v>1.1210762331838565E-3</v>
      </c>
      <c r="C38" s="110">
        <v>3112</v>
      </c>
      <c r="D38" s="111">
        <v>0.25</v>
      </c>
      <c r="E38" s="111">
        <v>0.03</v>
      </c>
      <c r="F38" s="110">
        <v>223</v>
      </c>
      <c r="G38" s="112">
        <v>1</v>
      </c>
      <c r="H38" s="113">
        <v>126228</v>
      </c>
      <c r="I38" s="99">
        <f t="shared" ref="I38:I63" si="46">H38*G38</f>
        <v>126228</v>
      </c>
      <c r="J38" s="100">
        <f t="shared" ref="J38" si="47">IFERROR(((H38*(1+SUM(D38:E38)))/F38),"-")</f>
        <v>724.53739910313902</v>
      </c>
      <c r="K38" s="100">
        <f t="shared" si="40"/>
        <v>794.17486214313897</v>
      </c>
      <c r="L38" s="99">
        <f t="shared" si="41"/>
        <v>724.53739910313902</v>
      </c>
      <c r="M38" s="35">
        <f t="shared" ref="M38:M63" si="48">K38*G38</f>
        <v>794.17486214313897</v>
      </c>
      <c r="N38" s="114">
        <v>0.311</v>
      </c>
      <c r="O38" s="36">
        <f t="shared" ref="O38:O63" si="49">((N38*($H38*(1+D38+E38)))*$Q$1)</f>
        <v>47856.063880659094</v>
      </c>
      <c r="P38" s="99">
        <f t="shared" ref="P38:P63" si="50">O38*G38</f>
        <v>47856.063880659094</v>
      </c>
      <c r="Q38" s="115">
        <v>0.3</v>
      </c>
      <c r="R38" s="36">
        <f t="shared" ref="R38:R63" si="51">((Q38*($H38*(1+D38+E38)))*$Q$1)</f>
        <v>46163.405672661502</v>
      </c>
      <c r="S38" s="99">
        <f t="shared" ref="S38:S63" si="52">R38*G38</f>
        <v>46163.405672661502</v>
      </c>
      <c r="T38" s="101">
        <f t="shared" ref="T38:T63" si="53">(N38+Q38)</f>
        <v>0.61099999999999999</v>
      </c>
      <c r="U38" s="99">
        <f t="shared" ref="U38:U63" si="54">(I38)-S38</f>
        <v>80064.594327338506</v>
      </c>
      <c r="V38" s="100">
        <f t="shared" si="42"/>
        <v>301.02627498908225</v>
      </c>
      <c r="W38" s="100">
        <f t="shared" si="43"/>
        <v>384.69472196464773</v>
      </c>
      <c r="X38" s="99">
        <f t="shared" si="44"/>
        <v>301.02627498908225</v>
      </c>
      <c r="Y38" s="55">
        <v>7</v>
      </c>
      <c r="AA38" s="97"/>
      <c r="AB38" s="97"/>
      <c r="AC38" s="97"/>
      <c r="AD38" s="98"/>
    </row>
    <row r="39" spans="2:30" x14ac:dyDescent="0.3">
      <c r="B39" s="78">
        <f t="shared" si="45"/>
        <v>8.2383419689119168E-4</v>
      </c>
      <c r="C39" s="110">
        <v>3115</v>
      </c>
      <c r="D39" s="111">
        <v>0.159</v>
      </c>
      <c r="E39" s="111">
        <v>0.03</v>
      </c>
      <c r="F39" s="110">
        <v>193</v>
      </c>
      <c r="G39" s="112">
        <v>1</v>
      </c>
      <c r="H39" s="113">
        <v>500000</v>
      </c>
      <c r="I39" s="99">
        <f t="shared" si="46"/>
        <v>500000</v>
      </c>
      <c r="J39" s="100">
        <f t="shared" ref="J39:J61" si="55">IFERROR(((H39*(1+SUM(D39:E39)))/F39),"-")</f>
        <v>3080.3108808290153</v>
      </c>
      <c r="K39" s="100">
        <f t="shared" ref="K39:K61" si="56">IFERROR((J39*(1+F39*0.0431%)),"-")</f>
        <v>3336.5403808290152</v>
      </c>
      <c r="L39" s="99">
        <f t="shared" ref="L39:L61" si="57">IFERROR(J39*G39,"-")</f>
        <v>3080.3108808290153</v>
      </c>
      <c r="M39" s="35">
        <f t="shared" si="48"/>
        <v>3336.5403808290152</v>
      </c>
      <c r="N39" s="114">
        <v>0.4</v>
      </c>
      <c r="O39" s="36">
        <f t="shared" si="49"/>
        <v>226476.30240844993</v>
      </c>
      <c r="P39" s="99">
        <f t="shared" si="50"/>
        <v>226476.30240844993</v>
      </c>
      <c r="Q39" s="115">
        <v>0.3</v>
      </c>
      <c r="R39" s="36">
        <f t="shared" si="51"/>
        <v>169857.22680633745</v>
      </c>
      <c r="S39" s="99">
        <f t="shared" si="52"/>
        <v>169857.22680633745</v>
      </c>
      <c r="T39" s="101">
        <f t="shared" si="53"/>
        <v>0.7</v>
      </c>
      <c r="U39" s="99">
        <f t="shared" si="54"/>
        <v>330142.77319366252</v>
      </c>
      <c r="V39" s="100">
        <f t="shared" ref="V39:V61" si="58">IFERROR(((($H39*(1+D39+E39))-(O39+R39)-J39)/($F39-1)),"-")</f>
        <v>1016.0737495019977</v>
      </c>
      <c r="W39" s="100">
        <f t="shared" ref="W39:W61" si="59">IFERROR((V39*(1+($F39-1)*0.1252%)),"-")</f>
        <v>1260.3216217022857</v>
      </c>
      <c r="X39" s="99">
        <f t="shared" ref="X39:X61" si="60">IFERROR(V39*G39,"-")</f>
        <v>1016.0737495019977</v>
      </c>
      <c r="Y39" s="55">
        <v>6</v>
      </c>
      <c r="AA39" s="97"/>
      <c r="AB39" s="97"/>
      <c r="AC39" s="97"/>
      <c r="AD39" s="98"/>
    </row>
    <row r="40" spans="2:30" x14ac:dyDescent="0.3">
      <c r="B40" s="78">
        <f t="shared" si="45"/>
        <v>1.1160714285714285E-3</v>
      </c>
      <c r="C40" s="110">
        <v>3116</v>
      </c>
      <c r="D40" s="111">
        <v>0.25</v>
      </c>
      <c r="E40" s="111">
        <v>0.03</v>
      </c>
      <c r="F40" s="110">
        <v>224</v>
      </c>
      <c r="G40" s="112">
        <v>1</v>
      </c>
      <c r="H40" s="113">
        <v>83000</v>
      </c>
      <c r="I40" s="99">
        <f t="shared" si="46"/>
        <v>83000</v>
      </c>
      <c r="J40" s="100">
        <f t="shared" si="55"/>
        <v>474.28571428571428</v>
      </c>
      <c r="K40" s="100">
        <f t="shared" si="56"/>
        <v>520.07515428571423</v>
      </c>
      <c r="L40" s="99">
        <f t="shared" si="57"/>
        <v>474.28571428571428</v>
      </c>
      <c r="M40" s="35">
        <f t="shared" si="48"/>
        <v>520.07515428571423</v>
      </c>
      <c r="N40" s="114">
        <v>0.42</v>
      </c>
      <c r="O40" s="36">
        <f t="shared" si="49"/>
        <v>42496.021002972928</v>
      </c>
      <c r="P40" s="99">
        <f t="shared" si="50"/>
        <v>42496.021002972928</v>
      </c>
      <c r="Q40" s="115">
        <v>0.3</v>
      </c>
      <c r="R40" s="36">
        <f t="shared" si="51"/>
        <v>30354.300716409238</v>
      </c>
      <c r="S40" s="99">
        <f t="shared" si="52"/>
        <v>30354.300716409238</v>
      </c>
      <c r="T40" s="101">
        <f t="shared" si="53"/>
        <v>0.72</v>
      </c>
      <c r="U40" s="99">
        <f t="shared" si="54"/>
        <v>52645.699283590759</v>
      </c>
      <c r="V40" s="100">
        <f t="shared" si="58"/>
        <v>147.60265724812609</v>
      </c>
      <c r="W40" s="100">
        <f t="shared" si="59"/>
        <v>188.81272874117391</v>
      </c>
      <c r="X40" s="99">
        <f t="shared" si="60"/>
        <v>147.60265724812609</v>
      </c>
      <c r="Y40" s="55">
        <v>7</v>
      </c>
      <c r="AA40" s="97"/>
      <c r="AB40" s="97"/>
      <c r="AC40" s="97"/>
      <c r="AD40" s="98"/>
    </row>
    <row r="41" spans="2:30" x14ac:dyDescent="0.3">
      <c r="B41" s="78">
        <f t="shared" si="45"/>
        <v>1.1160714285714285E-3</v>
      </c>
      <c r="C41" s="110">
        <v>3117</v>
      </c>
      <c r="D41" s="111">
        <v>0.25</v>
      </c>
      <c r="E41" s="111">
        <v>0.03</v>
      </c>
      <c r="F41" s="110">
        <v>224</v>
      </c>
      <c r="G41" s="112">
        <v>1</v>
      </c>
      <c r="H41" s="113">
        <v>124500.00000000001</v>
      </c>
      <c r="I41" s="99">
        <f t="shared" si="46"/>
        <v>124500.00000000001</v>
      </c>
      <c r="J41" s="100">
        <f t="shared" si="55"/>
        <v>711.42857142857156</v>
      </c>
      <c r="K41" s="100">
        <f t="shared" si="56"/>
        <v>780.11273142857158</v>
      </c>
      <c r="L41" s="99">
        <f t="shared" si="57"/>
        <v>711.42857142857156</v>
      </c>
      <c r="M41" s="35">
        <f t="shared" si="48"/>
        <v>780.11273142857158</v>
      </c>
      <c r="N41" s="114">
        <v>0.38</v>
      </c>
      <c r="O41" s="36">
        <f t="shared" si="49"/>
        <v>57673.171361177563</v>
      </c>
      <c r="P41" s="99">
        <f t="shared" si="50"/>
        <v>57673.171361177563</v>
      </c>
      <c r="Q41" s="115">
        <v>0.3</v>
      </c>
      <c r="R41" s="36">
        <f t="shared" si="51"/>
        <v>45531.451074613862</v>
      </c>
      <c r="S41" s="99">
        <f t="shared" si="52"/>
        <v>45531.451074613862</v>
      </c>
      <c r="T41" s="101">
        <f t="shared" si="53"/>
        <v>0.67999999999999994</v>
      </c>
      <c r="U41" s="99">
        <f t="shared" si="54"/>
        <v>78968.54892538616</v>
      </c>
      <c r="V41" s="100">
        <f t="shared" si="58"/>
        <v>248.62757395865489</v>
      </c>
      <c r="W41" s="100">
        <f t="shared" si="59"/>
        <v>318.04339809761552</v>
      </c>
      <c r="X41" s="99">
        <f t="shared" si="60"/>
        <v>248.62757395865489</v>
      </c>
      <c r="Y41" s="55">
        <v>10</v>
      </c>
      <c r="AA41" s="97"/>
      <c r="AB41" s="97"/>
      <c r="AC41" s="97"/>
      <c r="AD41" s="98"/>
    </row>
    <row r="42" spans="2:30" x14ac:dyDescent="0.3">
      <c r="B42" s="78">
        <f t="shared" si="45"/>
        <v>1.1061946902654867E-3</v>
      </c>
      <c r="C42" s="110">
        <v>3120</v>
      </c>
      <c r="D42" s="111">
        <v>0.25</v>
      </c>
      <c r="E42" s="111">
        <v>0.03</v>
      </c>
      <c r="F42" s="110">
        <v>226</v>
      </c>
      <c r="G42" s="112">
        <v>1</v>
      </c>
      <c r="H42" s="113">
        <v>120000</v>
      </c>
      <c r="I42" s="99">
        <f t="shared" si="46"/>
        <v>120000</v>
      </c>
      <c r="J42" s="100">
        <f t="shared" si="55"/>
        <v>679.64601769911508</v>
      </c>
      <c r="K42" s="100">
        <f t="shared" si="56"/>
        <v>745.84761769911518</v>
      </c>
      <c r="L42" s="99">
        <f t="shared" si="57"/>
        <v>679.64601769911508</v>
      </c>
      <c r="M42" s="35">
        <f t="shared" si="48"/>
        <v>745.84761769911518</v>
      </c>
      <c r="N42" s="114">
        <v>0.28110000000000002</v>
      </c>
      <c r="O42" s="36">
        <f t="shared" si="49"/>
        <v>41120.934609072945</v>
      </c>
      <c r="P42" s="99">
        <f t="shared" si="50"/>
        <v>41120.934609072945</v>
      </c>
      <c r="Q42" s="115">
        <v>0.3</v>
      </c>
      <c r="R42" s="36">
        <f t="shared" si="51"/>
        <v>43885.735975531425</v>
      </c>
      <c r="S42" s="99">
        <f t="shared" si="52"/>
        <v>43885.735975531425</v>
      </c>
      <c r="T42" s="101">
        <f t="shared" si="53"/>
        <v>0.58109999999999995</v>
      </c>
      <c r="U42" s="99">
        <f t="shared" si="54"/>
        <v>76114.264024468575</v>
      </c>
      <c r="V42" s="100">
        <f t="shared" si="58"/>
        <v>301.83859287865118</v>
      </c>
      <c r="W42" s="100">
        <f t="shared" si="59"/>
        <v>386.86652449256724</v>
      </c>
      <c r="X42" s="99">
        <f t="shared" si="60"/>
        <v>301.83859287865118</v>
      </c>
      <c r="Y42" s="55">
        <v>13</v>
      </c>
      <c r="AA42" s="97"/>
      <c r="AB42" s="97"/>
      <c r="AC42" s="97"/>
      <c r="AD42" s="98"/>
    </row>
    <row r="43" spans="2:30" x14ac:dyDescent="0.3">
      <c r="B43" s="78">
        <f t="shared" si="45"/>
        <v>1.1111111111111111E-3</v>
      </c>
      <c r="C43" s="110">
        <v>3121</v>
      </c>
      <c r="D43" s="111">
        <v>0.25</v>
      </c>
      <c r="E43" s="111">
        <v>0.03</v>
      </c>
      <c r="F43" s="110">
        <v>225</v>
      </c>
      <c r="G43" s="112">
        <v>1</v>
      </c>
      <c r="H43" s="113">
        <v>124620</v>
      </c>
      <c r="I43" s="99">
        <f t="shared" si="46"/>
        <v>124620</v>
      </c>
      <c r="J43" s="100">
        <f>IFERROR(((H43*(1+SUM(D43:E43)))/F43),"-")</f>
        <v>708.94933333333336</v>
      </c>
      <c r="K43" s="100">
        <f>IFERROR((J43*(1+F43*0.0431%)),"-")</f>
        <v>777.69969493333338</v>
      </c>
      <c r="L43" s="99">
        <f>IFERROR(J43*G43,"-")</f>
        <v>708.94933333333336</v>
      </c>
      <c r="M43" s="35">
        <f t="shared" si="48"/>
        <v>777.69969493333338</v>
      </c>
      <c r="N43" s="114">
        <v>0.26300000000000001</v>
      </c>
      <c r="O43" s="36">
        <f t="shared" si="49"/>
        <v>39954.378603950034</v>
      </c>
      <c r="P43" s="99">
        <f t="shared" si="50"/>
        <v>39954.378603950034</v>
      </c>
      <c r="Q43" s="115">
        <v>0.3</v>
      </c>
      <c r="R43" s="36">
        <f t="shared" si="51"/>
        <v>45575.33681058939</v>
      </c>
      <c r="S43" s="99">
        <f t="shared" si="52"/>
        <v>45575.33681058939</v>
      </c>
      <c r="T43" s="101">
        <f t="shared" si="53"/>
        <v>0.56299999999999994</v>
      </c>
      <c r="U43" s="99">
        <f t="shared" si="54"/>
        <v>79044.66318941061</v>
      </c>
      <c r="V43" s="100">
        <f>IFERROR(((($H43*(1+D43+E43))-(O43+R43)-J43)/($F43-1)),"-")</f>
        <v>327.12024666128235</v>
      </c>
      <c r="W43" s="100">
        <f>IFERROR((V43*(1+($F43-1)*0.1252%)),"-")</f>
        <v>418.86046559694569</v>
      </c>
      <c r="X43" s="99">
        <f>IFERROR(V43*G43,"-")</f>
        <v>327.12024666128235</v>
      </c>
      <c r="Y43" s="55">
        <v>6</v>
      </c>
      <c r="AA43" s="97" t="e">
        <f>#REF!</f>
        <v>#REF!</v>
      </c>
      <c r="AB43" s="97" t="e">
        <f>#REF!</f>
        <v>#REF!</v>
      </c>
      <c r="AC43" s="97">
        <f>AVERAGE(F43:F62)</f>
        <v>217.3</v>
      </c>
      <c r="AD43" s="98" t="e">
        <f>#REF!</f>
        <v>#REF!</v>
      </c>
    </row>
    <row r="44" spans="2:30" x14ac:dyDescent="0.3">
      <c r="B44" s="78">
        <f t="shared" si="45"/>
        <v>1.1061946902654867E-3</v>
      </c>
      <c r="C44" s="110">
        <v>3122</v>
      </c>
      <c r="D44" s="111">
        <v>0.25</v>
      </c>
      <c r="E44" s="111">
        <v>0.03</v>
      </c>
      <c r="F44" s="110">
        <v>226</v>
      </c>
      <c r="G44" s="112">
        <v>1</v>
      </c>
      <c r="H44" s="113">
        <v>80000</v>
      </c>
      <c r="I44" s="99">
        <f t="shared" si="46"/>
        <v>80000</v>
      </c>
      <c r="J44" s="100">
        <f t="shared" ref="J44:J49" si="61">IFERROR(((H44*(1+SUM(D44:E44)))/F44),"-")</f>
        <v>453.09734513274338</v>
      </c>
      <c r="K44" s="100">
        <f t="shared" ref="K44:K55" si="62">IFERROR((J44*(1+F44*0.0431%)),"-")</f>
        <v>497.23174513274341</v>
      </c>
      <c r="L44" s="99">
        <f t="shared" ref="L44:L55" si="63">IFERROR(J44*G44,"-")</f>
        <v>453.09734513274338</v>
      </c>
      <c r="M44" s="35">
        <f t="shared" si="48"/>
        <v>497.23174513274341</v>
      </c>
      <c r="N44" s="114">
        <v>0.28499999999999998</v>
      </c>
      <c r="O44" s="36">
        <f t="shared" si="49"/>
        <v>27794.2994511699</v>
      </c>
      <c r="P44" s="99">
        <f t="shared" si="50"/>
        <v>27794.2994511699</v>
      </c>
      <c r="Q44" s="115">
        <v>0.3</v>
      </c>
      <c r="R44" s="36">
        <f t="shared" si="51"/>
        <v>29257.157317020952</v>
      </c>
      <c r="S44" s="99">
        <f t="shared" si="52"/>
        <v>29257.157317020952</v>
      </c>
      <c r="T44" s="101">
        <f t="shared" si="53"/>
        <v>0.58499999999999996</v>
      </c>
      <c r="U44" s="99">
        <f t="shared" si="54"/>
        <v>50742.842682979048</v>
      </c>
      <c r="V44" s="100">
        <f t="shared" ref="V44:V55" si="64">IFERROR(((($H44*(1+D44+E44))-(O44+R44)-J44)/($F44-1)),"-")</f>
        <v>199.53531505189514</v>
      </c>
      <c r="W44" s="100">
        <f t="shared" ref="W44:W55" si="65">IFERROR((V44*(1+($F44-1)*0.1252%)),"-")</f>
        <v>255.74441330201401</v>
      </c>
      <c r="X44" s="99">
        <f t="shared" ref="X44:X55" si="66">IFERROR(V44*G44,"-")</f>
        <v>199.53531505189514</v>
      </c>
      <c r="Y44" s="55">
        <v>10</v>
      </c>
      <c r="AA44" s="97"/>
      <c r="AB44" s="97"/>
      <c r="AC44" s="97"/>
      <c r="AD44" s="98"/>
    </row>
    <row r="45" spans="2:30" x14ac:dyDescent="0.3">
      <c r="B45" s="78">
        <f t="shared" si="45"/>
        <v>1.0964912280701754E-3</v>
      </c>
      <c r="C45" s="110">
        <v>3125</v>
      </c>
      <c r="D45" s="111">
        <v>0.25</v>
      </c>
      <c r="E45" s="111">
        <v>0.03</v>
      </c>
      <c r="F45" s="110">
        <v>228</v>
      </c>
      <c r="G45" s="112">
        <v>1</v>
      </c>
      <c r="H45" s="113">
        <v>120000</v>
      </c>
      <c r="I45" s="99">
        <f t="shared" si="46"/>
        <v>120000</v>
      </c>
      <c r="J45" s="100">
        <f t="shared" si="61"/>
        <v>673.68421052631584</v>
      </c>
      <c r="K45" s="100">
        <f t="shared" si="62"/>
        <v>739.88581052631582</v>
      </c>
      <c r="L45" s="99">
        <f t="shared" si="63"/>
        <v>673.68421052631584</v>
      </c>
      <c r="M45" s="35">
        <f t="shared" si="48"/>
        <v>739.88581052631582</v>
      </c>
      <c r="N45" s="114">
        <v>0.28999999999999998</v>
      </c>
      <c r="O45" s="36">
        <f t="shared" si="49"/>
        <v>42422.87810968038</v>
      </c>
      <c r="P45" s="99">
        <f t="shared" si="50"/>
        <v>42422.87810968038</v>
      </c>
      <c r="Q45" s="115">
        <v>0.3</v>
      </c>
      <c r="R45" s="36">
        <f t="shared" si="51"/>
        <v>43885.735975531425</v>
      </c>
      <c r="S45" s="99">
        <f t="shared" si="52"/>
        <v>43885.735975531425</v>
      </c>
      <c r="T45" s="101">
        <f t="shared" si="53"/>
        <v>0.59</v>
      </c>
      <c r="U45" s="99">
        <f t="shared" si="54"/>
        <v>76114.264024468575</v>
      </c>
      <c r="V45" s="100">
        <f t="shared" si="64"/>
        <v>293.47005156062505</v>
      </c>
      <c r="W45" s="100">
        <f t="shared" si="65"/>
        <v>376.87541409436091</v>
      </c>
      <c r="X45" s="99">
        <f t="shared" si="66"/>
        <v>293.47005156062505</v>
      </c>
      <c r="Y45" s="55">
        <v>12</v>
      </c>
      <c r="AA45" s="97"/>
      <c r="AB45" s="97"/>
      <c r="AC45" s="97"/>
      <c r="AD45" s="98"/>
    </row>
    <row r="46" spans="2:30" x14ac:dyDescent="0.3">
      <c r="B46" s="78">
        <f t="shared" si="45"/>
        <v>1.0964912280701754E-3</v>
      </c>
      <c r="C46" s="110">
        <v>3126</v>
      </c>
      <c r="D46" s="111">
        <v>0.25</v>
      </c>
      <c r="E46" s="111">
        <v>0.03</v>
      </c>
      <c r="F46" s="110">
        <v>228</v>
      </c>
      <c r="G46" s="112">
        <v>1</v>
      </c>
      <c r="H46" s="113">
        <v>80000</v>
      </c>
      <c r="I46" s="99">
        <f t="shared" si="46"/>
        <v>80000</v>
      </c>
      <c r="J46" s="100">
        <f t="shared" si="61"/>
        <v>449.12280701754383</v>
      </c>
      <c r="K46" s="100">
        <f t="shared" si="62"/>
        <v>493.25720701754386</v>
      </c>
      <c r="L46" s="99">
        <f t="shared" si="63"/>
        <v>449.12280701754383</v>
      </c>
      <c r="M46" s="35">
        <f t="shared" si="48"/>
        <v>493.25720701754386</v>
      </c>
      <c r="N46" s="114">
        <v>0.26300000000000001</v>
      </c>
      <c r="O46" s="36">
        <f t="shared" si="49"/>
        <v>25648.774581255035</v>
      </c>
      <c r="P46" s="99">
        <f t="shared" si="50"/>
        <v>25648.774581255035</v>
      </c>
      <c r="Q46" s="115">
        <v>0.3</v>
      </c>
      <c r="R46" s="36">
        <f t="shared" si="51"/>
        <v>29257.157317020952</v>
      </c>
      <c r="S46" s="99">
        <f t="shared" si="52"/>
        <v>29257.157317020952</v>
      </c>
      <c r="T46" s="101">
        <f t="shared" si="53"/>
        <v>0.56299999999999994</v>
      </c>
      <c r="U46" s="99">
        <f t="shared" si="54"/>
        <v>50742.842682979048</v>
      </c>
      <c r="V46" s="100">
        <f t="shared" si="64"/>
        <v>207.24645504275978</v>
      </c>
      <c r="W46" s="100">
        <f t="shared" si="65"/>
        <v>266.14672655173223</v>
      </c>
      <c r="X46" s="99">
        <f t="shared" si="66"/>
        <v>207.24645504275978</v>
      </c>
      <c r="Y46" s="55">
        <v>9</v>
      </c>
      <c r="AA46" s="97"/>
      <c r="AB46" s="97"/>
      <c r="AC46" s="97"/>
      <c r="AD46" s="98"/>
    </row>
    <row r="47" spans="2:30" x14ac:dyDescent="0.3">
      <c r="B47" s="78">
        <f t="shared" si="45"/>
        <v>1.2234042553191491E-3</v>
      </c>
      <c r="C47" s="110">
        <v>3128</v>
      </c>
      <c r="D47" s="111">
        <v>0.23</v>
      </c>
      <c r="E47" s="111">
        <v>0.03</v>
      </c>
      <c r="F47" s="110">
        <v>188</v>
      </c>
      <c r="G47" s="112">
        <v>1</v>
      </c>
      <c r="H47" s="113">
        <v>200000</v>
      </c>
      <c r="I47" s="99">
        <f t="shared" si="46"/>
        <v>200000</v>
      </c>
      <c r="J47" s="100">
        <f t="shared" si="61"/>
        <v>1340.4255319148936</v>
      </c>
      <c r="K47" s="100">
        <f t="shared" si="62"/>
        <v>1449.0375319148936</v>
      </c>
      <c r="L47" s="99">
        <f t="shared" si="63"/>
        <v>1340.4255319148936</v>
      </c>
      <c r="M47" s="35">
        <f t="shared" si="48"/>
        <v>1449.0375319148936</v>
      </c>
      <c r="N47" s="120">
        <v>0.30099999999999999</v>
      </c>
      <c r="O47" s="36">
        <f t="shared" si="49"/>
        <v>72240.035703472429</v>
      </c>
      <c r="P47" s="99">
        <f t="shared" si="50"/>
        <v>72240.035703472429</v>
      </c>
      <c r="Q47" s="115">
        <v>0.3</v>
      </c>
      <c r="R47" s="36">
        <f t="shared" si="51"/>
        <v>72000.035584856247</v>
      </c>
      <c r="S47" s="99">
        <f t="shared" si="52"/>
        <v>72000.035584856247</v>
      </c>
      <c r="T47" s="101">
        <f t="shared" si="53"/>
        <v>0.60099999999999998</v>
      </c>
      <c r="U47" s="99">
        <f t="shared" si="54"/>
        <v>127999.96441514375</v>
      </c>
      <c r="V47" s="100">
        <f t="shared" si="64"/>
        <v>569.08825229816273</v>
      </c>
      <c r="W47" s="100">
        <f t="shared" si="65"/>
        <v>702.32547027921783</v>
      </c>
      <c r="X47" s="99">
        <f t="shared" si="66"/>
        <v>569.08825229816273</v>
      </c>
      <c r="Y47" s="55">
        <v>5</v>
      </c>
      <c r="AA47" s="97"/>
      <c r="AB47" s="97"/>
      <c r="AC47" s="97"/>
      <c r="AD47" s="98"/>
    </row>
    <row r="48" spans="2:30" x14ac:dyDescent="0.3">
      <c r="B48" s="78">
        <f t="shared" si="45"/>
        <v>1.0964912280701754E-3</v>
      </c>
      <c r="C48" s="110">
        <v>3129</v>
      </c>
      <c r="D48" s="111">
        <v>0.25</v>
      </c>
      <c r="E48" s="111">
        <v>0.03</v>
      </c>
      <c r="F48" s="110">
        <v>228</v>
      </c>
      <c r="G48" s="112">
        <v>1</v>
      </c>
      <c r="H48" s="113">
        <v>120000</v>
      </c>
      <c r="I48" s="99">
        <f t="shared" si="46"/>
        <v>120000</v>
      </c>
      <c r="J48" s="100">
        <f t="shared" si="61"/>
        <v>673.68421052631584</v>
      </c>
      <c r="K48" s="100">
        <f t="shared" si="62"/>
        <v>739.88581052631582</v>
      </c>
      <c r="L48" s="99">
        <f t="shared" si="63"/>
        <v>673.68421052631584</v>
      </c>
      <c r="M48" s="35">
        <f t="shared" si="48"/>
        <v>739.88581052631582</v>
      </c>
      <c r="N48" s="114">
        <v>0.30099999999999999</v>
      </c>
      <c r="O48" s="36">
        <f t="shared" si="49"/>
        <v>44032.021762116528</v>
      </c>
      <c r="P48" s="99">
        <f t="shared" si="50"/>
        <v>44032.021762116528</v>
      </c>
      <c r="Q48" s="115">
        <v>0.3</v>
      </c>
      <c r="R48" s="36">
        <f t="shared" si="51"/>
        <v>43885.735975531425</v>
      </c>
      <c r="S48" s="99">
        <f t="shared" si="52"/>
        <v>43885.735975531425</v>
      </c>
      <c r="T48" s="101">
        <f t="shared" si="53"/>
        <v>0.60099999999999998</v>
      </c>
      <c r="U48" s="99">
        <f t="shared" si="54"/>
        <v>76114.264024468575</v>
      </c>
      <c r="V48" s="100">
        <f t="shared" si="64"/>
        <v>286.38131300363762</v>
      </c>
      <c r="W48" s="100">
        <f t="shared" si="65"/>
        <v>367.77202768452344</v>
      </c>
      <c r="X48" s="99">
        <f t="shared" si="66"/>
        <v>286.38131300363762</v>
      </c>
      <c r="Y48" s="55">
        <v>5</v>
      </c>
      <c r="AA48" s="97"/>
      <c r="AB48" s="97"/>
      <c r="AC48" s="97"/>
      <c r="AD48" s="98"/>
    </row>
    <row r="49" spans="2:30" x14ac:dyDescent="0.3">
      <c r="B49" s="78">
        <f t="shared" si="45"/>
        <v>1.0869565217391304E-3</v>
      </c>
      <c r="C49" s="110">
        <v>3130</v>
      </c>
      <c r="D49" s="111">
        <v>0.25</v>
      </c>
      <c r="E49" s="111">
        <v>0.03</v>
      </c>
      <c r="F49" s="110">
        <v>230</v>
      </c>
      <c r="G49" s="112">
        <v>1</v>
      </c>
      <c r="H49" s="113">
        <v>80000</v>
      </c>
      <c r="I49" s="99">
        <f t="shared" si="46"/>
        <v>80000</v>
      </c>
      <c r="J49" s="100">
        <f t="shared" si="61"/>
        <v>445.21739130434781</v>
      </c>
      <c r="K49" s="100">
        <f t="shared" si="62"/>
        <v>489.35179130434778</v>
      </c>
      <c r="L49" s="99">
        <f t="shared" si="63"/>
        <v>445.21739130434781</v>
      </c>
      <c r="M49" s="35">
        <f t="shared" si="48"/>
        <v>489.35179130434778</v>
      </c>
      <c r="N49" s="114">
        <v>0.4</v>
      </c>
      <c r="O49" s="36">
        <f t="shared" si="49"/>
        <v>39009.543089361265</v>
      </c>
      <c r="P49" s="99">
        <f t="shared" si="50"/>
        <v>39009.543089361265</v>
      </c>
      <c r="Q49" s="115">
        <v>0.3</v>
      </c>
      <c r="R49" s="36">
        <f t="shared" si="51"/>
        <v>29257.157317020952</v>
      </c>
      <c r="S49" s="99">
        <f t="shared" si="52"/>
        <v>29257.157317020952</v>
      </c>
      <c r="T49" s="101">
        <f t="shared" si="53"/>
        <v>0.7</v>
      </c>
      <c r="U49" s="99">
        <f t="shared" si="54"/>
        <v>50742.842682979048</v>
      </c>
      <c r="V49" s="100">
        <f t="shared" si="64"/>
        <v>147.10952926774431</v>
      </c>
      <c r="W49" s="100">
        <f t="shared" si="65"/>
        <v>189.28700818504075</v>
      </c>
      <c r="X49" s="99">
        <f t="shared" si="66"/>
        <v>147.10952926774431</v>
      </c>
      <c r="Y49" s="55">
        <v>5</v>
      </c>
      <c r="AA49" s="97"/>
      <c r="AB49" s="97"/>
      <c r="AC49" s="97"/>
      <c r="AD49" s="98"/>
    </row>
    <row r="50" spans="2:30" x14ac:dyDescent="0.3">
      <c r="B50" s="78">
        <f t="shared" si="45"/>
        <v>1.0869565217391304E-3</v>
      </c>
      <c r="C50" s="110">
        <v>3131</v>
      </c>
      <c r="D50" s="111">
        <v>0.25</v>
      </c>
      <c r="E50" s="111">
        <v>0.03</v>
      </c>
      <c r="F50" s="110">
        <v>230</v>
      </c>
      <c r="G50" s="112">
        <v>1</v>
      </c>
      <c r="H50" s="113">
        <v>120000</v>
      </c>
      <c r="I50" s="99">
        <f t="shared" si="46"/>
        <v>120000</v>
      </c>
      <c r="J50" s="100">
        <f>IFERROR(((H50*(1+SUM(D50:E50)))/F50),"-")</f>
        <v>667.82608695652175</v>
      </c>
      <c r="K50" s="100">
        <f>IFERROR((J50*(1+F50*0.0431%)),"-")</f>
        <v>734.02768695652173</v>
      </c>
      <c r="L50" s="99">
        <f>IFERROR(J50*G50,"-")</f>
        <v>667.82608695652175</v>
      </c>
      <c r="M50" s="35">
        <f t="shared" si="48"/>
        <v>734.02768695652173</v>
      </c>
      <c r="N50" s="114">
        <v>0.32</v>
      </c>
      <c r="O50" s="36">
        <f t="shared" si="49"/>
        <v>46811.451707233522</v>
      </c>
      <c r="P50" s="99">
        <f t="shared" si="50"/>
        <v>46811.451707233522</v>
      </c>
      <c r="Q50" s="115">
        <v>0.3</v>
      </c>
      <c r="R50" s="36">
        <f t="shared" si="51"/>
        <v>43885.735975531425</v>
      </c>
      <c r="S50" s="99">
        <f t="shared" si="52"/>
        <v>43885.735975531425</v>
      </c>
      <c r="T50" s="101">
        <f t="shared" si="53"/>
        <v>0.62</v>
      </c>
      <c r="U50" s="99">
        <f t="shared" si="54"/>
        <v>76114.264024468575</v>
      </c>
      <c r="V50" s="100">
        <f>IFERROR(((($H50*(1+D50+E50))-(O50+R50)-J50)/($F50-1)),"-")</f>
        <v>271.76849882217698</v>
      </c>
      <c r="W50" s="100">
        <f>IFERROR((V50*(1+($F50-1)*0.1252%)),"-")</f>
        <v>349.68670158248568</v>
      </c>
      <c r="X50" s="99">
        <f>IFERROR(V50*G50,"-")</f>
        <v>271.76849882217698</v>
      </c>
      <c r="Y50" s="55">
        <v>10</v>
      </c>
      <c r="AA50" s="97" t="e">
        <f>#REF!</f>
        <v>#REF!</v>
      </c>
      <c r="AB50" s="97">
        <f>E58</f>
        <v>0.03</v>
      </c>
      <c r="AC50" s="97">
        <f>AVERAGE(F50:F57)</f>
        <v>216.625</v>
      </c>
      <c r="AD50" s="98">
        <f>E65</f>
        <v>0</v>
      </c>
    </row>
    <row r="51" spans="2:30" x14ac:dyDescent="0.3">
      <c r="B51" s="78">
        <f t="shared" si="45"/>
        <v>1.2105263157894737E-3</v>
      </c>
      <c r="C51" s="110">
        <v>3132</v>
      </c>
      <c r="D51" s="111">
        <v>0.23</v>
      </c>
      <c r="E51" s="111">
        <v>0.03</v>
      </c>
      <c r="F51" s="110">
        <v>190</v>
      </c>
      <c r="G51" s="112">
        <v>1</v>
      </c>
      <c r="H51" s="113">
        <v>200000</v>
      </c>
      <c r="I51" s="99">
        <f t="shared" si="46"/>
        <v>200000</v>
      </c>
      <c r="J51" s="100">
        <f t="shared" ref="J51:J55" si="67">IFERROR(((H51*(1+SUM(D51:E51)))/F51),"-")</f>
        <v>1326.3157894736842</v>
      </c>
      <c r="K51" s="100">
        <f t="shared" ref="K51:K52" si="68">IFERROR((J51*(1+F51*0.0431%)),"-")</f>
        <v>1434.9277894736842</v>
      </c>
      <c r="L51" s="99">
        <f t="shared" ref="L51:L52" si="69">IFERROR(J51*G51,"-")</f>
        <v>1326.3157894736842</v>
      </c>
      <c r="M51" s="35">
        <f t="shared" si="48"/>
        <v>1434.9277894736842</v>
      </c>
      <c r="N51" s="114">
        <v>0.311</v>
      </c>
      <c r="O51" s="36">
        <f t="shared" si="49"/>
        <v>74640.036889634313</v>
      </c>
      <c r="P51" s="99">
        <f t="shared" si="50"/>
        <v>74640.036889634313</v>
      </c>
      <c r="Q51" s="115">
        <v>0.3</v>
      </c>
      <c r="R51" s="36">
        <f t="shared" si="51"/>
        <v>72000.035584856247</v>
      </c>
      <c r="S51" s="99">
        <f t="shared" si="52"/>
        <v>72000.035584856247</v>
      </c>
      <c r="T51" s="101">
        <f t="shared" si="53"/>
        <v>0.61099999999999999</v>
      </c>
      <c r="U51" s="99">
        <f t="shared" si="54"/>
        <v>127999.96441514375</v>
      </c>
      <c r="V51" s="100">
        <f t="shared" ref="V51:V52" si="70">IFERROR(((($H51*(1+D51+E51))-(O51+R51)-J51)/($F51-1)),"-")</f>
        <v>550.4423901377553</v>
      </c>
      <c r="W51" s="100">
        <f t="shared" ref="W51:W52" si="71">IFERROR((V51*(1+($F51-1)*0.1252%)),"-")</f>
        <v>680.69247203127213</v>
      </c>
      <c r="X51" s="99">
        <f t="shared" ref="X51:X52" si="72">IFERROR(V51*G51,"-")</f>
        <v>550.4423901377553</v>
      </c>
      <c r="Y51" s="55">
        <v>8</v>
      </c>
      <c r="AA51" s="97"/>
      <c r="AB51" s="97"/>
      <c r="AC51" s="97"/>
      <c r="AD51" s="98"/>
    </row>
    <row r="52" spans="2:30" x14ac:dyDescent="0.3">
      <c r="B52" s="78">
        <f t="shared" si="45"/>
        <v>1.2041884816753926E-3</v>
      </c>
      <c r="C52" s="110">
        <v>3133</v>
      </c>
      <c r="D52" s="111">
        <v>0.23</v>
      </c>
      <c r="E52" s="111">
        <v>0.03</v>
      </c>
      <c r="F52" s="110">
        <v>191</v>
      </c>
      <c r="G52" s="112">
        <v>1</v>
      </c>
      <c r="H52" s="113">
        <v>300000</v>
      </c>
      <c r="I52" s="99">
        <f t="shared" si="46"/>
        <v>300000</v>
      </c>
      <c r="J52" s="100">
        <f t="shared" si="67"/>
        <v>1979.0575916230366</v>
      </c>
      <c r="K52" s="100">
        <f t="shared" si="68"/>
        <v>2141.975591623037</v>
      </c>
      <c r="L52" s="99">
        <f t="shared" si="69"/>
        <v>1979.0575916230366</v>
      </c>
      <c r="M52" s="35">
        <f t="shared" si="48"/>
        <v>2141.975591623037</v>
      </c>
      <c r="N52" s="114">
        <v>0.34</v>
      </c>
      <c r="O52" s="36">
        <f t="shared" si="49"/>
        <v>122400.06049425564</v>
      </c>
      <c r="P52" s="99">
        <f t="shared" si="50"/>
        <v>122400.06049425564</v>
      </c>
      <c r="Q52" s="115">
        <v>0.3</v>
      </c>
      <c r="R52" s="36">
        <f t="shared" si="51"/>
        <v>108000.05337728438</v>
      </c>
      <c r="S52" s="99">
        <f t="shared" si="52"/>
        <v>108000.05337728438</v>
      </c>
      <c r="T52" s="101">
        <f t="shared" si="53"/>
        <v>0.64</v>
      </c>
      <c r="U52" s="99">
        <f t="shared" si="54"/>
        <v>191999.94662271562</v>
      </c>
      <c r="V52" s="100">
        <f t="shared" si="70"/>
        <v>766.4254133517735</v>
      </c>
      <c r="W52" s="100">
        <f t="shared" si="71"/>
        <v>948.74269067989349</v>
      </c>
      <c r="X52" s="99">
        <f t="shared" si="72"/>
        <v>766.4254133517735</v>
      </c>
      <c r="Y52" s="55">
        <v>6</v>
      </c>
      <c r="AA52" s="97"/>
      <c r="AB52" s="97"/>
      <c r="AC52" s="97"/>
      <c r="AD52" s="98"/>
    </row>
    <row r="53" spans="2:30" x14ac:dyDescent="0.3">
      <c r="B53" s="78">
        <f t="shared" si="45"/>
        <v>1.0822510822510823E-3</v>
      </c>
      <c r="C53" s="110">
        <v>3134</v>
      </c>
      <c r="D53" s="111">
        <v>0.25</v>
      </c>
      <c r="E53" s="111">
        <v>0.03</v>
      </c>
      <c r="F53" s="110">
        <v>231</v>
      </c>
      <c r="G53" s="112">
        <v>1</v>
      </c>
      <c r="H53" s="113">
        <v>80000</v>
      </c>
      <c r="I53" s="99">
        <f t="shared" si="46"/>
        <v>80000</v>
      </c>
      <c r="J53" s="100">
        <f t="shared" si="67"/>
        <v>443.29004329004329</v>
      </c>
      <c r="K53" s="100">
        <f t="shared" si="62"/>
        <v>487.42444329004331</v>
      </c>
      <c r="L53" s="99">
        <f t="shared" si="63"/>
        <v>443.29004329004329</v>
      </c>
      <c r="M53" s="35">
        <f t="shared" si="48"/>
        <v>487.42444329004331</v>
      </c>
      <c r="N53" s="114">
        <v>0.28220000000000001</v>
      </c>
      <c r="O53" s="36">
        <f t="shared" si="49"/>
        <v>27521.232649544374</v>
      </c>
      <c r="P53" s="99">
        <f t="shared" si="50"/>
        <v>27521.232649544374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0.58220000000000005</v>
      </c>
      <c r="U53" s="99">
        <f t="shared" si="54"/>
        <v>50742.842682979048</v>
      </c>
      <c r="V53" s="100">
        <f t="shared" si="64"/>
        <v>196.42747821802013</v>
      </c>
      <c r="W53" s="100">
        <f t="shared" si="65"/>
        <v>252.9907348456812</v>
      </c>
      <c r="X53" s="99">
        <f t="shared" si="66"/>
        <v>196.42747821802013</v>
      </c>
      <c r="Y53" s="55">
        <v>13</v>
      </c>
      <c r="AA53" s="97"/>
      <c r="AB53" s="97"/>
      <c r="AC53" s="97"/>
      <c r="AD53" s="98"/>
    </row>
    <row r="54" spans="2:30" x14ac:dyDescent="0.3">
      <c r="B54" s="78">
        <f t="shared" si="45"/>
        <v>1.0822510822510823E-3</v>
      </c>
      <c r="C54" s="110">
        <v>3135</v>
      </c>
      <c r="D54" s="111">
        <v>0.25</v>
      </c>
      <c r="E54" s="111">
        <v>0.03</v>
      </c>
      <c r="F54" s="110">
        <v>231</v>
      </c>
      <c r="G54" s="112">
        <v>1</v>
      </c>
      <c r="H54" s="113">
        <v>120000</v>
      </c>
      <c r="I54" s="99">
        <f t="shared" si="46"/>
        <v>120000</v>
      </c>
      <c r="J54" s="100">
        <f t="shared" si="67"/>
        <v>664.93506493506493</v>
      </c>
      <c r="K54" s="100">
        <f t="shared" si="62"/>
        <v>731.13666493506491</v>
      </c>
      <c r="L54" s="99">
        <f t="shared" si="63"/>
        <v>664.93506493506493</v>
      </c>
      <c r="M54" s="35">
        <f t="shared" si="48"/>
        <v>731.13666493506491</v>
      </c>
      <c r="N54" s="114">
        <v>0.28670000000000001</v>
      </c>
      <c r="O54" s="36">
        <f t="shared" si="49"/>
        <v>41940.135013949533</v>
      </c>
      <c r="P54" s="99">
        <f t="shared" si="50"/>
        <v>41940.135013949533</v>
      </c>
      <c r="Q54" s="115">
        <v>0.3</v>
      </c>
      <c r="R54" s="36">
        <f t="shared" si="51"/>
        <v>43885.735975531425</v>
      </c>
      <c r="S54" s="99">
        <f t="shared" si="52"/>
        <v>43885.735975531425</v>
      </c>
      <c r="T54" s="101">
        <f t="shared" si="53"/>
        <v>0.5867</v>
      </c>
      <c r="U54" s="99">
        <f t="shared" si="54"/>
        <v>76114.264024468575</v>
      </c>
      <c r="V54" s="100">
        <f t="shared" si="64"/>
        <v>291.77910411123469</v>
      </c>
      <c r="W54" s="100">
        <f t="shared" si="65"/>
        <v>375.7998149311058</v>
      </c>
      <c r="X54" s="99">
        <f t="shared" si="66"/>
        <v>291.77910411123469</v>
      </c>
      <c r="Y54" s="55">
        <v>9</v>
      </c>
      <c r="AA54" s="97"/>
      <c r="AB54" s="97"/>
      <c r="AC54" s="97"/>
      <c r="AD54" s="98"/>
    </row>
    <row r="55" spans="2:30" x14ac:dyDescent="0.3">
      <c r="B55" s="78">
        <f t="shared" si="45"/>
        <v>1.2041884816753926E-3</v>
      </c>
      <c r="C55" s="110">
        <v>3136</v>
      </c>
      <c r="D55" s="111">
        <v>0.23</v>
      </c>
      <c r="E55" s="111">
        <v>0.03</v>
      </c>
      <c r="F55" s="110">
        <v>191</v>
      </c>
      <c r="G55" s="112">
        <v>1</v>
      </c>
      <c r="H55" s="113">
        <v>200000</v>
      </c>
      <c r="I55" s="99">
        <f t="shared" si="46"/>
        <v>200000</v>
      </c>
      <c r="J55" s="100">
        <f t="shared" si="67"/>
        <v>1319.371727748691</v>
      </c>
      <c r="K55" s="100">
        <f t="shared" si="62"/>
        <v>1427.9837277486911</v>
      </c>
      <c r="L55" s="99">
        <f t="shared" si="63"/>
        <v>1319.371727748691</v>
      </c>
      <c r="M55" s="35">
        <f t="shared" si="48"/>
        <v>1427.9837277486911</v>
      </c>
      <c r="N55" s="114">
        <v>0.35</v>
      </c>
      <c r="O55" s="36">
        <f t="shared" si="49"/>
        <v>84000.041515665624</v>
      </c>
      <c r="P55" s="99">
        <f t="shared" si="50"/>
        <v>84000.041515665624</v>
      </c>
      <c r="Q55" s="115">
        <v>0.3</v>
      </c>
      <c r="R55" s="36">
        <f t="shared" si="51"/>
        <v>72000.035584856247</v>
      </c>
      <c r="S55" s="99">
        <f t="shared" si="52"/>
        <v>72000.035584856247</v>
      </c>
      <c r="T55" s="101">
        <f t="shared" si="53"/>
        <v>0.64999999999999991</v>
      </c>
      <c r="U55" s="99">
        <f t="shared" si="54"/>
        <v>127999.96441514375</v>
      </c>
      <c r="V55" s="100">
        <f t="shared" si="64"/>
        <v>498.3186903775233</v>
      </c>
      <c r="W55" s="100">
        <f t="shared" si="65"/>
        <v>616.85874044452862</v>
      </c>
      <c r="X55" s="99">
        <f t="shared" si="66"/>
        <v>498.3186903775233</v>
      </c>
      <c r="Y55" s="55">
        <v>9</v>
      </c>
      <c r="AA55" s="97"/>
      <c r="AB55" s="97"/>
      <c r="AC55" s="97"/>
      <c r="AD55" s="98"/>
    </row>
    <row r="56" spans="2:30" x14ac:dyDescent="0.3">
      <c r="B56" s="78">
        <f t="shared" si="45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6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E64</f>
        <v>0</v>
      </c>
      <c r="AC56" s="97">
        <f>AVERAGE(F56:F63)</f>
        <v>220.625</v>
      </c>
      <c r="AD56" s="98">
        <f>E71</f>
        <v>0</v>
      </c>
    </row>
    <row r="57" spans="2:30" x14ac:dyDescent="0.3">
      <c r="B57" s="78">
        <f t="shared" si="45"/>
        <v>1.0683760683760685E-3</v>
      </c>
      <c r="C57" s="110">
        <v>3138</v>
      </c>
      <c r="D57" s="111">
        <v>0.25</v>
      </c>
      <c r="E57" s="111">
        <v>0.03</v>
      </c>
      <c r="F57" s="110">
        <v>234</v>
      </c>
      <c r="G57" s="112">
        <v>1</v>
      </c>
      <c r="H57" s="113">
        <v>120000</v>
      </c>
      <c r="I57" s="99">
        <f t="shared" si="46"/>
        <v>120000</v>
      </c>
      <c r="J57" s="100">
        <f t="shared" ref="J57:J60" si="73">IFERROR(((H57*(1+SUM(D57:E57)))/F57),"-")</f>
        <v>656.41025641025647</v>
      </c>
      <c r="K57" s="100">
        <f t="shared" ref="K57:K60" si="74">IFERROR((J57*(1+F57*0.0431%)),"-")</f>
        <v>722.61185641025645</v>
      </c>
      <c r="L57" s="99">
        <f t="shared" ref="L57:L60" si="75">IFERROR(J57*G57,"-")</f>
        <v>656.41025641025647</v>
      </c>
      <c r="M57" s="35">
        <f t="shared" si="48"/>
        <v>722.61185641025645</v>
      </c>
      <c r="N57" s="114">
        <v>0.31</v>
      </c>
      <c r="O57" s="36">
        <f t="shared" si="49"/>
        <v>45348.593841382477</v>
      </c>
      <c r="P57" s="99">
        <f t="shared" si="50"/>
        <v>45348.593841382477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0.61</v>
      </c>
      <c r="U57" s="99">
        <f t="shared" si="54"/>
        <v>76114.264024468575</v>
      </c>
      <c r="V57" s="100">
        <f t="shared" ref="V57:V60" si="76">IFERROR(((($H57*(1+D57+E57))-(O57+R57)-J57)/($F57-1)),"-")</f>
        <v>273.4303001144886</v>
      </c>
      <c r="W57" s="100">
        <f t="shared" ref="W57:W60" si="77">IFERROR((V57*(1+($F57-1)*0.1252%)),"-")</f>
        <v>353.19429354268681</v>
      </c>
      <c r="X57" s="99">
        <f t="shared" ref="X57:X60" si="78">IFERROR(V57*G57,"-")</f>
        <v>273.4303001144886</v>
      </c>
      <c r="Y57" s="55">
        <v>7</v>
      </c>
      <c r="AA57" s="97"/>
      <c r="AB57" s="97"/>
      <c r="AC57" s="97"/>
      <c r="AD57" s="98"/>
    </row>
    <row r="58" spans="2:30" x14ac:dyDescent="0.3">
      <c r="B58" s="78">
        <f t="shared" si="45"/>
        <v>1.1675126903553301E-3</v>
      </c>
      <c r="C58" s="110">
        <v>3140</v>
      </c>
      <c r="D58" s="111">
        <v>0.23</v>
      </c>
      <c r="E58" s="111">
        <v>0.03</v>
      </c>
      <c r="F58" s="110">
        <v>197</v>
      </c>
      <c r="G58" s="112">
        <v>1</v>
      </c>
      <c r="H58" s="113">
        <v>300000</v>
      </c>
      <c r="I58" s="99">
        <f t="shared" si="46"/>
        <v>300000</v>
      </c>
      <c r="J58" s="100">
        <f t="shared" si="73"/>
        <v>1918.7817258883249</v>
      </c>
      <c r="K58" s="100">
        <f t="shared" si="74"/>
        <v>2081.6997258883252</v>
      </c>
      <c r="L58" s="99">
        <f t="shared" si="75"/>
        <v>1918.7817258883249</v>
      </c>
      <c r="M58" s="35">
        <f t="shared" si="48"/>
        <v>2081.6997258883252</v>
      </c>
      <c r="N58" s="114">
        <v>0.32</v>
      </c>
      <c r="O58" s="36">
        <f t="shared" si="49"/>
        <v>115200.05693577</v>
      </c>
      <c r="P58" s="99">
        <f t="shared" si="50"/>
        <v>115200.05693577</v>
      </c>
      <c r="Q58" s="115">
        <v>0.3</v>
      </c>
      <c r="R58" s="36">
        <f t="shared" si="51"/>
        <v>108000.05337728438</v>
      </c>
      <c r="S58" s="99">
        <f t="shared" si="52"/>
        <v>108000.05337728438</v>
      </c>
      <c r="T58" s="101">
        <f t="shared" si="53"/>
        <v>0.62</v>
      </c>
      <c r="U58" s="99">
        <f t="shared" si="54"/>
        <v>191999.94662271562</v>
      </c>
      <c r="V58" s="100">
        <f t="shared" si="76"/>
        <v>780.00565286253732</v>
      </c>
      <c r="W58" s="100">
        <f t="shared" si="77"/>
        <v>971.41280002978112</v>
      </c>
      <c r="X58" s="99">
        <f t="shared" si="78"/>
        <v>780.00565286253732</v>
      </c>
      <c r="Y58" s="55">
        <v>10</v>
      </c>
      <c r="AA58" s="97"/>
      <c r="AB58" s="97"/>
      <c r="AC58" s="97"/>
      <c r="AD58" s="98"/>
    </row>
    <row r="59" spans="2:30" x14ac:dyDescent="0.3">
      <c r="B59" s="78">
        <f t="shared" si="45"/>
        <v>8.1122448979591838E-4</v>
      </c>
      <c r="C59" s="110">
        <v>3141</v>
      </c>
      <c r="D59" s="111">
        <v>0.159</v>
      </c>
      <c r="E59" s="111">
        <v>0.03</v>
      </c>
      <c r="F59" s="110">
        <v>196</v>
      </c>
      <c r="G59" s="112">
        <v>1</v>
      </c>
      <c r="H59" s="113">
        <v>500000</v>
      </c>
      <c r="I59" s="99">
        <f t="shared" si="46"/>
        <v>500000</v>
      </c>
      <c r="J59" s="100">
        <f t="shared" si="73"/>
        <v>3033.1632653061224</v>
      </c>
      <c r="K59" s="100">
        <f t="shared" si="74"/>
        <v>3289.3927653061223</v>
      </c>
      <c r="L59" s="99">
        <f t="shared" si="75"/>
        <v>3033.1632653061224</v>
      </c>
      <c r="M59" s="35">
        <f t="shared" si="48"/>
        <v>3289.3927653061223</v>
      </c>
      <c r="N59" s="114">
        <v>0.38</v>
      </c>
      <c r="O59" s="36">
        <f t="shared" si="49"/>
        <v>215152.48728802745</v>
      </c>
      <c r="P59" s="99">
        <f t="shared" si="50"/>
        <v>215152.48728802745</v>
      </c>
      <c r="Q59" s="115">
        <v>0.3</v>
      </c>
      <c r="R59" s="36">
        <f t="shared" si="51"/>
        <v>169857.22680633745</v>
      </c>
      <c r="S59" s="99">
        <f t="shared" si="52"/>
        <v>169857.22680633745</v>
      </c>
      <c r="T59" s="101">
        <f t="shared" si="53"/>
        <v>0.67999999999999994</v>
      </c>
      <c r="U59" s="99">
        <f t="shared" si="54"/>
        <v>330142.77319366252</v>
      </c>
      <c r="V59" s="100">
        <f t="shared" si="76"/>
        <v>1058.7544750786101</v>
      </c>
      <c r="W59" s="100">
        <f t="shared" si="77"/>
        <v>1317.2387926243021</v>
      </c>
      <c r="X59" s="99">
        <f t="shared" si="78"/>
        <v>1058.7544750786101</v>
      </c>
      <c r="Y59" s="55">
        <v>9</v>
      </c>
      <c r="AA59" s="97"/>
      <c r="AB59" s="97"/>
      <c r="AC59" s="97"/>
      <c r="AD59" s="98"/>
    </row>
    <row r="60" spans="2:30" x14ac:dyDescent="0.3">
      <c r="B60" s="78">
        <f t="shared" si="45"/>
        <v>1.0638297872340426E-3</v>
      </c>
      <c r="C60" s="110">
        <v>3142</v>
      </c>
      <c r="D60" s="111">
        <v>0.25</v>
      </c>
      <c r="E60" s="111">
        <v>0.03</v>
      </c>
      <c r="F60" s="110">
        <v>235</v>
      </c>
      <c r="G60" s="112">
        <v>1</v>
      </c>
      <c r="H60" s="113">
        <v>120000</v>
      </c>
      <c r="I60" s="99">
        <f t="shared" si="46"/>
        <v>120000</v>
      </c>
      <c r="J60" s="100">
        <f t="shared" si="73"/>
        <v>653.61702127659578</v>
      </c>
      <c r="K60" s="100">
        <f t="shared" si="74"/>
        <v>719.81862127659588</v>
      </c>
      <c r="L60" s="99">
        <f t="shared" si="75"/>
        <v>653.61702127659578</v>
      </c>
      <c r="M60" s="35">
        <f t="shared" si="48"/>
        <v>719.81862127659588</v>
      </c>
      <c r="N60" s="114">
        <v>0.25</v>
      </c>
      <c r="O60" s="36">
        <f t="shared" si="49"/>
        <v>36571.446646276192</v>
      </c>
      <c r="P60" s="99">
        <f t="shared" si="50"/>
        <v>36571.446646276192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0.55000000000000004</v>
      </c>
      <c r="U60" s="99">
        <f t="shared" si="54"/>
        <v>76114.264024468575</v>
      </c>
      <c r="V60" s="100">
        <f t="shared" si="76"/>
        <v>309.78290750818712</v>
      </c>
      <c r="W60" s="100">
        <f t="shared" si="77"/>
        <v>400.53938635504574</v>
      </c>
      <c r="X60" s="99">
        <f t="shared" si="78"/>
        <v>309.78290750818712</v>
      </c>
      <c r="Y60" s="55">
        <v>14</v>
      </c>
      <c r="AA60" s="97"/>
      <c r="AB60" s="97"/>
      <c r="AC60" s="97"/>
      <c r="AD60" s="98"/>
    </row>
    <row r="61" spans="2:30" x14ac:dyDescent="0.3">
      <c r="B61" s="78">
        <f t="shared" si="45"/>
        <v>1.0593220338983051E-3</v>
      </c>
      <c r="C61" s="110">
        <v>3143</v>
      </c>
      <c r="D61" s="111">
        <v>0.25</v>
      </c>
      <c r="E61" s="111">
        <v>0.03</v>
      </c>
      <c r="F61" s="110">
        <v>236</v>
      </c>
      <c r="G61" s="112">
        <v>1</v>
      </c>
      <c r="H61" s="113">
        <v>80000</v>
      </c>
      <c r="I61" s="99">
        <f t="shared" si="46"/>
        <v>80000</v>
      </c>
      <c r="J61" s="100">
        <f t="shared" si="55"/>
        <v>433.89830508474574</v>
      </c>
      <c r="K61" s="100">
        <f t="shared" si="56"/>
        <v>478.03270508474571</v>
      </c>
      <c r="L61" s="99">
        <f t="shared" si="57"/>
        <v>433.89830508474574</v>
      </c>
      <c r="M61" s="35">
        <f t="shared" si="48"/>
        <v>478.03270508474571</v>
      </c>
      <c r="N61" s="114">
        <v>0.24</v>
      </c>
      <c r="O61" s="36">
        <f t="shared" si="49"/>
        <v>23405.725853616761</v>
      </c>
      <c r="P61" s="99">
        <f t="shared" si="50"/>
        <v>23405.725853616761</v>
      </c>
      <c r="Q61" s="115">
        <v>0.3</v>
      </c>
      <c r="R61" s="36">
        <f t="shared" si="51"/>
        <v>29257.157317020952</v>
      </c>
      <c r="S61" s="99">
        <f t="shared" si="52"/>
        <v>29257.157317020952</v>
      </c>
      <c r="T61" s="101">
        <f t="shared" si="53"/>
        <v>0.54</v>
      </c>
      <c r="U61" s="99">
        <f t="shared" si="54"/>
        <v>50742.842682979048</v>
      </c>
      <c r="V61" s="100">
        <f t="shared" si="58"/>
        <v>209.80092989054273</v>
      </c>
      <c r="W61" s="100">
        <f t="shared" si="59"/>
        <v>271.52855948293825</v>
      </c>
      <c r="X61" s="99">
        <f t="shared" si="60"/>
        <v>209.80092989054273</v>
      </c>
      <c r="Y61" s="55">
        <v>9</v>
      </c>
      <c r="AA61" s="97"/>
      <c r="AB61" s="97"/>
      <c r="AC61" s="97"/>
      <c r="AD61" s="98"/>
    </row>
    <row r="62" spans="2:30" x14ac:dyDescent="0.3">
      <c r="B62" s="78">
        <f t="shared" si="45"/>
        <v>1.173469387755102E-3</v>
      </c>
      <c r="C62" s="110">
        <v>3144</v>
      </c>
      <c r="D62" s="111">
        <v>0.23</v>
      </c>
      <c r="E62" s="111">
        <v>0.03</v>
      </c>
      <c r="F62" s="110">
        <v>196</v>
      </c>
      <c r="G62" s="112">
        <v>1</v>
      </c>
      <c r="H62" s="113">
        <v>200000</v>
      </c>
      <c r="I62" s="99">
        <f t="shared" si="46"/>
        <v>200000</v>
      </c>
      <c r="J62" s="100">
        <f>IFERROR(((H62*(1+SUM(D62:E62)))/F62),"-")</f>
        <v>1285.7142857142858</v>
      </c>
      <c r="K62" s="100">
        <f>IFERROR((J62*(1+F62*0.0431%)),"-")</f>
        <v>1394.3262857142859</v>
      </c>
      <c r="L62" s="99">
        <f>IFERROR(J62*G62,"-")</f>
        <v>1285.7142857142858</v>
      </c>
      <c r="M62" s="35">
        <f t="shared" si="48"/>
        <v>1394.3262857142859</v>
      </c>
      <c r="N62" s="114">
        <v>0.28000000000000003</v>
      </c>
      <c r="O62" s="36">
        <f t="shared" si="49"/>
        <v>67200.033212532493</v>
      </c>
      <c r="P62" s="99">
        <f t="shared" si="50"/>
        <v>67200.033212532493</v>
      </c>
      <c r="Q62" s="115">
        <v>0.3</v>
      </c>
      <c r="R62" s="36">
        <f t="shared" si="51"/>
        <v>72000.035584856247</v>
      </c>
      <c r="S62" s="99">
        <f t="shared" si="52"/>
        <v>72000.035584856247</v>
      </c>
      <c r="T62" s="101">
        <f t="shared" si="53"/>
        <v>0.58000000000000007</v>
      </c>
      <c r="U62" s="99">
        <f t="shared" si="54"/>
        <v>127999.96441514375</v>
      </c>
      <c r="V62" s="100">
        <f>IFERROR(((($H62*(1+D62+E62))-(O62+R62)-J62)/($F62-1)),"-")</f>
        <v>571.86777906101008</v>
      </c>
      <c r="W62" s="100">
        <f>IFERROR((V62*(1+($F62-1)*0.1252%)),"-")</f>
        <v>711.48357864096511</v>
      </c>
      <c r="X62" s="99">
        <f>IFERROR(V62*G62,"-")</f>
        <v>571.86777906101008</v>
      </c>
      <c r="Y62" s="55">
        <v>5</v>
      </c>
      <c r="AA62" s="97">
        <f>E70</f>
        <v>132540.67040579868</v>
      </c>
      <c r="AB62" s="97">
        <f>E71</f>
        <v>0</v>
      </c>
      <c r="AC62" s="97">
        <f>AVERAGE(F62:F65)</f>
        <v>216</v>
      </c>
      <c r="AD62" s="98">
        <f>E78</f>
        <v>0</v>
      </c>
    </row>
    <row r="63" spans="2:30" x14ac:dyDescent="0.3">
      <c r="B63" s="78">
        <f t="shared" si="45"/>
        <v>1.0593220338983051E-3</v>
      </c>
      <c r="C63" s="110">
        <v>3145</v>
      </c>
      <c r="D63" s="111">
        <v>0.25</v>
      </c>
      <c r="E63" s="111">
        <v>0.03</v>
      </c>
      <c r="F63" s="110">
        <v>236</v>
      </c>
      <c r="G63" s="112">
        <v>1</v>
      </c>
      <c r="H63" s="113">
        <v>120000</v>
      </c>
      <c r="I63" s="99">
        <f t="shared" si="46"/>
        <v>120000</v>
      </c>
      <c r="J63" s="100">
        <f t="shared" ref="J63" si="79">IFERROR(((H63*(1+SUM(D63:E63)))/F63),"-")</f>
        <v>650.84745762711862</v>
      </c>
      <c r="K63" s="100">
        <f t="shared" ref="K63" si="80">IFERROR((J63*(1+F63*0.0431%)),"-")</f>
        <v>717.0490576271186</v>
      </c>
      <c r="L63" s="99">
        <f t="shared" ref="L63" si="81">IFERROR(J63*G63,"-")</f>
        <v>650.84745762711862</v>
      </c>
      <c r="M63" s="35">
        <f t="shared" si="48"/>
        <v>717.0490576271186</v>
      </c>
      <c r="N63" s="114">
        <v>0.21</v>
      </c>
      <c r="O63" s="36">
        <f t="shared" si="49"/>
        <v>30720.015182871997</v>
      </c>
      <c r="P63" s="99">
        <f t="shared" si="50"/>
        <v>30720.015182871997</v>
      </c>
      <c r="Q63" s="115">
        <v>0.3</v>
      </c>
      <c r="R63" s="36">
        <f t="shared" si="51"/>
        <v>43885.735975531425</v>
      </c>
      <c r="S63" s="99">
        <f t="shared" si="52"/>
        <v>43885.735975531425</v>
      </c>
      <c r="T63" s="101">
        <f t="shared" si="53"/>
        <v>0.51</v>
      </c>
      <c r="U63" s="99">
        <f t="shared" si="54"/>
        <v>76114.264024468575</v>
      </c>
      <c r="V63" s="100">
        <f t="shared" ref="V63" si="82">IFERROR(((($H63*(1+D63+E63))-(O63+R63)-J63)/($F63-1)),"-")</f>
        <v>333.37617610199766</v>
      </c>
      <c r="W63" s="100">
        <f t="shared" ref="W63" si="83">IFERROR((V63*(1+($F63-1)*0.1252%)),"-")</f>
        <v>431.46211463472747</v>
      </c>
      <c r="X63" s="99">
        <f t="shared" ref="X63" si="84">IFERROR(V63*G63,"-")</f>
        <v>333.37617610199766</v>
      </c>
      <c r="Y63" s="55">
        <v>10</v>
      </c>
      <c r="AA63" s="97"/>
      <c r="AB63" s="97"/>
      <c r="AC63" s="97"/>
      <c r="AD63" s="98"/>
    </row>
    <row r="64" spans="2:30" x14ac:dyDescent="0.3">
      <c r="B64" s="78"/>
      <c r="C64" s="32"/>
      <c r="D64" s="33"/>
      <c r="E64" s="33"/>
      <c r="F64" s="32"/>
      <c r="G64" s="34"/>
      <c r="H64" s="35"/>
      <c r="I64" s="35"/>
      <c r="J64" s="36"/>
      <c r="K64" s="36"/>
      <c r="L64" s="35"/>
      <c r="M64" s="35"/>
      <c r="N64" s="87"/>
      <c r="O64" s="36"/>
      <c r="P64" s="35"/>
      <c r="Q64" s="37"/>
      <c r="R64" s="36"/>
      <c r="S64" s="35"/>
      <c r="T64" s="87"/>
      <c r="U64" s="35"/>
      <c r="V64" s="36"/>
      <c r="W64" s="36"/>
      <c r="X64" s="35"/>
    </row>
    <row r="65" spans="1:31" s="108" customFormat="1" ht="52.5" customHeight="1" x14ac:dyDescent="0.3">
      <c r="A65" s="105"/>
      <c r="B65" s="106"/>
      <c r="C65" s="39" t="s">
        <v>43</v>
      </c>
      <c r="D65" s="76" t="e">
        <f>SUMPRODUCT(#REF!,#REF!)/SUM(#REF!)</f>
        <v>#REF!</v>
      </c>
      <c r="E65" s="107"/>
      <c r="F65" s="39" t="s">
        <v>22</v>
      </c>
      <c r="G65" s="40">
        <f t="shared" ref="G65:M65" si="85">SUM(G9:G64)</f>
        <v>55</v>
      </c>
      <c r="H65" s="41">
        <f t="shared" si="85"/>
        <v>14493471.879999999</v>
      </c>
      <c r="I65" s="41">
        <f t="shared" si="85"/>
        <v>14493471.879999999</v>
      </c>
      <c r="J65" s="42">
        <f t="shared" si="85"/>
        <v>132540.67040579868</v>
      </c>
      <c r="K65" s="42">
        <f t="shared" si="85"/>
        <v>140406.23169147893</v>
      </c>
      <c r="L65" s="41">
        <f t="shared" si="85"/>
        <v>132540.67040579868</v>
      </c>
      <c r="M65" s="41">
        <f t="shared" si="85"/>
        <v>140406.23169147893</v>
      </c>
      <c r="N65" s="43">
        <f>IFERROR(SUMPRODUCT(H9:H64,N9:N64)/H65,"-")</f>
        <v>0.28239061049815212</v>
      </c>
      <c r="O65" s="42">
        <f>SUM(O9:O64)</f>
        <v>4899763.3227913426</v>
      </c>
      <c r="P65" s="41">
        <f>SUM(P9:P64)</f>
        <v>4899763.3227913426</v>
      </c>
      <c r="Q65" s="43">
        <f>IFERROR(SUMPRODUCT(H9:H64,Q9:Q64)/H65,"-")</f>
        <v>0.3000000000000001</v>
      </c>
      <c r="R65" s="42">
        <f>SUM(R9:R64)</f>
        <v>5214163.190658913</v>
      </c>
      <c r="S65" s="41">
        <f>SUM(S9:S64)</f>
        <v>5214163.190658913</v>
      </c>
      <c r="T65" s="43">
        <f>IFERROR(Q65+N65,"-")</f>
        <v>0.58239061049815222</v>
      </c>
      <c r="U65" s="41">
        <f>SUM(U9:U64)</f>
        <v>9279308.6893410869</v>
      </c>
      <c r="V65" s="42">
        <f>SUM(V9:V64)</f>
        <v>59929.809374137192</v>
      </c>
      <c r="W65" s="42">
        <f>SUM(W9:W64)</f>
        <v>69949.684268932411</v>
      </c>
      <c r="X65" s="41">
        <f>SUM(X9:X64)</f>
        <v>59929.809374137192</v>
      </c>
      <c r="AA65" s="109"/>
      <c r="AB65" s="109"/>
      <c r="AC65" s="109"/>
      <c r="AD65" s="109"/>
      <c r="AE65" s="109"/>
    </row>
    <row r="66" spans="1:31" x14ac:dyDescent="0.3">
      <c r="B66" s="75"/>
      <c r="D66" s="75"/>
      <c r="H66" s="44"/>
      <c r="I66" s="44"/>
      <c r="J66" s="44"/>
      <c r="K66" s="44"/>
      <c r="L66" s="44"/>
      <c r="M66" s="44"/>
      <c r="N66" s="7"/>
      <c r="O66" s="44"/>
      <c r="P66" s="44"/>
      <c r="Q66" s="7"/>
      <c r="R66" s="44"/>
      <c r="S66" s="44"/>
      <c r="U66" s="44"/>
      <c r="V66" s="44"/>
      <c r="W66" s="44"/>
    </row>
    <row r="67" spans="1:31" ht="21.6" thickBot="1" x14ac:dyDescent="0.45">
      <c r="B67" s="31"/>
      <c r="C67" s="45" t="s">
        <v>30</v>
      </c>
      <c r="H67" s="65"/>
      <c r="I67" s="65"/>
      <c r="J67" s="65"/>
      <c r="N67" s="44"/>
    </row>
    <row r="68" spans="1:31" x14ac:dyDescent="0.3">
      <c r="C68" s="17"/>
      <c r="D68" s="17"/>
      <c r="E68" s="17"/>
      <c r="F68" s="17"/>
      <c r="G68" s="20"/>
      <c r="H68" s="20"/>
      <c r="I68" s="20"/>
      <c r="J68" s="20"/>
      <c r="K68" s="46"/>
      <c r="L68" s="20"/>
      <c r="M68" s="20"/>
      <c r="N68" s="21"/>
      <c r="O68" s="22"/>
      <c r="P68" s="22"/>
      <c r="Q68" s="23"/>
      <c r="R68" s="24"/>
      <c r="S68" s="24"/>
      <c r="T68" s="25"/>
      <c r="U68" s="25"/>
      <c r="V68" s="25"/>
      <c r="W68" s="25"/>
      <c r="X68" s="25"/>
      <c r="Z68" s="26"/>
    </row>
    <row r="69" spans="1:31" x14ac:dyDescent="0.3">
      <c r="C69" s="123" t="s">
        <v>31</v>
      </c>
      <c r="D69" s="123"/>
      <c r="E69" s="137">
        <f>I65</f>
        <v>14493471.879999999</v>
      </c>
      <c r="F69" s="137"/>
      <c r="H69" s="13"/>
      <c r="I69" s="89"/>
      <c r="L69" s="49"/>
      <c r="N69" s="44"/>
      <c r="P69" s="44"/>
      <c r="Z69" s="50"/>
    </row>
    <row r="70" spans="1:31" x14ac:dyDescent="0.3">
      <c r="C70" s="130" t="s">
        <v>4</v>
      </c>
      <c r="D70" s="130"/>
      <c r="E70" s="131">
        <f>L65</f>
        <v>132540.67040579868</v>
      </c>
      <c r="F70" s="131"/>
      <c r="G70" s="50"/>
      <c r="H70" s="13"/>
      <c r="L70" s="49"/>
      <c r="N70"/>
      <c r="P70" s="44"/>
    </row>
    <row r="71" spans="1:31" ht="12.75" customHeight="1" x14ac:dyDescent="0.3">
      <c r="H71" s="13"/>
    </row>
    <row r="72" spans="1:31" ht="15.75" customHeight="1" x14ac:dyDescent="0.3">
      <c r="C72" s="123" t="s">
        <v>32</v>
      </c>
      <c r="D72" s="123"/>
      <c r="E72" s="132">
        <f>P65+S65</f>
        <v>10113926.513450256</v>
      </c>
      <c r="F72" s="132"/>
      <c r="H72" s="39" t="s">
        <v>54</v>
      </c>
      <c r="I72" s="64"/>
      <c r="J72" s="64"/>
    </row>
    <row r="73" spans="1:31" ht="15.6" x14ac:dyDescent="0.3">
      <c r="C73" s="121" t="s">
        <v>53</v>
      </c>
      <c r="D73" s="121"/>
      <c r="E73" s="122">
        <f>P65</f>
        <v>4899763.3227913426</v>
      </c>
      <c r="F73" s="122"/>
      <c r="G73" s="53"/>
      <c r="H73" s="40">
        <f>AVERAGE(F9:F63)</f>
        <v>174.14545454545456</v>
      </c>
      <c r="I73" s="64"/>
      <c r="J73" s="64"/>
      <c r="L73" s="54"/>
      <c r="M73" s="54"/>
      <c r="N73" s="54"/>
    </row>
    <row r="74" spans="1:31" x14ac:dyDescent="0.3">
      <c r="C74" s="121" t="s">
        <v>34</v>
      </c>
      <c r="D74" s="121"/>
      <c r="E74" s="122">
        <f>S65</f>
        <v>5214163.190658913</v>
      </c>
      <c r="F74" s="122"/>
      <c r="G74" s="88"/>
      <c r="H74" s="44"/>
      <c r="M74"/>
      <c r="S74"/>
    </row>
    <row r="75" spans="1:31" ht="6.9" customHeight="1" x14ac:dyDescent="0.3">
      <c r="C75" s="51"/>
      <c r="D75" s="51"/>
      <c r="E75" s="51"/>
      <c r="F75" s="51"/>
      <c r="G75" s="51"/>
      <c r="I75" s="1"/>
      <c r="L75"/>
      <c r="M75"/>
    </row>
    <row r="76" spans="1:31" ht="15" customHeight="1" x14ac:dyDescent="0.3">
      <c r="C76" s="123" t="s">
        <v>35</v>
      </c>
      <c r="D76" s="123"/>
      <c r="E76" s="124">
        <f>U65</f>
        <v>9279308.6893410869</v>
      </c>
      <c r="F76" s="125"/>
      <c r="G76" s="51"/>
      <c r="H76" s="65"/>
      <c r="I76" s="13"/>
    </row>
    <row r="77" spans="1:31" x14ac:dyDescent="0.3">
      <c r="C77" s="121" t="s">
        <v>7</v>
      </c>
      <c r="D77" s="121"/>
      <c r="E77" s="122">
        <f>X65</f>
        <v>59929.809374137192</v>
      </c>
      <c r="F77" s="122"/>
      <c r="G77" s="51"/>
      <c r="H77" s="13"/>
      <c r="I77" s="1"/>
    </row>
    <row r="78" spans="1:31" x14ac:dyDescent="0.3">
      <c r="I78" s="55"/>
    </row>
    <row r="79" spans="1:31" hidden="1" x14ac:dyDescent="0.3">
      <c r="A79" s="2"/>
      <c r="C79" s="84" t="s">
        <v>48</v>
      </c>
      <c r="N79" s="44"/>
      <c r="S79" s="57"/>
      <c r="X79" s="57"/>
    </row>
    <row r="80" spans="1:31" hidden="1" x14ac:dyDescent="0.3">
      <c r="A80" s="2"/>
    </row>
    <row r="81" spans="1:4" hidden="1" x14ac:dyDescent="0.3">
      <c r="A81" s="2"/>
    </row>
    <row r="82" spans="1:4" hidden="1" x14ac:dyDescent="0.3">
      <c r="A82" s="2"/>
    </row>
    <row r="83" spans="1:4" hidden="1" x14ac:dyDescent="0.3">
      <c r="A83" s="2"/>
    </row>
    <row r="84" spans="1:4" hidden="1" x14ac:dyDescent="0.3">
      <c r="C84" s="118" t="s">
        <v>55</v>
      </c>
      <c r="D84" s="116">
        <f>E76-E73</f>
        <v>4379545.3665497443</v>
      </c>
    </row>
    <row r="85" spans="1:4" hidden="1" x14ac:dyDescent="0.3">
      <c r="C85" s="118" t="s">
        <v>57</v>
      </c>
      <c r="D85" s="117">
        <f>AVERAGE(D9:D63:E9:E63)*2</f>
        <v>0.26712727272727244</v>
      </c>
    </row>
    <row r="86" spans="1:4" hidden="1" x14ac:dyDescent="0.3">
      <c r="C86" s="118" t="s">
        <v>56</v>
      </c>
      <c r="D86" s="116">
        <f>E69*D85</f>
        <v>3871601.6156538138</v>
      </c>
    </row>
    <row r="87" spans="1:4" x14ac:dyDescent="0.3">
      <c r="C87" s="118" t="s">
        <v>59</v>
      </c>
      <c r="D87" s="119">
        <f>(D86/D84)/H73</f>
        <v>5.0763258269788131E-3</v>
      </c>
    </row>
    <row r="88" spans="1:4" x14ac:dyDescent="0.3">
      <c r="C88" s="118" t="s">
        <v>60</v>
      </c>
      <c r="D88" s="119">
        <f>D87*12</f>
        <v>6.0915909923745758E-2</v>
      </c>
    </row>
    <row r="89" spans="1:4" x14ac:dyDescent="0.3"/>
    <row r="90" spans="1:4" x14ac:dyDescent="0.3"/>
    <row r="91" spans="1:4" x14ac:dyDescent="0.3"/>
    <row r="92" spans="1:4" x14ac:dyDescent="0.3"/>
    <row r="93" spans="1:4" x14ac:dyDescent="0.3"/>
    <row r="94" spans="1:4" x14ac:dyDescent="0.3"/>
    <row r="95" spans="1:4" x14ac:dyDescent="0.3"/>
    <row r="96" spans="1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7:D77"/>
    <mergeCell ref="E77:F77"/>
    <mergeCell ref="C73:D73"/>
    <mergeCell ref="E73:F73"/>
    <mergeCell ref="C74:D74"/>
    <mergeCell ref="E74:F74"/>
    <mergeCell ref="C76:D76"/>
    <mergeCell ref="E76:F76"/>
    <mergeCell ref="C69:D69"/>
    <mergeCell ref="E69:F69"/>
    <mergeCell ref="C70:D70"/>
    <mergeCell ref="E70:F70"/>
    <mergeCell ref="C72:D72"/>
    <mergeCell ref="E72:F72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C3C-BF88-4F00-BC71-1E067D2AD155}">
  <dimension ref="A1:AE317"/>
  <sheetViews>
    <sheetView topLeftCell="A16" workbookViewId="0">
      <selection activeCell="N58" sqref="N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45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45" si="1">H9*G9</f>
        <v>316049.64</v>
      </c>
      <c r="J9" s="100">
        <f t="shared" ref="J9:J10" si="2">IFERROR(((H9*(1+SUM(D9:E9)))/F9),"-")</f>
        <v>4219.7836549450558</v>
      </c>
      <c r="K9" s="100">
        <f t="shared" ref="K9:K13" si="3">IFERROR((J9*(1+F9*0.0431%)),"-")</f>
        <v>4385.2877896756554</v>
      </c>
      <c r="L9" s="99">
        <f t="shared" ref="L9:L13" si="4">IFERROR(J9*G9,"-")</f>
        <v>4219.7836549450558</v>
      </c>
      <c r="M9" s="35">
        <f t="shared" ref="M9:M45" si="5">K9*G9</f>
        <v>4385.2877896756554</v>
      </c>
      <c r="N9" s="114">
        <v>0.15570000000000001</v>
      </c>
      <c r="O9" s="36">
        <f t="shared" ref="O9:O45" si="6">((N9*($H9*(1+D9+E9)))*$Q$1)</f>
        <v>56941.788782389216</v>
      </c>
      <c r="P9" s="99">
        <f t="shared" ref="P9:P45" si="7">O9*G9</f>
        <v>56941.788782389216</v>
      </c>
      <c r="Q9" s="115">
        <v>0.3</v>
      </c>
      <c r="R9" s="36">
        <f t="shared" ref="R9:R45" si="8">((Q9*($H9*(1+D9+E9)))*$Q$1)</f>
        <v>109714.42925315841</v>
      </c>
      <c r="S9" s="99">
        <f t="shared" ref="S9:S45" si="9">R9*G9</f>
        <v>109714.42925315841</v>
      </c>
      <c r="T9" s="101">
        <f t="shared" ref="T9:T45" si="10">(N9+Q9)</f>
        <v>0.45569999999999999</v>
      </c>
      <c r="U9" s="99">
        <f t="shared" ref="U9:U45" si="11">(I9)-S9</f>
        <v>206335.21074684162</v>
      </c>
      <c r="V9" s="100">
        <f t="shared" ref="V9:V13" si="12">IFERROR(((($H9*(1+D9+E9))-(O9+R9)-J9)/($F9-1)),"-")</f>
        <v>2368.0478989945254</v>
      </c>
      <c r="W9" s="100">
        <f t="shared" ref="W9:W13" si="13">IFERROR((V9*(1+($F9-1)*0.1252%)),"-")</f>
        <v>2634.8795362532287</v>
      </c>
      <c r="X9" s="99">
        <f t="shared" ref="X9:X13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48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1.827956989247312E-3</v>
      </c>
      <c r="C13" s="110">
        <v>3041</v>
      </c>
      <c r="D13" s="111">
        <v>0.17</v>
      </c>
      <c r="E13" s="111">
        <v>4.4999999999999998E-2</v>
      </c>
      <c r="F13" s="110">
        <v>93</v>
      </c>
      <c r="G13" s="112">
        <v>1</v>
      </c>
      <c r="H13" s="113">
        <v>315923.46999999997</v>
      </c>
      <c r="I13" s="99">
        <f t="shared" si="1"/>
        <v>315923.46999999997</v>
      </c>
      <c r="J13" s="100">
        <f t="shared" si="15"/>
        <v>4127.3872693548383</v>
      </c>
      <c r="K13" s="100">
        <f t="shared" si="3"/>
        <v>4292.8253332723889</v>
      </c>
      <c r="L13" s="99">
        <f t="shared" si="4"/>
        <v>4127.3872693548383</v>
      </c>
      <c r="M13" s="35">
        <f t="shared" si="5"/>
        <v>4292.8253332723889</v>
      </c>
      <c r="N13" s="114">
        <v>0.28000000000000003</v>
      </c>
      <c r="O13" s="36">
        <f t="shared" si="6"/>
        <v>102359.25486941068</v>
      </c>
      <c r="P13" s="99">
        <f t="shared" si="7"/>
        <v>102359.25486941068</v>
      </c>
      <c r="Q13" s="115">
        <v>0.3</v>
      </c>
      <c r="R13" s="36">
        <f t="shared" si="8"/>
        <v>109670.63021722571</v>
      </c>
      <c r="S13" s="99">
        <f t="shared" si="9"/>
        <v>109670.63021722571</v>
      </c>
      <c r="T13" s="101">
        <f t="shared" si="10"/>
        <v>0.58000000000000007</v>
      </c>
      <c r="U13" s="99">
        <f t="shared" si="11"/>
        <v>206252.83978277427</v>
      </c>
      <c r="V13" s="100">
        <f t="shared" si="12"/>
        <v>1822.7146053696595</v>
      </c>
      <c r="W13" s="100">
        <f t="shared" si="13"/>
        <v>2032.6621644745583</v>
      </c>
      <c r="X13" s="99">
        <f t="shared" si="14"/>
        <v>1822.7146053696595</v>
      </c>
      <c r="Y13" s="55">
        <v>1</v>
      </c>
      <c r="AA13" s="97"/>
      <c r="AB13" s="97"/>
      <c r="AC13" s="97"/>
      <c r="AD13" s="98"/>
    </row>
    <row r="14" spans="1:31" x14ac:dyDescent="0.3">
      <c r="B14" s="78">
        <f t="shared" si="0"/>
        <v>1.8085106382978724E-3</v>
      </c>
      <c r="C14" s="110">
        <v>3043</v>
      </c>
      <c r="D14" s="111">
        <v>0.17</v>
      </c>
      <c r="E14" s="111">
        <v>4.4999999999999998E-2</v>
      </c>
      <c r="F14" s="110">
        <v>94</v>
      </c>
      <c r="G14" s="112">
        <v>1</v>
      </c>
      <c r="H14" s="113">
        <v>305414.84999999998</v>
      </c>
      <c r="I14" s="99">
        <f t="shared" si="1"/>
        <v>305414.84999999998</v>
      </c>
      <c r="J14" s="100">
        <f>IFERROR(((H14*(1+SUM(D14:E14)))/F14),"-")</f>
        <v>3947.6493909574469</v>
      </c>
      <c r="K14" s="100">
        <f>IFERROR((J14*(1+F14*0.0431%)),"-")</f>
        <v>4107.5844583826965</v>
      </c>
      <c r="L14" s="99">
        <f>IFERROR(J14*G14,"-")</f>
        <v>3947.6493909574469</v>
      </c>
      <c r="M14" s="35">
        <f t="shared" si="5"/>
        <v>4107.5844583826965</v>
      </c>
      <c r="N14" s="114">
        <v>0.29599999999999999</v>
      </c>
      <c r="O14" s="36">
        <f t="shared" si="6"/>
        <v>104609.00089559706</v>
      </c>
      <c r="P14" s="99">
        <f t="shared" si="7"/>
        <v>104609.00089559706</v>
      </c>
      <c r="Q14" s="115">
        <v>0.3</v>
      </c>
      <c r="R14" s="36">
        <f t="shared" si="8"/>
        <v>106022.63604283486</v>
      </c>
      <c r="S14" s="99">
        <f t="shared" si="9"/>
        <v>106022.63604283486</v>
      </c>
      <c r="T14" s="101">
        <f t="shared" si="10"/>
        <v>0.59599999999999997</v>
      </c>
      <c r="U14" s="99">
        <f t="shared" si="11"/>
        <v>199392.21395716514</v>
      </c>
      <c r="V14" s="100">
        <f>IFERROR(((($H14*(1+D14+E14))-(O14+R14)-J14)/($F14-1)),"-")</f>
        <v>1682.7930797915114</v>
      </c>
      <c r="W14" s="100">
        <f>IFERROR((V14*(1+($F14-1)*0.1252%)),"-")</f>
        <v>1878.7307748301159</v>
      </c>
      <c r="X14" s="99">
        <f>IFERROR(V14*G14,"-")</f>
        <v>1682.7930797915114</v>
      </c>
      <c r="Y14" s="55">
        <v>2</v>
      </c>
      <c r="AA14" s="97" t="e">
        <f>#REF!</f>
        <v>#REF!</v>
      </c>
      <c r="AB14" s="97" t="e">
        <f>#REF!</f>
        <v>#REF!</v>
      </c>
      <c r="AC14" s="97">
        <f>AVERAGE(F14:F48)</f>
        <v>134.65714285714284</v>
      </c>
      <c r="AD14" s="98">
        <f>E58</f>
        <v>0.03</v>
      </c>
    </row>
    <row r="15" spans="1:31" x14ac:dyDescent="0.3">
      <c r="B15" s="78">
        <f t="shared" si="0"/>
        <v>1.8085106382978724E-3</v>
      </c>
      <c r="C15" s="110">
        <v>3044</v>
      </c>
      <c r="D15" s="111">
        <v>0.17</v>
      </c>
      <c r="E15" s="111">
        <v>4.4999999999999998E-2</v>
      </c>
      <c r="F15" s="110">
        <v>94</v>
      </c>
      <c r="G15" s="112">
        <v>1</v>
      </c>
      <c r="H15" s="113">
        <v>305414.84999999998</v>
      </c>
      <c r="I15" s="99">
        <f t="shared" si="1"/>
        <v>305414.84999999998</v>
      </c>
      <c r="J15" s="100">
        <f t="shared" ref="J15:J20" si="16">IFERROR(((H15*(1+SUM(D15:E15)))/F15),"-")</f>
        <v>3947.6493909574469</v>
      </c>
      <c r="K15" s="100">
        <f t="shared" ref="K15:K20" si="17">IFERROR((J15*(1+F15*0.0431%)),"-")</f>
        <v>4107.5844583826965</v>
      </c>
      <c r="L15" s="99">
        <f t="shared" ref="L15:L20" si="18">IFERROR(J15*G15,"-")</f>
        <v>3947.6493909574469</v>
      </c>
      <c r="M15" s="35">
        <f t="shared" si="5"/>
        <v>4107.5844583826965</v>
      </c>
      <c r="N15" s="114">
        <v>0.26450000000000001</v>
      </c>
      <c r="O15" s="36">
        <f t="shared" si="6"/>
        <v>93476.624111099416</v>
      </c>
      <c r="P15" s="99">
        <f t="shared" si="7"/>
        <v>93476.624111099416</v>
      </c>
      <c r="Q15" s="115">
        <v>0.3</v>
      </c>
      <c r="R15" s="36">
        <f t="shared" si="8"/>
        <v>106022.63604283486</v>
      </c>
      <c r="S15" s="99">
        <f t="shared" si="9"/>
        <v>106022.63604283486</v>
      </c>
      <c r="T15" s="101">
        <f t="shared" si="10"/>
        <v>0.5645</v>
      </c>
      <c r="U15" s="99">
        <f t="shared" si="11"/>
        <v>199392.21395716514</v>
      </c>
      <c r="V15" s="100">
        <f t="shared" ref="V15:V20" si="19">IFERROR(((($H15*(1+D15+E15))-(O15+R15)-J15)/($F15-1)),"-")</f>
        <v>1802.4960559689055</v>
      </c>
      <c r="W15" s="100">
        <f t="shared" ref="W15:W20" si="20">IFERROR((V15*(1+($F15-1)*0.1252%)),"-")</f>
        <v>2012.3714867417009</v>
      </c>
      <c r="X15" s="99">
        <f t="shared" ref="X15:X20" si="21">IFERROR(V15*G15,"-")</f>
        <v>1802.4960559689055</v>
      </c>
      <c r="Y15" s="55">
        <v>3</v>
      </c>
      <c r="AA15" s="97"/>
      <c r="AB15" s="97"/>
      <c r="AC15" s="97"/>
      <c r="AD15" s="98"/>
    </row>
    <row r="16" spans="1:31" x14ac:dyDescent="0.3">
      <c r="B16" s="78">
        <f t="shared" si="0"/>
        <v>1.7894736842105265E-3</v>
      </c>
      <c r="C16" s="110">
        <v>3046</v>
      </c>
      <c r="D16" s="111">
        <v>0.17</v>
      </c>
      <c r="E16" s="111">
        <v>4.4999999999999998E-2</v>
      </c>
      <c r="F16" s="110">
        <v>95</v>
      </c>
      <c r="G16" s="112">
        <v>1</v>
      </c>
      <c r="H16" s="113">
        <v>305506.15999999997</v>
      </c>
      <c r="I16" s="99">
        <f t="shared" si="1"/>
        <v>305506.15999999997</v>
      </c>
      <c r="J16" s="100">
        <f t="shared" si="16"/>
        <v>3907.2629936842109</v>
      </c>
      <c r="K16" s="100">
        <f t="shared" si="17"/>
        <v>4067.245876960611</v>
      </c>
      <c r="L16" s="99">
        <f t="shared" si="18"/>
        <v>3907.2629936842109</v>
      </c>
      <c r="M16" s="35">
        <f t="shared" si="5"/>
        <v>4067.245876960611</v>
      </c>
      <c r="N16" s="120">
        <v>0.28000000000000003</v>
      </c>
      <c r="O16" s="36">
        <f t="shared" si="6"/>
        <v>98984.04476126752</v>
      </c>
      <c r="P16" s="99">
        <f t="shared" si="7"/>
        <v>98984.04476126752</v>
      </c>
      <c r="Q16" s="115">
        <v>0.3</v>
      </c>
      <c r="R16" s="36">
        <f t="shared" si="8"/>
        <v>106054.33367278663</v>
      </c>
      <c r="S16" s="99">
        <f t="shared" si="9"/>
        <v>106054.33367278663</v>
      </c>
      <c r="T16" s="101">
        <f t="shared" si="10"/>
        <v>0.58000000000000007</v>
      </c>
      <c r="U16" s="99">
        <f t="shared" si="11"/>
        <v>199451.82632721335</v>
      </c>
      <c r="V16" s="100">
        <f t="shared" si="19"/>
        <v>1726.0036486410802</v>
      </c>
      <c r="W16" s="100">
        <f t="shared" si="20"/>
        <v>1929.1335660423517</v>
      </c>
      <c r="X16" s="99">
        <f t="shared" si="21"/>
        <v>1726.0036486410802</v>
      </c>
      <c r="Y16" s="55">
        <v>2</v>
      </c>
      <c r="AA16" s="97"/>
      <c r="AB16" s="97"/>
      <c r="AC16" s="97"/>
      <c r="AD16" s="98"/>
    </row>
    <row r="17" spans="2:30" x14ac:dyDescent="0.3">
      <c r="B17" s="78">
        <f t="shared" si="0"/>
        <v>1.7894736842105265E-3</v>
      </c>
      <c r="C17" s="110">
        <v>3047</v>
      </c>
      <c r="D17" s="111">
        <v>0.17</v>
      </c>
      <c r="E17" s="111">
        <v>4.4999999999999998E-2</v>
      </c>
      <c r="F17" s="110">
        <v>95</v>
      </c>
      <c r="G17" s="112">
        <v>1</v>
      </c>
      <c r="H17" s="113">
        <v>305506.15999999997</v>
      </c>
      <c r="I17" s="99">
        <f t="shared" si="1"/>
        <v>305506.15999999997</v>
      </c>
      <c r="J17" s="100">
        <f t="shared" si="16"/>
        <v>3907.2629936842109</v>
      </c>
      <c r="K17" s="100">
        <f t="shared" si="17"/>
        <v>4067.245876960611</v>
      </c>
      <c r="L17" s="99">
        <f t="shared" si="18"/>
        <v>3907.2629936842109</v>
      </c>
      <c r="M17" s="35">
        <f t="shared" si="5"/>
        <v>4067.245876960611</v>
      </c>
      <c r="N17" s="114">
        <v>0.26</v>
      </c>
      <c r="O17" s="36">
        <f t="shared" si="6"/>
        <v>91913.755849748399</v>
      </c>
      <c r="P17" s="99">
        <f t="shared" si="7"/>
        <v>91913.755849748399</v>
      </c>
      <c r="Q17" s="115">
        <v>0.3</v>
      </c>
      <c r="R17" s="36">
        <f t="shared" si="8"/>
        <v>106054.33367278663</v>
      </c>
      <c r="S17" s="99">
        <f t="shared" si="9"/>
        <v>106054.33367278663</v>
      </c>
      <c r="T17" s="101">
        <f t="shared" si="10"/>
        <v>0.56000000000000005</v>
      </c>
      <c r="U17" s="99">
        <f t="shared" si="11"/>
        <v>199451.82632721335</v>
      </c>
      <c r="V17" s="100">
        <f t="shared" si="19"/>
        <v>1801.2194881253261</v>
      </c>
      <c r="W17" s="100">
        <f t="shared" si="20"/>
        <v>2013.2014072438194</v>
      </c>
      <c r="X17" s="99">
        <f t="shared" si="21"/>
        <v>1801.2194881253261</v>
      </c>
      <c r="Y17" s="55">
        <v>4</v>
      </c>
      <c r="AA17" s="97"/>
      <c r="AB17" s="97"/>
      <c r="AC17" s="97"/>
      <c r="AD17" s="98"/>
    </row>
    <row r="18" spans="2:30" x14ac:dyDescent="0.3">
      <c r="B18" s="78">
        <f t="shared" si="0"/>
        <v>1.7708333333333335E-3</v>
      </c>
      <c r="C18" s="110">
        <v>3048</v>
      </c>
      <c r="D18" s="111">
        <v>0.17</v>
      </c>
      <c r="E18" s="111">
        <v>4.4999999999999998E-2</v>
      </c>
      <c r="F18" s="110">
        <v>96</v>
      </c>
      <c r="G18" s="112">
        <v>1</v>
      </c>
      <c r="H18" s="113">
        <v>761333.97</v>
      </c>
      <c r="I18" s="99">
        <f t="shared" si="1"/>
        <v>761333.97</v>
      </c>
      <c r="J18" s="100">
        <f t="shared" si="16"/>
        <v>9635.6330578124998</v>
      </c>
      <c r="K18" s="100">
        <f t="shared" si="17"/>
        <v>10034.31701121255</v>
      </c>
      <c r="L18" s="99">
        <f t="shared" si="18"/>
        <v>9635.6330578124998</v>
      </c>
      <c r="M18" s="35">
        <f t="shared" si="5"/>
        <v>10034.31701121255</v>
      </c>
      <c r="N18" s="120">
        <v>0.17</v>
      </c>
      <c r="O18" s="36">
        <f t="shared" si="6"/>
        <v>149765.34211767607</v>
      </c>
      <c r="P18" s="99">
        <f t="shared" si="7"/>
        <v>149765.34211767607</v>
      </c>
      <c r="Q18" s="115">
        <v>0.3</v>
      </c>
      <c r="R18" s="36">
        <f t="shared" si="8"/>
        <v>264291.78020766366</v>
      </c>
      <c r="S18" s="99">
        <f t="shared" si="9"/>
        <v>264291.78020766366</v>
      </c>
      <c r="T18" s="101">
        <f t="shared" si="10"/>
        <v>0.47</v>
      </c>
      <c r="U18" s="99">
        <f t="shared" si="11"/>
        <v>497042.18979233631</v>
      </c>
      <c r="V18" s="100">
        <f t="shared" si="19"/>
        <v>5277.1370333352379</v>
      </c>
      <c r="W18" s="100">
        <f t="shared" si="20"/>
        <v>5904.799712080131</v>
      </c>
      <c r="X18" s="99">
        <f t="shared" si="21"/>
        <v>5277.1370333352379</v>
      </c>
      <c r="Y18" s="55">
        <v>5</v>
      </c>
      <c r="AA18" s="97"/>
      <c r="AB18" s="97"/>
      <c r="AC18" s="97"/>
      <c r="AD18" s="98"/>
    </row>
    <row r="19" spans="2:30" x14ac:dyDescent="0.3">
      <c r="B19" s="78">
        <f t="shared" si="0"/>
        <v>1.7708333333333335E-3</v>
      </c>
      <c r="C19" s="110">
        <v>3049</v>
      </c>
      <c r="D19" s="111">
        <v>0.17</v>
      </c>
      <c r="E19" s="111">
        <v>4.4999999999999998E-2</v>
      </c>
      <c r="F19" s="110">
        <v>96</v>
      </c>
      <c r="G19" s="112">
        <v>1</v>
      </c>
      <c r="H19" s="113">
        <v>304533.59999999998</v>
      </c>
      <c r="I19" s="99">
        <f t="shared" si="1"/>
        <v>304533.59999999998</v>
      </c>
      <c r="J19" s="100">
        <f t="shared" si="16"/>
        <v>3854.2533750000002</v>
      </c>
      <c r="K19" s="100">
        <f t="shared" si="17"/>
        <v>4013.7269626440007</v>
      </c>
      <c r="L19" s="99">
        <f t="shared" si="18"/>
        <v>3854.2533750000002</v>
      </c>
      <c r="M19" s="35">
        <f t="shared" si="5"/>
        <v>4013.7269626440007</v>
      </c>
      <c r="N19" s="114">
        <v>0.15</v>
      </c>
      <c r="O19" s="36">
        <f t="shared" si="6"/>
        <v>52858.358124390899</v>
      </c>
      <c r="P19" s="99">
        <f t="shared" si="7"/>
        <v>52858.358124390899</v>
      </c>
      <c r="Q19" s="115">
        <v>0.3</v>
      </c>
      <c r="R19" s="36">
        <f t="shared" si="8"/>
        <v>105716.7162487818</v>
      </c>
      <c r="S19" s="99">
        <f t="shared" si="9"/>
        <v>105716.7162487818</v>
      </c>
      <c r="T19" s="101">
        <f t="shared" si="10"/>
        <v>0.44999999999999996</v>
      </c>
      <c r="U19" s="99">
        <f t="shared" si="11"/>
        <v>198816.88375121818</v>
      </c>
      <c r="V19" s="100">
        <f t="shared" si="19"/>
        <v>2185.0420658087073</v>
      </c>
      <c r="W19" s="100">
        <f t="shared" si="20"/>
        <v>2444.9309691159951</v>
      </c>
      <c r="X19" s="99">
        <f t="shared" si="21"/>
        <v>2185.0420658087073</v>
      </c>
      <c r="Y19" s="55">
        <v>3</v>
      </c>
      <c r="AA19" s="97"/>
      <c r="AB19" s="97"/>
      <c r="AC19" s="97"/>
      <c r="AD19" s="98"/>
    </row>
    <row r="20" spans="2:30" x14ac:dyDescent="0.3">
      <c r="B20" s="78">
        <f t="shared" si="0"/>
        <v>2.268041237113402E-3</v>
      </c>
      <c r="C20" s="110">
        <v>3051</v>
      </c>
      <c r="D20" s="111">
        <v>0.22</v>
      </c>
      <c r="E20" s="111">
        <v>0.05</v>
      </c>
      <c r="F20" s="110">
        <v>97</v>
      </c>
      <c r="G20" s="112">
        <v>1</v>
      </c>
      <c r="H20" s="113">
        <v>303986.94</v>
      </c>
      <c r="I20" s="99">
        <f t="shared" si="1"/>
        <v>303986.94</v>
      </c>
      <c r="J20" s="100">
        <f t="shared" si="16"/>
        <v>3980.0351938144327</v>
      </c>
      <c r="K20" s="100">
        <f t="shared" si="17"/>
        <v>4146.4285251622323</v>
      </c>
      <c r="L20" s="99">
        <f t="shared" si="18"/>
        <v>3980.0351938144327</v>
      </c>
      <c r="M20" s="35">
        <f t="shared" si="5"/>
        <v>4146.4285251622323</v>
      </c>
      <c r="N20" s="120">
        <v>0.2059</v>
      </c>
      <c r="O20" s="36">
        <f t="shared" si="6"/>
        <v>75705.234465062458</v>
      </c>
      <c r="P20" s="99">
        <f t="shared" si="7"/>
        <v>75705.234465062458</v>
      </c>
      <c r="Q20" s="115">
        <v>0.3</v>
      </c>
      <c r="R20" s="36">
        <f t="shared" si="8"/>
        <v>110303.88703020271</v>
      </c>
      <c r="S20" s="99">
        <f t="shared" si="9"/>
        <v>110303.88703020271</v>
      </c>
      <c r="T20" s="101">
        <f t="shared" si="10"/>
        <v>0.50590000000000002</v>
      </c>
      <c r="U20" s="99">
        <f t="shared" si="11"/>
        <v>193683.05296979728</v>
      </c>
      <c r="V20" s="100">
        <f t="shared" si="19"/>
        <v>2042.440178238754</v>
      </c>
      <c r="W20" s="100">
        <f t="shared" si="20"/>
        <v>2287.9251481416263</v>
      </c>
      <c r="X20" s="99">
        <f t="shared" si="21"/>
        <v>2042.440178238754</v>
      </c>
      <c r="Y20" s="55">
        <v>8</v>
      </c>
      <c r="AA20" s="97"/>
      <c r="AB20" s="97"/>
      <c r="AC20" s="97"/>
      <c r="AD20" s="98"/>
    </row>
    <row r="21" spans="2:30" x14ac:dyDescent="0.3">
      <c r="B21" s="78">
        <f t="shared" si="0"/>
        <v>2.2448979591836735E-3</v>
      </c>
      <c r="C21" s="110">
        <v>3053</v>
      </c>
      <c r="D21" s="111">
        <v>0.22</v>
      </c>
      <c r="E21" s="111">
        <v>0.05</v>
      </c>
      <c r="F21" s="110">
        <v>98</v>
      </c>
      <c r="G21" s="112">
        <v>1</v>
      </c>
      <c r="H21" s="113">
        <v>304930.76</v>
      </c>
      <c r="I21" s="99">
        <f t="shared" si="1"/>
        <v>304930.76</v>
      </c>
      <c r="J21" s="100">
        <f t="shared" ref="J21:J26" si="22">IFERROR(((H21*(1+SUM(D21:E21)))/F21),"-")</f>
        <v>3951.6537265306124</v>
      </c>
      <c r="K21" s="100">
        <f t="shared" ref="K21:K26" si="23">IFERROR((J21*(1+F21*0.0431%)),"-")</f>
        <v>4118.5636766318121</v>
      </c>
      <c r="L21" s="99">
        <f t="shared" ref="L21:L26" si="24">IFERROR(J21*G21,"-")</f>
        <v>3951.6537265306124</v>
      </c>
      <c r="M21" s="35">
        <f t="shared" si="5"/>
        <v>4118.5636766318121</v>
      </c>
      <c r="N21" s="114">
        <v>0.18</v>
      </c>
      <c r="O21" s="36">
        <f t="shared" si="6"/>
        <v>66387.815416821235</v>
      </c>
      <c r="P21" s="99">
        <f t="shared" si="7"/>
        <v>66387.815416821235</v>
      </c>
      <c r="Q21" s="115">
        <v>0.3</v>
      </c>
      <c r="R21" s="36">
        <f t="shared" si="8"/>
        <v>110646.3590280354</v>
      </c>
      <c r="S21" s="99">
        <f t="shared" si="9"/>
        <v>110646.3590280354</v>
      </c>
      <c r="T21" s="101">
        <f t="shared" si="10"/>
        <v>0.48</v>
      </c>
      <c r="U21" s="99">
        <f t="shared" si="11"/>
        <v>194284.40097196461</v>
      </c>
      <c r="V21" s="100">
        <f t="shared" ref="V21:V26" si="25">IFERROR(((($H21*(1+D21+E21))-(O21+R21)-J21)/($F21-1)),"-")</f>
        <v>2126.5591446248736</v>
      </c>
      <c r="W21" s="100">
        <f t="shared" ref="W21:W26" si="26">IFERROR((V21*(1+($F21-1)*0.1252%)),"-")</f>
        <v>2384.8169933846971</v>
      </c>
      <c r="X21" s="99">
        <f t="shared" ref="X21:X26" si="27">IFERROR(V21*G21,"-")</f>
        <v>2126.5591446248736</v>
      </c>
      <c r="Y21" s="55">
        <v>5</v>
      </c>
      <c r="AA21" s="97"/>
      <c r="AB21" s="97"/>
      <c r="AC21" s="97"/>
      <c r="AD21" s="98"/>
    </row>
    <row r="22" spans="2:30" x14ac:dyDescent="0.3">
      <c r="B22" s="78">
        <f t="shared" si="0"/>
        <v>2.2000000000000001E-3</v>
      </c>
      <c r="C22" s="110">
        <v>3054</v>
      </c>
      <c r="D22" s="111">
        <v>0.22</v>
      </c>
      <c r="E22" s="111">
        <v>0.05</v>
      </c>
      <c r="F22" s="110">
        <v>100</v>
      </c>
      <c r="G22" s="112">
        <v>1</v>
      </c>
      <c r="H22" s="113">
        <v>760535.51</v>
      </c>
      <c r="I22" s="99">
        <f t="shared" si="1"/>
        <v>760535.51</v>
      </c>
      <c r="J22" s="100">
        <f t="shared" si="22"/>
        <v>9658.8009770000008</v>
      </c>
      <c r="K22" s="100">
        <f t="shared" si="23"/>
        <v>10075.0952991087</v>
      </c>
      <c r="L22" s="99">
        <f t="shared" si="24"/>
        <v>9658.8009770000008</v>
      </c>
      <c r="M22" s="35">
        <f t="shared" si="5"/>
        <v>10075.0952991087</v>
      </c>
      <c r="N22" s="114">
        <v>0.23</v>
      </c>
      <c r="O22" s="36">
        <f t="shared" si="6"/>
        <v>211573.8402536246</v>
      </c>
      <c r="P22" s="99">
        <f t="shared" si="7"/>
        <v>211573.8402536246</v>
      </c>
      <c r="Q22" s="115">
        <v>0.3</v>
      </c>
      <c r="R22" s="36">
        <f t="shared" si="8"/>
        <v>275965.87859168428</v>
      </c>
      <c r="S22" s="99">
        <f t="shared" si="9"/>
        <v>275965.87859168428</v>
      </c>
      <c r="T22" s="101">
        <f t="shared" si="10"/>
        <v>0.53</v>
      </c>
      <c r="U22" s="99">
        <f t="shared" si="11"/>
        <v>484569.63140831573</v>
      </c>
      <c r="V22" s="100">
        <f t="shared" si="25"/>
        <v>4734.1573522999106</v>
      </c>
      <c r="W22" s="100">
        <f t="shared" si="26"/>
        <v>5320.9466878027797</v>
      </c>
      <c r="X22" s="99">
        <f t="shared" si="27"/>
        <v>4734.1573522999106</v>
      </c>
      <c r="Y22" s="55">
        <v>8</v>
      </c>
      <c r="AA22" s="97"/>
      <c r="AB22" s="97"/>
      <c r="AC22" s="97"/>
      <c r="AD22" s="98"/>
    </row>
    <row r="23" spans="2:30" x14ac:dyDescent="0.3">
      <c r="B23" s="78">
        <f t="shared" si="0"/>
        <v>2.0754716981132076E-3</v>
      </c>
      <c r="C23" s="110">
        <v>3059</v>
      </c>
      <c r="D23" s="111">
        <v>0.22</v>
      </c>
      <c r="E23" s="111">
        <v>0.05</v>
      </c>
      <c r="F23" s="110">
        <v>106</v>
      </c>
      <c r="G23" s="112">
        <v>1</v>
      </c>
      <c r="H23" s="113">
        <v>366995.52</v>
      </c>
      <c r="I23" s="99">
        <f t="shared" si="1"/>
        <v>366995.52</v>
      </c>
      <c r="J23" s="100">
        <f t="shared" si="22"/>
        <v>4397.0217962264151</v>
      </c>
      <c r="K23" s="100">
        <f t="shared" si="23"/>
        <v>4597.9041340088143</v>
      </c>
      <c r="L23" s="99">
        <f t="shared" si="24"/>
        <v>4397.0217962264151</v>
      </c>
      <c r="M23" s="35">
        <f t="shared" si="5"/>
        <v>4597.9041340088143</v>
      </c>
      <c r="N23" s="120">
        <v>0.28100000000000003</v>
      </c>
      <c r="O23" s="36">
        <f t="shared" si="6"/>
        <v>124733.1009067518</v>
      </c>
      <c r="P23" s="99">
        <f t="shared" si="7"/>
        <v>124733.1009067518</v>
      </c>
      <c r="Q23" s="115">
        <v>0.3</v>
      </c>
      <c r="R23" s="36">
        <f t="shared" si="8"/>
        <v>133167.01164421896</v>
      </c>
      <c r="S23" s="99">
        <f t="shared" si="9"/>
        <v>133167.01164421896</v>
      </c>
      <c r="T23" s="101">
        <f t="shared" si="10"/>
        <v>0.58099999999999996</v>
      </c>
      <c r="U23" s="99">
        <f t="shared" si="11"/>
        <v>233828.50835578106</v>
      </c>
      <c r="V23" s="100">
        <f t="shared" si="25"/>
        <v>1940.8302481219318</v>
      </c>
      <c r="W23" s="100">
        <f t="shared" si="26"/>
        <v>2195.9717925400414</v>
      </c>
      <c r="X23" s="99">
        <f t="shared" si="27"/>
        <v>1940.8302481219318</v>
      </c>
      <c r="Y23" s="55">
        <v>10</v>
      </c>
      <c r="AA23" s="97"/>
      <c r="AB23" s="97"/>
      <c r="AC23" s="97"/>
      <c r="AD23" s="98"/>
    </row>
    <row r="24" spans="2:30" x14ac:dyDescent="0.3">
      <c r="B24" s="78">
        <f t="shared" si="0"/>
        <v>2.0754716981132076E-3</v>
      </c>
      <c r="C24" s="110">
        <v>3060</v>
      </c>
      <c r="D24" s="111">
        <v>0.22</v>
      </c>
      <c r="E24" s="111">
        <v>0.05</v>
      </c>
      <c r="F24" s="110">
        <v>106</v>
      </c>
      <c r="G24" s="112">
        <v>1</v>
      </c>
      <c r="H24" s="113">
        <v>733991.03</v>
      </c>
      <c r="I24" s="99">
        <f t="shared" si="1"/>
        <v>733991.03</v>
      </c>
      <c r="J24" s="100">
        <f t="shared" si="22"/>
        <v>8794.0434726415097</v>
      </c>
      <c r="K24" s="100">
        <f t="shared" si="23"/>
        <v>9195.8081427326088</v>
      </c>
      <c r="L24" s="99">
        <f t="shared" si="24"/>
        <v>8794.0434726415097</v>
      </c>
      <c r="M24" s="35">
        <f t="shared" si="5"/>
        <v>9195.8081427326088</v>
      </c>
      <c r="N24" s="120">
        <v>0.25080000000000002</v>
      </c>
      <c r="O24" s="36">
        <f t="shared" si="6"/>
        <v>222655.24043564696</v>
      </c>
      <c r="P24" s="99">
        <f t="shared" si="7"/>
        <v>222655.24043564696</v>
      </c>
      <c r="Q24" s="115">
        <v>0.3</v>
      </c>
      <c r="R24" s="36">
        <f t="shared" si="8"/>
        <v>266334.01965986477</v>
      </c>
      <c r="S24" s="99">
        <f t="shared" si="9"/>
        <v>266334.01965986477</v>
      </c>
      <c r="T24" s="101">
        <f t="shared" si="10"/>
        <v>0.55079999999999996</v>
      </c>
      <c r="U24" s="99">
        <f t="shared" si="11"/>
        <v>467657.01034013525</v>
      </c>
      <c r="V24" s="100">
        <f t="shared" si="25"/>
        <v>4137.0029003033032</v>
      </c>
      <c r="W24" s="100">
        <f t="shared" si="26"/>
        <v>4680.8533015771764</v>
      </c>
      <c r="X24" s="99">
        <f t="shared" si="27"/>
        <v>4137.0029003033032</v>
      </c>
      <c r="Y24" s="55">
        <v>10</v>
      </c>
      <c r="AA24" s="97"/>
      <c r="AB24" s="97"/>
      <c r="AC24" s="97"/>
      <c r="AD24" s="98"/>
    </row>
    <row r="25" spans="2:30" x14ac:dyDescent="0.3">
      <c r="B25" s="78">
        <f t="shared" si="0"/>
        <v>1.9298245614035089E-3</v>
      </c>
      <c r="C25" s="110">
        <v>3061</v>
      </c>
      <c r="D25" s="111">
        <v>0.22</v>
      </c>
      <c r="E25" s="111">
        <v>0.05</v>
      </c>
      <c r="F25" s="110">
        <v>114</v>
      </c>
      <c r="G25" s="112">
        <v>1</v>
      </c>
      <c r="H25" s="113">
        <v>365097.89</v>
      </c>
      <c r="I25" s="99">
        <f t="shared" si="1"/>
        <v>365097.89</v>
      </c>
      <c r="J25" s="100">
        <f t="shared" si="22"/>
        <v>4067.3185991228074</v>
      </c>
      <c r="K25" s="100">
        <f t="shared" si="23"/>
        <v>4267.1622311721076</v>
      </c>
      <c r="L25" s="99">
        <f t="shared" si="24"/>
        <v>4067.3185991228074</v>
      </c>
      <c r="M25" s="35">
        <f t="shared" si="5"/>
        <v>4267.1622311721076</v>
      </c>
      <c r="N25" s="120">
        <v>0.25</v>
      </c>
      <c r="O25" s="36">
        <f t="shared" si="6"/>
        <v>110398.70225325409</v>
      </c>
      <c r="P25" s="99">
        <f t="shared" si="7"/>
        <v>110398.70225325409</v>
      </c>
      <c r="Q25" s="115">
        <v>0.3</v>
      </c>
      <c r="R25" s="36">
        <f t="shared" si="8"/>
        <v>132478.44270390488</v>
      </c>
      <c r="S25" s="99">
        <f t="shared" si="9"/>
        <v>132478.44270390488</v>
      </c>
      <c r="T25" s="101">
        <f t="shared" si="10"/>
        <v>0.55000000000000004</v>
      </c>
      <c r="U25" s="99">
        <f t="shared" si="11"/>
        <v>232619.44729609514</v>
      </c>
      <c r="V25" s="100">
        <f t="shared" si="25"/>
        <v>1917.9633340152059</v>
      </c>
      <c r="W25" s="100">
        <f t="shared" si="26"/>
        <v>2189.3091146583411</v>
      </c>
      <c r="X25" s="99">
        <f t="shared" si="27"/>
        <v>1917.9633340152059</v>
      </c>
      <c r="Y25" s="55">
        <v>10</v>
      </c>
      <c r="AA25" s="97"/>
      <c r="AB25" s="97"/>
      <c r="AC25" s="97"/>
      <c r="AD25" s="98"/>
    </row>
    <row r="26" spans="2:30" x14ac:dyDescent="0.3">
      <c r="B26" s="78">
        <f t="shared" si="0"/>
        <v>1.9130434782608696E-3</v>
      </c>
      <c r="C26" s="110">
        <v>3062</v>
      </c>
      <c r="D26" s="111">
        <v>0.22</v>
      </c>
      <c r="E26" s="111">
        <v>0.05</v>
      </c>
      <c r="F26" s="110">
        <v>115</v>
      </c>
      <c r="G26" s="112">
        <v>1</v>
      </c>
      <c r="H26" s="113">
        <v>365353.2</v>
      </c>
      <c r="I26" s="99">
        <f t="shared" si="1"/>
        <v>365353.2</v>
      </c>
      <c r="J26" s="100">
        <f t="shared" si="22"/>
        <v>4034.7701217391304</v>
      </c>
      <c r="K26" s="100">
        <f t="shared" si="23"/>
        <v>4234.7535028231305</v>
      </c>
      <c r="L26" s="99">
        <f t="shared" si="24"/>
        <v>4034.7701217391304</v>
      </c>
      <c r="M26" s="35">
        <f t="shared" si="5"/>
        <v>4234.7535028231305</v>
      </c>
      <c r="N26" s="120">
        <v>0.1</v>
      </c>
      <c r="O26" s="36">
        <f t="shared" si="6"/>
        <v>44190.361268944711</v>
      </c>
      <c r="P26" s="99">
        <f t="shared" si="7"/>
        <v>44190.361268944711</v>
      </c>
      <c r="Q26" s="115">
        <v>0.3</v>
      </c>
      <c r="R26" s="36">
        <f t="shared" si="8"/>
        <v>132571.08380683413</v>
      </c>
      <c r="S26" s="99">
        <f t="shared" si="9"/>
        <v>132571.08380683413</v>
      </c>
      <c r="T26" s="101">
        <f t="shared" si="10"/>
        <v>0.4</v>
      </c>
      <c r="U26" s="99">
        <f t="shared" si="11"/>
        <v>232782.11619316589</v>
      </c>
      <c r="V26" s="100">
        <f t="shared" si="25"/>
        <v>2484.2311298463333</v>
      </c>
      <c r="W26" s="100">
        <f t="shared" si="26"/>
        <v>2838.8004705470407</v>
      </c>
      <c r="X26" s="99">
        <f t="shared" si="27"/>
        <v>2484.2311298463333</v>
      </c>
      <c r="Y26" s="55">
        <v>8</v>
      </c>
      <c r="AA26" s="97"/>
      <c r="AB26" s="97"/>
      <c r="AC26" s="97"/>
      <c r="AD26" s="98"/>
    </row>
    <row r="27" spans="2:30" x14ac:dyDescent="0.3">
      <c r="B27" s="78">
        <f t="shared" si="0"/>
        <v>1.8965517241379311E-3</v>
      </c>
      <c r="C27" s="110">
        <v>3063</v>
      </c>
      <c r="D27" s="111">
        <v>0.22</v>
      </c>
      <c r="E27" s="111">
        <v>0.05</v>
      </c>
      <c r="F27" s="110">
        <v>116</v>
      </c>
      <c r="G27" s="112">
        <v>1</v>
      </c>
      <c r="H27" s="113">
        <v>364880.2</v>
      </c>
      <c r="I27" s="99">
        <f t="shared" si="1"/>
        <v>364880.2</v>
      </c>
      <c r="J27" s="100">
        <f>IFERROR(((H27*(1+SUM(D27:E27)))/F27),"-")</f>
        <v>3994.8090862068971</v>
      </c>
      <c r="K27" s="100">
        <f>IFERROR((J27*(1+F27*0.0431%)),"-")</f>
        <v>4194.5335612808967</v>
      </c>
      <c r="L27" s="99">
        <f>IFERROR(J27*G27,"-")</f>
        <v>3994.8090862068971</v>
      </c>
      <c r="M27" s="35">
        <f t="shared" si="5"/>
        <v>4194.5335612808967</v>
      </c>
      <c r="N27" s="120">
        <v>0.28839999999999999</v>
      </c>
      <c r="O27" s="36">
        <f t="shared" si="6"/>
        <v>127280.00680475704</v>
      </c>
      <c r="P27" s="99">
        <f t="shared" si="7"/>
        <v>127280.00680475704</v>
      </c>
      <c r="Q27" s="115">
        <v>0.3</v>
      </c>
      <c r="R27" s="36">
        <f t="shared" si="8"/>
        <v>132399.4522934366</v>
      </c>
      <c r="S27" s="99">
        <f t="shared" si="9"/>
        <v>132399.4522934366</v>
      </c>
      <c r="T27" s="101">
        <f t="shared" si="10"/>
        <v>0.58840000000000003</v>
      </c>
      <c r="U27" s="99">
        <f t="shared" si="11"/>
        <v>232480.74770656342</v>
      </c>
      <c r="V27" s="100">
        <f>IFERROR(((($H27*(1+D27+E27))-(O27+R27)-J27)/($F27-1)),"-")</f>
        <v>1736.7268331791265</v>
      </c>
      <c r="W27" s="100">
        <f>IFERROR((V27*(1+($F27-1)*0.1252%)),"-")</f>
        <v>1986.7807626202571</v>
      </c>
      <c r="X27" s="99">
        <f>IFERROR(V27*G27,"-")</f>
        <v>1736.7268331791265</v>
      </c>
      <c r="Y27" s="55">
        <v>7</v>
      </c>
      <c r="AA27" s="97" t="e">
        <f>#REF!</f>
        <v>#REF!</v>
      </c>
      <c r="AB27" s="97" t="e">
        <f>#REF!</f>
        <v>#REF!</v>
      </c>
      <c r="AC27" s="97">
        <f>AVERAGE(F27:F48)</f>
        <v>154.86363636363637</v>
      </c>
      <c r="AD27" s="98">
        <f>E54</f>
        <v>0.03</v>
      </c>
    </row>
    <row r="28" spans="2:30" x14ac:dyDescent="0.3">
      <c r="B28" s="78">
        <f t="shared" si="0"/>
        <v>1.864406779661017E-3</v>
      </c>
      <c r="C28" s="110">
        <v>3065</v>
      </c>
      <c r="D28" s="111">
        <v>0.22</v>
      </c>
      <c r="E28" s="111">
        <v>0.05</v>
      </c>
      <c r="F28" s="110">
        <v>118</v>
      </c>
      <c r="G28" s="112">
        <v>1</v>
      </c>
      <c r="H28" s="113">
        <v>352988.58</v>
      </c>
      <c r="I28" s="99">
        <f t="shared" si="1"/>
        <v>352988.58</v>
      </c>
      <c r="J28" s="100">
        <f t="shared" ref="J28:J30" si="28">IFERROR(((H28*(1+SUM(D28:E28)))/F28),"-")</f>
        <v>3799.114377966102</v>
      </c>
      <c r="K28" s="100">
        <f t="shared" ref="K28:K30" si="29">IFERROR((J28*(1+F28*0.0431%)),"-")</f>
        <v>3992.3297370007022</v>
      </c>
      <c r="L28" s="99">
        <f t="shared" ref="L28:L30" si="30">IFERROR(J28*G28,"-")</f>
        <v>3799.114377966102</v>
      </c>
      <c r="M28" s="35">
        <f t="shared" si="5"/>
        <v>3992.3297370007022</v>
      </c>
      <c r="N28" s="120">
        <v>0.27629999999999999</v>
      </c>
      <c r="O28" s="36">
        <f t="shared" si="6"/>
        <v>117965.81612230187</v>
      </c>
      <c r="P28" s="99">
        <f t="shared" si="7"/>
        <v>117965.81612230187</v>
      </c>
      <c r="Q28" s="115">
        <v>0.3</v>
      </c>
      <c r="R28" s="36">
        <f t="shared" si="8"/>
        <v>128084.49090369366</v>
      </c>
      <c r="S28" s="99">
        <f t="shared" si="9"/>
        <v>128084.49090369366</v>
      </c>
      <c r="T28" s="101">
        <f t="shared" si="10"/>
        <v>0.57630000000000003</v>
      </c>
      <c r="U28" s="99">
        <f t="shared" si="11"/>
        <v>224904.08909630636</v>
      </c>
      <c r="V28" s="100">
        <f t="shared" ref="V28:V30" si="31">IFERROR(((($H28*(1+D28+E28))-(O28+R28)-J28)/($F28-1)),"-")</f>
        <v>1696.1203008208411</v>
      </c>
      <c r="W28" s="100">
        <f t="shared" ref="W28:W30" si="32">IFERROR((V28*(1+($F28-1)*0.1252%)),"-")</f>
        <v>1944.5747869662812</v>
      </c>
      <c r="X28" s="99">
        <f t="shared" ref="X28:X30" si="33">IFERROR(V28*G28,"-")</f>
        <v>1696.1203008208411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1.71875E-3</v>
      </c>
      <c r="C29" s="110">
        <v>3066</v>
      </c>
      <c r="D29" s="111">
        <v>0.22</v>
      </c>
      <c r="E29" s="111">
        <v>0.05</v>
      </c>
      <c r="F29" s="110">
        <v>128</v>
      </c>
      <c r="G29" s="112">
        <v>1</v>
      </c>
      <c r="H29" s="113">
        <v>350048.61</v>
      </c>
      <c r="I29" s="99">
        <f t="shared" si="1"/>
        <v>350048.61</v>
      </c>
      <c r="J29" s="100">
        <f t="shared" si="28"/>
        <v>3473.1385523437498</v>
      </c>
      <c r="K29" s="100">
        <f t="shared" si="29"/>
        <v>3664.7446599994501</v>
      </c>
      <c r="L29" s="99">
        <f t="shared" si="30"/>
        <v>3473.1385523437498</v>
      </c>
      <c r="M29" s="35">
        <f t="shared" si="5"/>
        <v>3664.7446599994501</v>
      </c>
      <c r="N29" s="120">
        <v>0.26640000000000003</v>
      </c>
      <c r="O29" s="36">
        <f t="shared" si="6"/>
        <v>112791.71872080197</v>
      </c>
      <c r="P29" s="99">
        <f t="shared" si="7"/>
        <v>112791.71872080197</v>
      </c>
      <c r="Q29" s="115">
        <v>0.3</v>
      </c>
      <c r="R29" s="36">
        <f t="shared" si="8"/>
        <v>127017.70126216437</v>
      </c>
      <c r="S29" s="99">
        <f t="shared" si="9"/>
        <v>127017.70126216437</v>
      </c>
      <c r="T29" s="101">
        <f t="shared" si="10"/>
        <v>0.56640000000000001</v>
      </c>
      <c r="U29" s="99">
        <f t="shared" si="11"/>
        <v>223030.90873783562</v>
      </c>
      <c r="V29" s="100">
        <f t="shared" si="31"/>
        <v>1584.8754028715739</v>
      </c>
      <c r="W29" s="100">
        <f t="shared" si="32"/>
        <v>1836.8769314297656</v>
      </c>
      <c r="X29" s="99">
        <f t="shared" si="33"/>
        <v>1584.8754028715739</v>
      </c>
      <c r="Y29" s="55">
        <v>9</v>
      </c>
      <c r="AA29" s="97"/>
      <c r="AB29" s="97"/>
      <c r="AC29" s="97"/>
      <c r="AD29" s="98"/>
    </row>
    <row r="30" spans="2:30" x14ac:dyDescent="0.3">
      <c r="B30" s="78">
        <f t="shared" si="0"/>
        <v>1.6176470588235294E-3</v>
      </c>
      <c r="C30" s="110">
        <v>3069</v>
      </c>
      <c r="D30" s="111">
        <v>0.22</v>
      </c>
      <c r="E30" s="111">
        <v>0.05</v>
      </c>
      <c r="F30" s="110">
        <v>136</v>
      </c>
      <c r="G30" s="112">
        <v>1</v>
      </c>
      <c r="H30" s="113">
        <v>163504.07</v>
      </c>
      <c r="I30" s="99">
        <f t="shared" si="1"/>
        <v>163504.07</v>
      </c>
      <c r="J30" s="100">
        <f t="shared" si="28"/>
        <v>1526.8394772058825</v>
      </c>
      <c r="K30" s="100">
        <f t="shared" si="29"/>
        <v>1616.3367000017824</v>
      </c>
      <c r="L30" s="99">
        <f t="shared" si="30"/>
        <v>1526.8394772058825</v>
      </c>
      <c r="M30" s="35">
        <f t="shared" si="5"/>
        <v>1616.3367000017824</v>
      </c>
      <c r="N30" s="120">
        <v>0.27110000000000001</v>
      </c>
      <c r="O30" s="36">
        <f t="shared" si="6"/>
        <v>53613.322486843688</v>
      </c>
      <c r="P30" s="99">
        <f t="shared" si="7"/>
        <v>53613.322486843688</v>
      </c>
      <c r="Q30" s="115">
        <v>0.3</v>
      </c>
      <c r="R30" s="36">
        <f t="shared" si="8"/>
        <v>59328.649007942106</v>
      </c>
      <c r="S30" s="99">
        <f t="shared" si="9"/>
        <v>59328.649007942106</v>
      </c>
      <c r="T30" s="101">
        <f t="shared" si="10"/>
        <v>0.57109999999999994</v>
      </c>
      <c r="U30" s="99">
        <f t="shared" si="11"/>
        <v>104175.4209920579</v>
      </c>
      <c r="V30" s="100">
        <f t="shared" si="31"/>
        <v>690.2322809482099</v>
      </c>
      <c r="W30" s="100">
        <f t="shared" si="32"/>
        <v>806.89534107407633</v>
      </c>
      <c r="X30" s="99">
        <f t="shared" si="33"/>
        <v>690.2322809482099</v>
      </c>
      <c r="Y30" s="55">
        <v>6</v>
      </c>
      <c r="AA30" s="97"/>
      <c r="AB30" s="97"/>
      <c r="AC30" s="97"/>
      <c r="AD30" s="98"/>
    </row>
    <row r="31" spans="2:30" x14ac:dyDescent="0.3">
      <c r="B31" s="78">
        <f t="shared" si="0"/>
        <v>1.6058394160583941E-3</v>
      </c>
      <c r="C31" s="110">
        <v>3070</v>
      </c>
      <c r="D31" s="111">
        <v>0.22</v>
      </c>
      <c r="E31" s="111">
        <v>0.05</v>
      </c>
      <c r="F31" s="110">
        <v>137</v>
      </c>
      <c r="G31" s="112">
        <v>1</v>
      </c>
      <c r="H31" s="113">
        <v>337998.88</v>
      </c>
      <c r="I31" s="99">
        <f t="shared" si="1"/>
        <v>337998.88</v>
      </c>
      <c r="J31" s="100">
        <f>IFERROR(((H31*(1+SUM(D31:E31)))/F31),"-")</f>
        <v>3133.2742890510949</v>
      </c>
      <c r="K31" s="100">
        <f>IFERROR((J31*(1+F31*0.0431%)),"-")</f>
        <v>3318.284735996695</v>
      </c>
      <c r="L31" s="99">
        <f>IFERROR(J31*G31,"-")</f>
        <v>3133.2742890510949</v>
      </c>
      <c r="M31" s="35">
        <f t="shared" si="5"/>
        <v>3318.284735996695</v>
      </c>
      <c r="N31" s="120">
        <v>0.2</v>
      </c>
      <c r="O31" s="36">
        <f t="shared" si="6"/>
        <v>81763.579000806305</v>
      </c>
      <c r="P31" s="99">
        <f t="shared" si="7"/>
        <v>81763.579000806305</v>
      </c>
      <c r="Q31" s="115">
        <v>0.3</v>
      </c>
      <c r="R31" s="36">
        <f t="shared" si="8"/>
        <v>122645.36850120944</v>
      </c>
      <c r="S31" s="99">
        <f t="shared" si="9"/>
        <v>122645.36850120944</v>
      </c>
      <c r="T31" s="101">
        <f t="shared" si="10"/>
        <v>0.5</v>
      </c>
      <c r="U31" s="99">
        <f t="shared" si="11"/>
        <v>215353.51149879058</v>
      </c>
      <c r="V31" s="100">
        <f>IFERROR(((($H31*(1+D31+E31))-(O31+R31)-J31)/($F31-1)),"-")</f>
        <v>1630.2673221245086</v>
      </c>
      <c r="W31" s="100">
        <f>IFERROR((V31*(1+($F31-1)*0.1252%)),"-")</f>
        <v>1907.856199597293</v>
      </c>
      <c r="X31" s="99">
        <f>IFERROR(V31*G31,"-")</f>
        <v>1630.2673221245086</v>
      </c>
      <c r="Y31" s="55">
        <v>4</v>
      </c>
      <c r="AA31" s="97" t="e">
        <f>#REF!</f>
        <v>#REF!</v>
      </c>
      <c r="AB31" s="97">
        <f>E54</f>
        <v>0.03</v>
      </c>
      <c r="AC31" s="97">
        <f>AVERAGE(F31:F49)</f>
        <v>165</v>
      </c>
      <c r="AD31" s="98" t="e">
        <f>#REF!</f>
        <v>#REF!</v>
      </c>
    </row>
    <row r="32" spans="2:30" x14ac:dyDescent="0.3">
      <c r="B32" s="78">
        <f t="shared" si="0"/>
        <v>1.5942028985507246E-3</v>
      </c>
      <c r="C32" s="110">
        <v>3071</v>
      </c>
      <c r="D32" s="111">
        <v>0.22</v>
      </c>
      <c r="E32" s="111">
        <v>0.05</v>
      </c>
      <c r="F32" s="110">
        <v>138</v>
      </c>
      <c r="G32" s="112">
        <v>1</v>
      </c>
      <c r="H32" s="113">
        <v>806529.79</v>
      </c>
      <c r="I32" s="99">
        <f t="shared" si="1"/>
        <v>806529.79</v>
      </c>
      <c r="J32" s="100">
        <f t="shared" ref="J32:J41" si="34">IFERROR(((H32*(1+SUM(D32:E32)))/F32),"-")</f>
        <v>7422.4118355072469</v>
      </c>
      <c r="K32" s="100">
        <f t="shared" ref="K32:K41" si="35">IFERROR((J32*(1+F32*0.0431%)),"-")</f>
        <v>7863.8820466595462</v>
      </c>
      <c r="L32" s="99">
        <f t="shared" ref="L32:L41" si="36">IFERROR(J32*G32,"-")</f>
        <v>7422.4118355072469</v>
      </c>
      <c r="M32" s="35">
        <f t="shared" si="5"/>
        <v>7863.8820466595462</v>
      </c>
      <c r="N32" s="114">
        <v>0.3</v>
      </c>
      <c r="O32" s="36">
        <f t="shared" si="6"/>
        <v>292655.2398687033</v>
      </c>
      <c r="P32" s="99">
        <f t="shared" si="7"/>
        <v>292655.2398687033</v>
      </c>
      <c r="Q32" s="115">
        <v>0.3</v>
      </c>
      <c r="R32" s="36">
        <f t="shared" si="8"/>
        <v>292655.2398687033</v>
      </c>
      <c r="S32" s="99">
        <f t="shared" si="9"/>
        <v>292655.2398687033</v>
      </c>
      <c r="T32" s="101">
        <f t="shared" si="10"/>
        <v>0.6</v>
      </c>
      <c r="U32" s="99">
        <f t="shared" si="11"/>
        <v>513874.55013129674</v>
      </c>
      <c r="V32" s="100">
        <f t="shared" ref="V32:V41" si="37">IFERROR(((($H32*(1+D32+E32))-(O32+R32)-J32)/($F32-1)),"-")</f>
        <v>3150.0725673509942</v>
      </c>
      <c r="W32" s="100">
        <f t="shared" ref="W32:W41" si="38">IFERROR((V32*(1+($F32-1)*0.1252%)),"-")</f>
        <v>3690.3856143933062</v>
      </c>
      <c r="X32" s="99">
        <f t="shared" ref="X32:X41" si="39">IFERROR(V32*G32,"-")</f>
        <v>3150.0725673509942</v>
      </c>
      <c r="Y32" s="55">
        <v>7</v>
      </c>
      <c r="AA32" s="97"/>
      <c r="AB32" s="97"/>
      <c r="AC32" s="97"/>
      <c r="AD32" s="98"/>
    </row>
    <row r="33" spans="2:30" x14ac:dyDescent="0.3">
      <c r="B33" s="78">
        <f t="shared" si="0"/>
        <v>1.6058394160583941E-3</v>
      </c>
      <c r="C33" s="110">
        <v>3072</v>
      </c>
      <c r="D33" s="111">
        <v>0.22</v>
      </c>
      <c r="E33" s="111">
        <v>0.05</v>
      </c>
      <c r="F33" s="110">
        <v>137</v>
      </c>
      <c r="G33" s="112">
        <v>1</v>
      </c>
      <c r="H33" s="113">
        <v>162239.46</v>
      </c>
      <c r="I33" s="99">
        <f t="shared" si="1"/>
        <v>162239.46</v>
      </c>
      <c r="J33" s="100">
        <f t="shared" si="34"/>
        <v>1503.9716364963501</v>
      </c>
      <c r="K33" s="100">
        <f t="shared" si="35"/>
        <v>1592.7766497165503</v>
      </c>
      <c r="L33" s="99">
        <f t="shared" si="36"/>
        <v>1503.9716364963501</v>
      </c>
      <c r="M33" s="35">
        <f t="shared" si="5"/>
        <v>1592.7766497165503</v>
      </c>
      <c r="N33" s="114">
        <v>0.37</v>
      </c>
      <c r="O33" s="36">
        <f t="shared" si="6"/>
        <v>72606.057078658312</v>
      </c>
      <c r="P33" s="99">
        <f t="shared" si="7"/>
        <v>72606.057078658312</v>
      </c>
      <c r="Q33" s="115">
        <v>0.3</v>
      </c>
      <c r="R33" s="36">
        <f t="shared" si="8"/>
        <v>58869.776009722947</v>
      </c>
      <c r="S33" s="99">
        <f t="shared" si="9"/>
        <v>58869.776009722947</v>
      </c>
      <c r="T33" s="101">
        <f t="shared" si="10"/>
        <v>0.66999999999999993</v>
      </c>
      <c r="U33" s="99">
        <f t="shared" si="11"/>
        <v>103369.68399027704</v>
      </c>
      <c r="V33" s="100">
        <f t="shared" si="37"/>
        <v>537.23756967001736</v>
      </c>
      <c r="W33" s="100">
        <f t="shared" si="38"/>
        <v>628.71408513287054</v>
      </c>
      <c r="X33" s="99">
        <f t="shared" si="39"/>
        <v>537.23756967001736</v>
      </c>
      <c r="Y33" s="55">
        <v>2</v>
      </c>
      <c r="AA33" s="97"/>
      <c r="AB33" s="97"/>
      <c r="AC33" s="97"/>
      <c r="AD33" s="98"/>
    </row>
    <row r="34" spans="2:30" x14ac:dyDescent="0.3">
      <c r="B34" s="78">
        <f t="shared" si="0"/>
        <v>1.5942028985507246E-3</v>
      </c>
      <c r="C34" s="110">
        <v>3073</v>
      </c>
      <c r="D34" s="111">
        <v>0.22</v>
      </c>
      <c r="E34" s="111">
        <v>0.05</v>
      </c>
      <c r="F34" s="110">
        <v>138</v>
      </c>
      <c r="G34" s="112">
        <v>1</v>
      </c>
      <c r="H34" s="113">
        <v>336054.08</v>
      </c>
      <c r="I34" s="99">
        <f t="shared" si="1"/>
        <v>336054.08</v>
      </c>
      <c r="J34" s="100">
        <f t="shared" si="34"/>
        <v>3092.6716057971016</v>
      </c>
      <c r="K34" s="100">
        <f t="shared" si="35"/>
        <v>3276.6175275667015</v>
      </c>
      <c r="L34" s="99">
        <f t="shared" si="36"/>
        <v>3092.6716057971016</v>
      </c>
      <c r="M34" s="35">
        <f t="shared" si="5"/>
        <v>3276.6175275667015</v>
      </c>
      <c r="N34" s="120">
        <v>0.29899999999999999</v>
      </c>
      <c r="O34" s="36">
        <f t="shared" si="6"/>
        <v>121533.21796907079</v>
      </c>
      <c r="P34" s="99">
        <f t="shared" si="7"/>
        <v>121533.21796907079</v>
      </c>
      <c r="Q34" s="115">
        <v>0.3</v>
      </c>
      <c r="R34" s="36">
        <f t="shared" si="8"/>
        <v>121939.68358100747</v>
      </c>
      <c r="S34" s="99">
        <f t="shared" si="9"/>
        <v>121939.68358100747</v>
      </c>
      <c r="T34" s="101">
        <f t="shared" si="10"/>
        <v>0.59899999999999998</v>
      </c>
      <c r="U34" s="99">
        <f t="shared" si="11"/>
        <v>214114.39641899255</v>
      </c>
      <c r="V34" s="100">
        <f t="shared" si="37"/>
        <v>1315.4971419279173</v>
      </c>
      <c r="W34" s="100">
        <f t="shared" si="38"/>
        <v>1541.1364736999612</v>
      </c>
      <c r="X34" s="99">
        <f t="shared" si="39"/>
        <v>1315.4971419279173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1.5827338129496403E-3</v>
      </c>
      <c r="C35" s="110">
        <v>3075</v>
      </c>
      <c r="D35" s="111">
        <v>0.22</v>
      </c>
      <c r="E35" s="111">
        <v>0.05</v>
      </c>
      <c r="F35" s="110">
        <v>139</v>
      </c>
      <c r="G35" s="112">
        <v>1</v>
      </c>
      <c r="H35" s="113">
        <v>159854.76999999999</v>
      </c>
      <c r="I35" s="99">
        <f t="shared" si="1"/>
        <v>159854.76999999999</v>
      </c>
      <c r="J35" s="100">
        <f t="shared" si="34"/>
        <v>1460.5435820143884</v>
      </c>
      <c r="K35" s="100">
        <f t="shared" si="35"/>
        <v>1548.0432874692885</v>
      </c>
      <c r="L35" s="99">
        <f t="shared" si="36"/>
        <v>1460.5435820143884</v>
      </c>
      <c r="M35" s="35">
        <f t="shared" si="5"/>
        <v>1548.0432874692885</v>
      </c>
      <c r="N35" s="114">
        <v>0.25</v>
      </c>
      <c r="O35" s="36">
        <f t="shared" si="6"/>
        <v>48337.061485051068</v>
      </c>
      <c r="P35" s="99">
        <f t="shared" si="7"/>
        <v>48337.061485051068</v>
      </c>
      <c r="Q35" s="115">
        <v>0.3</v>
      </c>
      <c r="R35" s="36">
        <f t="shared" si="8"/>
        <v>58004.473782061279</v>
      </c>
      <c r="S35" s="99">
        <f t="shared" si="9"/>
        <v>58004.473782061279</v>
      </c>
      <c r="T35" s="101">
        <f t="shared" si="10"/>
        <v>0.55000000000000004</v>
      </c>
      <c r="U35" s="99">
        <f t="shared" si="11"/>
        <v>101850.29621793871</v>
      </c>
      <c r="V35" s="100">
        <f t="shared" si="37"/>
        <v>689.9527467454584</v>
      </c>
      <c r="W35" s="100">
        <f t="shared" si="38"/>
        <v>809.16002251715179</v>
      </c>
      <c r="X35" s="99">
        <f t="shared" si="39"/>
        <v>689.9527467454584</v>
      </c>
      <c r="Y35" s="55">
        <v>4</v>
      </c>
      <c r="AA35" s="97"/>
      <c r="AB35" s="97"/>
      <c r="AC35" s="97"/>
      <c r="AD35" s="98"/>
    </row>
    <row r="36" spans="2:30" x14ac:dyDescent="0.3">
      <c r="B36" s="78">
        <f t="shared" si="0"/>
        <v>1.5827338129496403E-3</v>
      </c>
      <c r="C36" s="110">
        <v>3076</v>
      </c>
      <c r="D36" s="111">
        <v>0.22</v>
      </c>
      <c r="E36" s="111">
        <v>0.05</v>
      </c>
      <c r="F36" s="110">
        <v>139</v>
      </c>
      <c r="G36" s="112">
        <v>1</v>
      </c>
      <c r="H36" s="113">
        <v>333030.77</v>
      </c>
      <c r="I36" s="99">
        <f t="shared" si="1"/>
        <v>333030.77</v>
      </c>
      <c r="J36" s="100">
        <f t="shared" si="34"/>
        <v>3042.7991215827342</v>
      </c>
      <c r="K36" s="100">
        <f t="shared" si="35"/>
        <v>3225.090174157634</v>
      </c>
      <c r="L36" s="99">
        <f t="shared" si="36"/>
        <v>3042.7991215827342</v>
      </c>
      <c r="M36" s="35">
        <f t="shared" si="5"/>
        <v>3225.090174157634</v>
      </c>
      <c r="N36" s="120">
        <v>0.18</v>
      </c>
      <c r="O36" s="36">
        <f t="shared" si="6"/>
        <v>72505.592046147955</v>
      </c>
      <c r="P36" s="99">
        <f t="shared" si="7"/>
        <v>72505.592046147955</v>
      </c>
      <c r="Q36" s="115">
        <v>0.3</v>
      </c>
      <c r="R36" s="36">
        <f t="shared" si="8"/>
        <v>120842.65341024658</v>
      </c>
      <c r="S36" s="99">
        <f t="shared" si="9"/>
        <v>120842.65341024658</v>
      </c>
      <c r="T36" s="101">
        <f t="shared" si="10"/>
        <v>0.48</v>
      </c>
      <c r="U36" s="99">
        <f t="shared" si="11"/>
        <v>212188.11658975342</v>
      </c>
      <c r="V36" s="100">
        <f t="shared" si="37"/>
        <v>1641.7248791450925</v>
      </c>
      <c r="W36" s="100">
        <f t="shared" si="38"/>
        <v>1925.3755368642651</v>
      </c>
      <c r="X36" s="99">
        <f t="shared" si="39"/>
        <v>1641.7248791450925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1.5602836879432625E-3</v>
      </c>
      <c r="C37" s="110">
        <v>3078</v>
      </c>
      <c r="D37" s="111">
        <v>0.22</v>
      </c>
      <c r="E37" s="111">
        <v>0.05</v>
      </c>
      <c r="F37" s="110">
        <v>141</v>
      </c>
      <c r="G37" s="112">
        <v>1</v>
      </c>
      <c r="H37" s="113">
        <v>324295.96999999997</v>
      </c>
      <c r="I37" s="99">
        <f t="shared" si="1"/>
        <v>324295.96999999997</v>
      </c>
      <c r="J37" s="100">
        <f t="shared" si="34"/>
        <v>2920.9637014184395</v>
      </c>
      <c r="K37" s="100">
        <f t="shared" si="35"/>
        <v>3098.4735865173393</v>
      </c>
      <c r="L37" s="99">
        <f t="shared" si="36"/>
        <v>2920.9637014184395</v>
      </c>
      <c r="M37" s="35">
        <f t="shared" si="5"/>
        <v>3098.4735865173393</v>
      </c>
      <c r="N37" s="114">
        <v>0.3</v>
      </c>
      <c r="O37" s="36">
        <f t="shared" si="6"/>
        <v>117673.16727235059</v>
      </c>
      <c r="P37" s="99">
        <f t="shared" si="7"/>
        <v>117673.16727235059</v>
      </c>
      <c r="Q37" s="115">
        <v>0.3</v>
      </c>
      <c r="R37" s="36">
        <f t="shared" si="8"/>
        <v>117673.16727235059</v>
      </c>
      <c r="S37" s="99">
        <f t="shared" si="9"/>
        <v>117673.16727235059</v>
      </c>
      <c r="T37" s="101">
        <f t="shared" si="10"/>
        <v>0.6</v>
      </c>
      <c r="U37" s="99">
        <f t="shared" si="11"/>
        <v>206622.8027276494</v>
      </c>
      <c r="V37" s="100">
        <f t="shared" si="37"/>
        <v>1239.918454670574</v>
      </c>
      <c r="W37" s="100">
        <f t="shared" si="38"/>
        <v>1457.2513614052323</v>
      </c>
      <c r="X37" s="99">
        <f t="shared" si="39"/>
        <v>1239.918454670574</v>
      </c>
      <c r="Y37" s="55">
        <v>5</v>
      </c>
      <c r="AA37" s="97"/>
      <c r="AB37" s="97"/>
      <c r="AC37" s="97"/>
      <c r="AD37" s="98"/>
    </row>
    <row r="38" spans="2:30" x14ac:dyDescent="0.3">
      <c r="B38" s="78">
        <f t="shared" si="0"/>
        <v>1.5492957746478873E-3</v>
      </c>
      <c r="C38" s="110">
        <v>3081</v>
      </c>
      <c r="D38" s="111">
        <v>0.22</v>
      </c>
      <c r="E38" s="111">
        <v>0.05</v>
      </c>
      <c r="F38" s="110">
        <v>142</v>
      </c>
      <c r="G38" s="112">
        <v>1</v>
      </c>
      <c r="H38" s="113">
        <v>311892.59000000003</v>
      </c>
      <c r="I38" s="99">
        <f t="shared" si="1"/>
        <v>311892.59000000003</v>
      </c>
      <c r="J38" s="100">
        <f t="shared" si="34"/>
        <v>2789.4618964788738</v>
      </c>
      <c r="K38" s="100">
        <f t="shared" si="35"/>
        <v>2960.1825434671737</v>
      </c>
      <c r="L38" s="99">
        <f t="shared" si="36"/>
        <v>2789.4618964788738</v>
      </c>
      <c r="M38" s="35">
        <f t="shared" si="5"/>
        <v>2960.1825434671737</v>
      </c>
      <c r="N38" s="120">
        <v>0.21</v>
      </c>
      <c r="O38" s="36">
        <f t="shared" si="6"/>
        <v>79220.757013581358</v>
      </c>
      <c r="P38" s="99">
        <f t="shared" si="7"/>
        <v>79220.757013581358</v>
      </c>
      <c r="Q38" s="115">
        <v>0.3</v>
      </c>
      <c r="R38" s="36">
        <f t="shared" si="8"/>
        <v>113172.51001940193</v>
      </c>
      <c r="S38" s="99">
        <f t="shared" si="9"/>
        <v>113172.51001940193</v>
      </c>
      <c r="T38" s="101">
        <f t="shared" si="10"/>
        <v>0.51</v>
      </c>
      <c r="U38" s="99">
        <f t="shared" si="11"/>
        <v>198720.07998059809</v>
      </c>
      <c r="V38" s="100">
        <f t="shared" si="37"/>
        <v>1424.9706409258006</v>
      </c>
      <c r="W38" s="100">
        <f t="shared" si="38"/>
        <v>1676.5235581097138</v>
      </c>
      <c r="X38" s="99">
        <f t="shared" si="39"/>
        <v>1424.9706409258006</v>
      </c>
      <c r="Y38" s="55">
        <v>4</v>
      </c>
      <c r="AA38" s="97"/>
      <c r="AB38" s="97"/>
      <c r="AC38" s="97"/>
      <c r="AD38" s="98"/>
    </row>
    <row r="39" spans="2:30" x14ac:dyDescent="0.3">
      <c r="B39" s="78">
        <f t="shared" si="0"/>
        <v>1.5384615384615385E-3</v>
      </c>
      <c r="C39" s="110">
        <v>3083</v>
      </c>
      <c r="D39" s="111">
        <v>0.22</v>
      </c>
      <c r="E39" s="111">
        <v>0.05</v>
      </c>
      <c r="F39" s="110">
        <v>143</v>
      </c>
      <c r="G39" s="112">
        <v>1</v>
      </c>
      <c r="H39" s="113">
        <v>148803.66</v>
      </c>
      <c r="I39" s="99">
        <f t="shared" si="1"/>
        <v>148803.66</v>
      </c>
      <c r="J39" s="100">
        <f t="shared" si="34"/>
        <v>1321.5429944055943</v>
      </c>
      <c r="K39" s="100">
        <f t="shared" si="35"/>
        <v>1402.9936537797944</v>
      </c>
      <c r="L39" s="99">
        <f t="shared" si="36"/>
        <v>1321.5429944055943</v>
      </c>
      <c r="M39" s="35">
        <f t="shared" si="5"/>
        <v>1402.9936537797944</v>
      </c>
      <c r="N39" s="120">
        <v>0.27110000000000001</v>
      </c>
      <c r="O39" s="36">
        <f t="shared" si="6"/>
        <v>48793.027664709763</v>
      </c>
      <c r="P39" s="99">
        <f t="shared" si="7"/>
        <v>48793.027664709763</v>
      </c>
      <c r="Q39" s="115">
        <v>0.3</v>
      </c>
      <c r="R39" s="36">
        <f t="shared" si="8"/>
        <v>53994.497600195238</v>
      </c>
      <c r="S39" s="99">
        <f t="shared" si="9"/>
        <v>53994.497600195238</v>
      </c>
      <c r="T39" s="101">
        <f t="shared" si="10"/>
        <v>0.57109999999999994</v>
      </c>
      <c r="U39" s="99">
        <f t="shared" si="11"/>
        <v>94809.162399804773</v>
      </c>
      <c r="V39" s="100">
        <f t="shared" si="37"/>
        <v>597.68718268091118</v>
      </c>
      <c r="W39" s="100">
        <f t="shared" si="38"/>
        <v>703.94640076665428</v>
      </c>
      <c r="X39" s="99">
        <f t="shared" si="39"/>
        <v>597.68718268091118</v>
      </c>
      <c r="Y39" s="55">
        <v>5</v>
      </c>
      <c r="AA39" s="97"/>
      <c r="AB39" s="97"/>
      <c r="AC39" s="97"/>
      <c r="AD39" s="98"/>
    </row>
    <row r="40" spans="2:30" x14ac:dyDescent="0.3">
      <c r="B40" s="78">
        <f t="shared" si="0"/>
        <v>1.4965986394557824E-3</v>
      </c>
      <c r="C40" s="110">
        <v>3085</v>
      </c>
      <c r="D40" s="111">
        <v>0.22</v>
      </c>
      <c r="E40" s="111">
        <v>0.05</v>
      </c>
      <c r="F40" s="110">
        <v>147</v>
      </c>
      <c r="G40" s="112">
        <v>1</v>
      </c>
      <c r="H40" s="113">
        <v>141892.85999999999</v>
      </c>
      <c r="I40" s="99">
        <f t="shared" si="1"/>
        <v>141892.85999999999</v>
      </c>
      <c r="J40" s="100">
        <f t="shared" si="34"/>
        <v>1225.8770897959182</v>
      </c>
      <c r="K40" s="100">
        <f t="shared" si="35"/>
        <v>1303.544984574118</v>
      </c>
      <c r="L40" s="99">
        <f t="shared" si="36"/>
        <v>1225.8770897959182</v>
      </c>
      <c r="M40" s="35">
        <f t="shared" si="5"/>
        <v>1303.544984574118</v>
      </c>
      <c r="N40" s="114">
        <v>0.29949999999999999</v>
      </c>
      <c r="O40" s="36">
        <f t="shared" si="6"/>
        <v>51401.051779283604</v>
      </c>
      <c r="P40" s="99">
        <f t="shared" si="7"/>
        <v>51401.051779283604</v>
      </c>
      <c r="Q40" s="115">
        <v>0.3</v>
      </c>
      <c r="R40" s="36">
        <f t="shared" si="8"/>
        <v>51486.863217980244</v>
      </c>
      <c r="S40" s="99">
        <f t="shared" si="9"/>
        <v>51486.863217980244</v>
      </c>
      <c r="T40" s="101">
        <f t="shared" si="10"/>
        <v>0.59949999999999992</v>
      </c>
      <c r="U40" s="99">
        <f t="shared" si="11"/>
        <v>90405.996782019734</v>
      </c>
      <c r="V40" s="100">
        <f t="shared" si="37"/>
        <v>521.1653432393166</v>
      </c>
      <c r="W40" s="100">
        <f t="shared" si="38"/>
        <v>616.43019866071779</v>
      </c>
      <c r="X40" s="99">
        <f t="shared" si="39"/>
        <v>521.1653432393166</v>
      </c>
      <c r="Y40" s="55">
        <v>6</v>
      </c>
      <c r="AA40" s="97"/>
      <c r="AB40" s="97"/>
      <c r="AC40" s="97"/>
      <c r="AD40" s="98"/>
    </row>
    <row r="41" spans="2:30" x14ac:dyDescent="0.3">
      <c r="B41" s="78">
        <f t="shared" si="0"/>
        <v>1.5277777777777779E-3</v>
      </c>
      <c r="C41" s="110">
        <v>3086</v>
      </c>
      <c r="D41" s="111">
        <v>0.22</v>
      </c>
      <c r="E41" s="111">
        <v>0.05</v>
      </c>
      <c r="F41" s="110">
        <v>144</v>
      </c>
      <c r="G41" s="112">
        <v>1</v>
      </c>
      <c r="H41" s="113">
        <v>147537.35</v>
      </c>
      <c r="I41" s="99">
        <f t="shared" si="1"/>
        <v>147537.35</v>
      </c>
      <c r="J41" s="100">
        <f t="shared" si="34"/>
        <v>1301.1974618055556</v>
      </c>
      <c r="K41" s="100">
        <f t="shared" si="35"/>
        <v>1381.9549810750555</v>
      </c>
      <c r="L41" s="99">
        <f t="shared" si="36"/>
        <v>1301.1974618055556</v>
      </c>
      <c r="M41" s="35">
        <f t="shared" si="5"/>
        <v>1381.9549810750555</v>
      </c>
      <c r="N41" s="114">
        <v>0.28139999999999998</v>
      </c>
      <c r="O41" s="36">
        <f t="shared" si="6"/>
        <v>50215.837264367598</v>
      </c>
      <c r="P41" s="99">
        <f t="shared" si="7"/>
        <v>50215.837264367598</v>
      </c>
      <c r="Q41" s="115">
        <v>0.3</v>
      </c>
      <c r="R41" s="36">
        <f t="shared" si="8"/>
        <v>53535.007744528353</v>
      </c>
      <c r="S41" s="99">
        <f t="shared" si="9"/>
        <v>53535.007744528353</v>
      </c>
      <c r="T41" s="101">
        <f t="shared" si="10"/>
        <v>0.58139999999999992</v>
      </c>
      <c r="U41" s="99">
        <f t="shared" si="11"/>
        <v>94002.342255471653</v>
      </c>
      <c r="V41" s="100">
        <f t="shared" si="37"/>
        <v>575.66707712796153</v>
      </c>
      <c r="W41" s="100">
        <f t="shared" si="38"/>
        <v>678.73220794864324</v>
      </c>
      <c r="X41" s="99">
        <f t="shared" si="39"/>
        <v>575.66707712796153</v>
      </c>
      <c r="Y41" s="55">
        <v>5</v>
      </c>
      <c r="AA41" s="97"/>
      <c r="AB41" s="97"/>
      <c r="AC41" s="97"/>
      <c r="AD41" s="98"/>
    </row>
    <row r="42" spans="2:30" x14ac:dyDescent="0.3">
      <c r="B42" s="78">
        <f t="shared" si="0"/>
        <v>1.5172413793103448E-3</v>
      </c>
      <c r="C42" s="110">
        <v>3087</v>
      </c>
      <c r="D42" s="111">
        <v>0.22</v>
      </c>
      <c r="E42" s="111">
        <v>0.05</v>
      </c>
      <c r="F42" s="110">
        <v>145</v>
      </c>
      <c r="G42" s="112">
        <v>1</v>
      </c>
      <c r="H42" s="113">
        <v>144904.82</v>
      </c>
      <c r="I42" s="99">
        <f t="shared" si="1"/>
        <v>144904.82</v>
      </c>
      <c r="J42" s="100">
        <f>IFERROR(((H42*(1+SUM(D42:E42)))/F42),"-")</f>
        <v>1269.1663544827586</v>
      </c>
      <c r="K42" s="100">
        <f>IFERROR((J42*(1+F42*0.0431%)),"-")</f>
        <v>1348.4829058061587</v>
      </c>
      <c r="L42" s="99">
        <f>IFERROR(J42*G42,"-")</f>
        <v>1269.1663544827586</v>
      </c>
      <c r="M42" s="35">
        <f t="shared" si="5"/>
        <v>1348.4829058061587</v>
      </c>
      <c r="N42" s="120">
        <v>0.28589999999999999</v>
      </c>
      <c r="O42" s="36">
        <f t="shared" si="6"/>
        <v>50108.525535101937</v>
      </c>
      <c r="P42" s="99">
        <f t="shared" si="7"/>
        <v>50108.525535101937</v>
      </c>
      <c r="Q42" s="115">
        <v>0.3</v>
      </c>
      <c r="R42" s="36">
        <f t="shared" si="8"/>
        <v>52579.77495813425</v>
      </c>
      <c r="S42" s="99">
        <f t="shared" si="9"/>
        <v>52579.77495813425</v>
      </c>
      <c r="T42" s="101">
        <f t="shared" si="10"/>
        <v>0.58589999999999998</v>
      </c>
      <c r="U42" s="99">
        <f t="shared" si="11"/>
        <v>92325.045041865757</v>
      </c>
      <c r="V42" s="100">
        <f>IFERROR(((($H42*(1+D42+E42))-(O42+R42)-J42)/($F42-1)),"-")</f>
        <v>556.05315661306281</v>
      </c>
      <c r="W42" s="100">
        <f>IFERROR((V42*(1+($F42-1)*0.1252%)),"-")</f>
        <v>656.30286811251869</v>
      </c>
      <c r="X42" s="99">
        <f>IFERROR(V42*G42,"-")</f>
        <v>556.05315661306281</v>
      </c>
      <c r="Y42" s="55">
        <v>2</v>
      </c>
      <c r="AA42" s="97" t="e">
        <f>#REF!</f>
        <v>#REF!</v>
      </c>
      <c r="AB42" s="97" t="e">
        <f>#REF!</f>
        <v>#REF!</v>
      </c>
      <c r="AC42" s="97">
        <f>AVERAGE(F42:F59)</f>
        <v>214.5</v>
      </c>
      <c r="AD42" s="98" t="e">
        <f>#REF!</f>
        <v>#REF!</v>
      </c>
    </row>
    <row r="43" spans="2:30" x14ac:dyDescent="0.3">
      <c r="B43" s="78">
        <f t="shared" si="0"/>
        <v>1.4193548387096775E-3</v>
      </c>
      <c r="C43" s="110">
        <v>3096</v>
      </c>
      <c r="D43" s="111">
        <v>0.22</v>
      </c>
      <c r="E43" s="111">
        <v>0.05</v>
      </c>
      <c r="F43" s="110">
        <v>155</v>
      </c>
      <c r="G43" s="112">
        <v>1</v>
      </c>
      <c r="H43" s="113">
        <v>130874.16</v>
      </c>
      <c r="I43" s="99">
        <f t="shared" si="1"/>
        <v>130874.16</v>
      </c>
      <c r="J43" s="100">
        <f t="shared" ref="J43:J47" si="40">IFERROR(((H43*(1+SUM(D43:E43)))/F43),"-")</f>
        <v>1072.3237625806451</v>
      </c>
      <c r="K43" s="100">
        <f t="shared" ref="K43:K48" si="41">IFERROR((J43*(1+F43*0.0431%)),"-")</f>
        <v>1143.9603515398451</v>
      </c>
      <c r="L43" s="99">
        <f t="shared" ref="L43:L48" si="42">IFERROR(J43*G43,"-")</f>
        <v>1072.3237625806451</v>
      </c>
      <c r="M43" s="35">
        <f t="shared" si="5"/>
        <v>1143.9603515398451</v>
      </c>
      <c r="N43" s="120">
        <v>0.25600000000000001</v>
      </c>
      <c r="O43" s="36">
        <f t="shared" si="6"/>
        <v>40523.64564644394</v>
      </c>
      <c r="P43" s="99">
        <f t="shared" si="7"/>
        <v>40523.64564644394</v>
      </c>
      <c r="Q43" s="115">
        <v>0.3</v>
      </c>
      <c r="R43" s="36">
        <f t="shared" si="8"/>
        <v>47488.64724192649</v>
      </c>
      <c r="S43" s="99">
        <f t="shared" si="9"/>
        <v>47488.64724192649</v>
      </c>
      <c r="T43" s="101">
        <f t="shared" si="10"/>
        <v>0.55600000000000005</v>
      </c>
      <c r="U43" s="99">
        <f t="shared" si="11"/>
        <v>83385.512758073513</v>
      </c>
      <c r="V43" s="100">
        <f t="shared" ref="V43:V48" si="43">IFERROR(((($H43*(1+D43+E43))-(O43+R43)-J43)/($F43-1)),"-")</f>
        <v>500.81536720161637</v>
      </c>
      <c r="W43" s="100">
        <f t="shared" ref="W43:W48" si="44">IFERROR((V43*(1+($F43-1)*0.1252%)),"-")</f>
        <v>597.37657652102564</v>
      </c>
      <c r="X43" s="99">
        <f t="shared" ref="X43:X48" si="45">IFERROR(V43*G43,"-")</f>
        <v>500.81536720161637</v>
      </c>
      <c r="Y43" s="55">
        <v>7</v>
      </c>
      <c r="AA43" s="97"/>
      <c r="AB43" s="97"/>
      <c r="AC43" s="97"/>
      <c r="AD43" s="98"/>
    </row>
    <row r="44" spans="2:30" x14ac:dyDescent="0.3">
      <c r="B44" s="78">
        <f t="shared" si="0"/>
        <v>1.1363636363636363E-3</v>
      </c>
      <c r="C44" s="110">
        <v>3099</v>
      </c>
      <c r="D44" s="111">
        <v>0.25</v>
      </c>
      <c r="E44" s="111">
        <v>0.03</v>
      </c>
      <c r="F44" s="110">
        <v>220</v>
      </c>
      <c r="G44" s="112">
        <v>1</v>
      </c>
      <c r="H44" s="113">
        <v>127600.92</v>
      </c>
      <c r="I44" s="99">
        <f t="shared" si="1"/>
        <v>127600.92</v>
      </c>
      <c r="J44" s="100">
        <f t="shared" si="40"/>
        <v>742.40535272727266</v>
      </c>
      <c r="K44" s="100">
        <f t="shared" si="41"/>
        <v>812.80022827287257</v>
      </c>
      <c r="L44" s="99">
        <f t="shared" si="42"/>
        <v>742.40535272727266</v>
      </c>
      <c r="M44" s="35">
        <f t="shared" si="5"/>
        <v>812.80022827287257</v>
      </c>
      <c r="N44" s="114">
        <v>0.3</v>
      </c>
      <c r="O44" s="36">
        <f t="shared" si="6"/>
        <v>46665.502377957557</v>
      </c>
      <c r="P44" s="99">
        <f t="shared" si="7"/>
        <v>46665.502377957557</v>
      </c>
      <c r="Q44" s="115">
        <v>0.3</v>
      </c>
      <c r="R44" s="36">
        <f t="shared" si="8"/>
        <v>46665.502377957557</v>
      </c>
      <c r="S44" s="99">
        <f t="shared" si="9"/>
        <v>46665.502377957557</v>
      </c>
      <c r="T44" s="101">
        <f t="shared" si="10"/>
        <v>0.6</v>
      </c>
      <c r="U44" s="99">
        <f t="shared" si="11"/>
        <v>80935.417622042442</v>
      </c>
      <c r="V44" s="100">
        <f t="shared" si="43"/>
        <v>316.2363812390758</v>
      </c>
      <c r="W44" s="100">
        <f t="shared" si="44"/>
        <v>402.94460213825556</v>
      </c>
      <c r="X44" s="99">
        <f t="shared" si="45"/>
        <v>316.2363812390758</v>
      </c>
      <c r="Y44" s="55">
        <v>5</v>
      </c>
      <c r="AA44" s="97"/>
      <c r="AB44" s="97"/>
      <c r="AC44" s="97"/>
      <c r="AD44" s="98"/>
    </row>
    <row r="45" spans="2:30" x14ac:dyDescent="0.3">
      <c r="B45" s="78">
        <f t="shared" si="0"/>
        <v>1.1363636363636363E-3</v>
      </c>
      <c r="C45" s="110">
        <v>3104</v>
      </c>
      <c r="D45" s="111">
        <v>0.25</v>
      </c>
      <c r="E45" s="111">
        <v>0.03</v>
      </c>
      <c r="F45" s="110">
        <v>220</v>
      </c>
      <c r="G45" s="112">
        <v>1</v>
      </c>
      <c r="H45" s="113">
        <v>125168.28</v>
      </c>
      <c r="I45" s="99">
        <f t="shared" si="1"/>
        <v>125168.28</v>
      </c>
      <c r="J45" s="100">
        <f t="shared" si="40"/>
        <v>728.25181090909098</v>
      </c>
      <c r="K45" s="100">
        <f t="shared" si="41"/>
        <v>797.30464761949088</v>
      </c>
      <c r="L45" s="99">
        <f t="shared" si="42"/>
        <v>728.25181090909098</v>
      </c>
      <c r="M45" s="35">
        <f t="shared" si="5"/>
        <v>797.30464761949088</v>
      </c>
      <c r="N45" s="114">
        <v>0.29199999999999998</v>
      </c>
      <c r="O45" s="36">
        <f t="shared" si="6"/>
        <v>44555.161385241277</v>
      </c>
      <c r="P45" s="99">
        <f t="shared" si="7"/>
        <v>44555.161385241277</v>
      </c>
      <c r="Q45" s="115">
        <v>0.3</v>
      </c>
      <c r="R45" s="36">
        <f t="shared" si="8"/>
        <v>45775.850738261594</v>
      </c>
      <c r="S45" s="99">
        <f t="shared" si="9"/>
        <v>45775.850738261594</v>
      </c>
      <c r="T45" s="101">
        <f t="shared" si="10"/>
        <v>0.59199999999999997</v>
      </c>
      <c r="U45" s="99">
        <f t="shared" si="11"/>
        <v>79392.429261738405</v>
      </c>
      <c r="V45" s="100">
        <f t="shared" si="43"/>
        <v>315.78143591592709</v>
      </c>
      <c r="W45" s="100">
        <f t="shared" si="44"/>
        <v>402.36491626684335</v>
      </c>
      <c r="X45" s="99">
        <f t="shared" si="45"/>
        <v>315.78143591592709</v>
      </c>
      <c r="Y45" s="55">
        <v>6</v>
      </c>
      <c r="AA45" s="97"/>
      <c r="AB45" s="97"/>
      <c r="AC45" s="97"/>
      <c r="AD45" s="98"/>
    </row>
    <row r="46" spans="2:30" x14ac:dyDescent="0.3">
      <c r="B46" s="78">
        <f t="shared" ref="B46:B60" si="46">D46/F46</f>
        <v>1.2777777777777779E-3</v>
      </c>
      <c r="C46" s="110">
        <v>3106</v>
      </c>
      <c r="D46" s="111">
        <v>0.23</v>
      </c>
      <c r="E46" s="111">
        <v>0.03</v>
      </c>
      <c r="F46" s="110">
        <v>180</v>
      </c>
      <c r="G46" s="112">
        <v>1</v>
      </c>
      <c r="H46" s="113">
        <v>312920.7</v>
      </c>
      <c r="I46" s="99">
        <f t="shared" ref="I46:I60" si="47">H46*G46</f>
        <v>312920.7</v>
      </c>
      <c r="J46" s="100">
        <f t="shared" si="40"/>
        <v>2190.4449</v>
      </c>
      <c r="K46" s="100">
        <f t="shared" si="41"/>
        <v>2360.3796153419999</v>
      </c>
      <c r="L46" s="99">
        <f t="shared" si="42"/>
        <v>2190.4449</v>
      </c>
      <c r="M46" s="35">
        <f t="shared" ref="M46:M60" si="48">K46*G46</f>
        <v>2360.3796153419999</v>
      </c>
      <c r="N46" s="114">
        <v>0.25</v>
      </c>
      <c r="O46" s="36">
        <f t="shared" ref="O46:O60" si="49">((N46*($H46*(1+D46+E46)))*$Q$1)</f>
        <v>93876.256396825527</v>
      </c>
      <c r="P46" s="99">
        <f t="shared" ref="P46:P60" si="50">O46*G46</f>
        <v>93876.256396825527</v>
      </c>
      <c r="Q46" s="115">
        <v>0.3</v>
      </c>
      <c r="R46" s="36">
        <f t="shared" ref="R46:R60" si="51">((Q46*($H46*(1+D46+E46)))*$Q$1)</f>
        <v>112651.50767619062</v>
      </c>
      <c r="S46" s="99">
        <f t="shared" ref="S46:S60" si="52">R46*G46</f>
        <v>112651.50767619062</v>
      </c>
      <c r="T46" s="101">
        <f t="shared" ref="T46:T60" si="53">(N46+Q46)</f>
        <v>0.55000000000000004</v>
      </c>
      <c r="U46" s="99">
        <f t="shared" ref="U46:U60" si="54">(I46)-S46</f>
        <v>200269.19232380937</v>
      </c>
      <c r="V46" s="100">
        <f t="shared" si="43"/>
        <v>1036.658508530636</v>
      </c>
      <c r="W46" s="100">
        <f t="shared" si="44"/>
        <v>1268.9819735604199</v>
      </c>
      <c r="X46" s="99">
        <f t="shared" si="45"/>
        <v>1036.658508530636</v>
      </c>
      <c r="Y46" s="55">
        <v>2</v>
      </c>
      <c r="AA46" s="97"/>
      <c r="AB46" s="97"/>
      <c r="AC46" s="97"/>
      <c r="AD46" s="98"/>
    </row>
    <row r="47" spans="2:30" x14ac:dyDescent="0.3">
      <c r="B47" s="78">
        <f t="shared" si="46"/>
        <v>1.2612612612612614E-3</v>
      </c>
      <c r="C47" s="110">
        <v>3107</v>
      </c>
      <c r="D47" s="111">
        <v>0.28000000000000003</v>
      </c>
      <c r="E47" s="111">
        <v>0.03</v>
      </c>
      <c r="F47" s="110">
        <v>222</v>
      </c>
      <c r="G47" s="112">
        <v>1</v>
      </c>
      <c r="H47" s="113">
        <v>82464.08</v>
      </c>
      <c r="I47" s="99">
        <f t="shared" si="47"/>
        <v>82464.08</v>
      </c>
      <c r="J47" s="100">
        <f t="shared" si="40"/>
        <v>486.61236396396401</v>
      </c>
      <c r="K47" s="100">
        <f t="shared" si="41"/>
        <v>533.17240817276399</v>
      </c>
      <c r="L47" s="99">
        <f t="shared" si="42"/>
        <v>486.61236396396401</v>
      </c>
      <c r="M47" s="35">
        <f t="shared" si="48"/>
        <v>533.17240817276399</v>
      </c>
      <c r="N47" s="114">
        <v>0.28220000000000001</v>
      </c>
      <c r="O47" s="36">
        <f t="shared" si="49"/>
        <v>29033.810561454469</v>
      </c>
      <c r="P47" s="99">
        <f t="shared" si="50"/>
        <v>29033.810561454469</v>
      </c>
      <c r="Q47" s="115">
        <v>0.3</v>
      </c>
      <c r="R47" s="36">
        <f t="shared" si="51"/>
        <v>30865.142340313043</v>
      </c>
      <c r="S47" s="99">
        <f t="shared" si="52"/>
        <v>30865.142340313043</v>
      </c>
      <c r="T47" s="101">
        <f t="shared" si="53"/>
        <v>0.58220000000000005</v>
      </c>
      <c r="U47" s="99">
        <f t="shared" si="54"/>
        <v>51598.937659686955</v>
      </c>
      <c r="V47" s="100">
        <f t="shared" si="43"/>
        <v>215.57637798311558</v>
      </c>
      <c r="W47" s="100">
        <f t="shared" si="44"/>
        <v>275.22463716001977</v>
      </c>
      <c r="X47" s="99">
        <f t="shared" si="45"/>
        <v>215.57637798311558</v>
      </c>
      <c r="Y47" s="55">
        <v>2</v>
      </c>
      <c r="AA47" s="97"/>
      <c r="AB47" s="97"/>
      <c r="AC47" s="97"/>
      <c r="AD47" s="98"/>
    </row>
    <row r="48" spans="2:30" x14ac:dyDescent="0.3">
      <c r="B48" s="78">
        <f t="shared" si="46"/>
        <v>1.1261261261261261E-3</v>
      </c>
      <c r="C48" s="110">
        <v>3108</v>
      </c>
      <c r="D48" s="111">
        <v>0.25</v>
      </c>
      <c r="E48" s="111">
        <v>0.03</v>
      </c>
      <c r="F48" s="110">
        <v>222</v>
      </c>
      <c r="G48" s="112">
        <v>1</v>
      </c>
      <c r="H48" s="113">
        <v>123696.12</v>
      </c>
      <c r="I48" s="99">
        <f t="shared" si="47"/>
        <v>123696.12</v>
      </c>
      <c r="J48" s="100">
        <f t="shared" si="15"/>
        <v>713.202854054054</v>
      </c>
      <c r="K48" s="100">
        <f t="shared" si="41"/>
        <v>781.44352953565408</v>
      </c>
      <c r="L48" s="99">
        <f t="shared" si="42"/>
        <v>713.202854054054</v>
      </c>
      <c r="M48" s="35">
        <f t="shared" si="48"/>
        <v>781.44352953565408</v>
      </c>
      <c r="N48" s="114">
        <v>0.29559999999999997</v>
      </c>
      <c r="O48" s="36">
        <f t="shared" si="49"/>
        <v>44573.977774883831</v>
      </c>
      <c r="P48" s="99">
        <f t="shared" si="50"/>
        <v>44573.977774883831</v>
      </c>
      <c r="Q48" s="115">
        <v>0.3</v>
      </c>
      <c r="R48" s="36">
        <f t="shared" si="51"/>
        <v>45237.460529313765</v>
      </c>
      <c r="S48" s="99">
        <f t="shared" si="52"/>
        <v>45237.460529313765</v>
      </c>
      <c r="T48" s="101">
        <f t="shared" si="53"/>
        <v>0.59559999999999991</v>
      </c>
      <c r="U48" s="99">
        <f t="shared" si="54"/>
        <v>78458.659470686223</v>
      </c>
      <c r="V48" s="100">
        <f t="shared" si="43"/>
        <v>306.8162553925265</v>
      </c>
      <c r="W48" s="100">
        <f t="shared" si="44"/>
        <v>391.7098587295954</v>
      </c>
      <c r="X48" s="99">
        <f t="shared" si="45"/>
        <v>306.8162553925265</v>
      </c>
      <c r="Y48" s="55">
        <v>2</v>
      </c>
      <c r="AA48" s="97"/>
      <c r="AB48" s="97"/>
      <c r="AC48" s="97"/>
      <c r="AD48" s="98"/>
    </row>
    <row r="49" spans="1:31" x14ac:dyDescent="0.3">
      <c r="B49" s="78">
        <f t="shared" si="46"/>
        <v>1.1061946902654867E-3</v>
      </c>
      <c r="C49" s="110">
        <v>3120</v>
      </c>
      <c r="D49" s="111">
        <v>0.25</v>
      </c>
      <c r="E49" s="111">
        <v>0.03</v>
      </c>
      <c r="F49" s="110">
        <v>226</v>
      </c>
      <c r="G49" s="112">
        <v>1</v>
      </c>
      <c r="H49" s="113">
        <v>120000</v>
      </c>
      <c r="I49" s="99">
        <f t="shared" si="47"/>
        <v>120000</v>
      </c>
      <c r="J49" s="100">
        <f t="shared" ref="J49:J58" si="55">IFERROR(((H49*(1+SUM(D49:E49)))/F49),"-")</f>
        <v>679.64601769911508</v>
      </c>
      <c r="K49" s="100">
        <f t="shared" ref="K49:K58" si="56">IFERROR((J49*(1+F49*0.0431%)),"-")</f>
        <v>745.84761769911518</v>
      </c>
      <c r="L49" s="99">
        <f t="shared" ref="L49:L58" si="57">IFERROR(J49*G49,"-")</f>
        <v>679.64601769911508</v>
      </c>
      <c r="M49" s="35">
        <f t="shared" si="48"/>
        <v>745.84761769911518</v>
      </c>
      <c r="N49" s="114">
        <v>0.28110000000000002</v>
      </c>
      <c r="O49" s="36">
        <f t="shared" si="49"/>
        <v>41120.934609072945</v>
      </c>
      <c r="P49" s="99">
        <f t="shared" si="50"/>
        <v>41120.934609072945</v>
      </c>
      <c r="Q49" s="115">
        <v>0.3</v>
      </c>
      <c r="R49" s="36">
        <f t="shared" si="51"/>
        <v>43885.735975531425</v>
      </c>
      <c r="S49" s="99">
        <f t="shared" si="52"/>
        <v>43885.735975531425</v>
      </c>
      <c r="T49" s="101">
        <f t="shared" si="53"/>
        <v>0.58109999999999995</v>
      </c>
      <c r="U49" s="99">
        <f t="shared" si="54"/>
        <v>76114.264024468575</v>
      </c>
      <c r="V49" s="100">
        <f t="shared" ref="V49:V58" si="58">IFERROR(((($H49*(1+D49+E49))-(O49+R49)-J49)/($F49-1)),"-")</f>
        <v>301.83859287865118</v>
      </c>
      <c r="W49" s="100">
        <f t="shared" ref="W49:W58" si="59">IFERROR((V49*(1+($F49-1)*0.1252%)),"-")</f>
        <v>386.86652449256724</v>
      </c>
      <c r="X49" s="99">
        <f t="shared" ref="X49:X58" si="60">IFERROR(V49*G49,"-")</f>
        <v>301.83859287865118</v>
      </c>
      <c r="Y49" s="55">
        <v>13</v>
      </c>
      <c r="AA49" s="97"/>
      <c r="AB49" s="97"/>
      <c r="AC49" s="97"/>
      <c r="AD49" s="98"/>
    </row>
    <row r="50" spans="1:31" x14ac:dyDescent="0.3">
      <c r="B50" s="78">
        <f t="shared" si="46"/>
        <v>1.1111111111111111E-3</v>
      </c>
      <c r="C50" s="110">
        <v>3121</v>
      </c>
      <c r="D50" s="111">
        <v>0.25</v>
      </c>
      <c r="E50" s="111">
        <v>0.03</v>
      </c>
      <c r="F50" s="110">
        <v>225</v>
      </c>
      <c r="G50" s="112">
        <v>1</v>
      </c>
      <c r="H50" s="113">
        <v>124620</v>
      </c>
      <c r="I50" s="99">
        <f t="shared" si="47"/>
        <v>124620</v>
      </c>
      <c r="J50" s="100">
        <f>IFERROR(((H50*(1+SUM(D50:E50)))/F50),"-")</f>
        <v>708.94933333333336</v>
      </c>
      <c r="K50" s="100">
        <f>IFERROR((J50*(1+F50*0.0431%)),"-")</f>
        <v>777.69969493333338</v>
      </c>
      <c r="L50" s="99">
        <f>IFERROR(J50*G50,"-")</f>
        <v>708.94933333333336</v>
      </c>
      <c r="M50" s="35">
        <f t="shared" si="48"/>
        <v>777.69969493333338</v>
      </c>
      <c r="N50" s="114">
        <v>0.26300000000000001</v>
      </c>
      <c r="O50" s="36">
        <f t="shared" si="49"/>
        <v>39954.378603950034</v>
      </c>
      <c r="P50" s="99">
        <f t="shared" si="50"/>
        <v>39954.378603950034</v>
      </c>
      <c r="Q50" s="115">
        <v>0.3</v>
      </c>
      <c r="R50" s="36">
        <f t="shared" si="51"/>
        <v>45575.33681058939</v>
      </c>
      <c r="S50" s="99">
        <f t="shared" si="52"/>
        <v>45575.33681058939</v>
      </c>
      <c r="T50" s="101">
        <f t="shared" si="53"/>
        <v>0.56299999999999994</v>
      </c>
      <c r="U50" s="99">
        <f t="shared" si="54"/>
        <v>79044.66318941061</v>
      </c>
      <c r="V50" s="100">
        <f>IFERROR(((($H50*(1+D50+E50))-(O50+R50)-J50)/($F50-1)),"-")</f>
        <v>327.12024666128235</v>
      </c>
      <c r="W50" s="100">
        <f>IFERROR((V50*(1+($F50-1)*0.1252%)),"-")</f>
        <v>418.86046559694569</v>
      </c>
      <c r="X50" s="99">
        <f>IFERROR(V50*G50,"-")</f>
        <v>327.12024666128235</v>
      </c>
      <c r="Y50" s="55">
        <v>6</v>
      </c>
      <c r="AA50" s="97" t="e">
        <f>#REF!</f>
        <v>#REF!</v>
      </c>
      <c r="AB50" s="97" t="e">
        <f>#REF!</f>
        <v>#REF!</v>
      </c>
      <c r="AC50" s="97">
        <f>AVERAGE(F50:F59)</f>
        <v>227.1</v>
      </c>
      <c r="AD50" s="98" t="e">
        <f>#REF!</f>
        <v>#REF!</v>
      </c>
    </row>
    <row r="51" spans="1:31" x14ac:dyDescent="0.3">
      <c r="B51" s="78">
        <f t="shared" si="46"/>
        <v>1.1061946902654867E-3</v>
      </c>
      <c r="C51" s="110">
        <v>3122</v>
      </c>
      <c r="D51" s="111">
        <v>0.25</v>
      </c>
      <c r="E51" s="111">
        <v>0.03</v>
      </c>
      <c r="F51" s="110">
        <v>226</v>
      </c>
      <c r="G51" s="112">
        <v>1</v>
      </c>
      <c r="H51" s="113">
        <v>80000</v>
      </c>
      <c r="I51" s="99">
        <f t="shared" si="47"/>
        <v>80000</v>
      </c>
      <c r="J51" s="100">
        <f t="shared" ref="J51:J53" si="61">IFERROR(((H51*(1+SUM(D51:E51)))/F51),"-")</f>
        <v>453.09734513274338</v>
      </c>
      <c r="K51" s="100">
        <f t="shared" ref="K51:K55" si="62">IFERROR((J51*(1+F51*0.0431%)),"-")</f>
        <v>497.23174513274341</v>
      </c>
      <c r="L51" s="99">
        <f t="shared" ref="L51:L55" si="63">IFERROR(J51*G51,"-")</f>
        <v>453.09734513274338</v>
      </c>
      <c r="M51" s="35">
        <f t="shared" si="48"/>
        <v>497.23174513274341</v>
      </c>
      <c r="N51" s="114">
        <v>0.28499999999999998</v>
      </c>
      <c r="O51" s="36">
        <f t="shared" si="49"/>
        <v>27794.2994511699</v>
      </c>
      <c r="P51" s="99">
        <f t="shared" si="50"/>
        <v>27794.2994511699</v>
      </c>
      <c r="Q51" s="115">
        <v>0.3</v>
      </c>
      <c r="R51" s="36">
        <f t="shared" si="51"/>
        <v>29257.157317020952</v>
      </c>
      <c r="S51" s="99">
        <f t="shared" si="52"/>
        <v>29257.157317020952</v>
      </c>
      <c r="T51" s="101">
        <f t="shared" si="53"/>
        <v>0.58499999999999996</v>
      </c>
      <c r="U51" s="99">
        <f t="shared" si="54"/>
        <v>50742.842682979048</v>
      </c>
      <c r="V51" s="100">
        <f t="shared" ref="V51:V55" si="64">IFERROR(((($H51*(1+D51+E51))-(O51+R51)-J51)/($F51-1)),"-")</f>
        <v>199.53531505189514</v>
      </c>
      <c r="W51" s="100">
        <f t="shared" ref="W51:W55" si="65">IFERROR((V51*(1+($F51-1)*0.1252%)),"-")</f>
        <v>255.74441330201401</v>
      </c>
      <c r="X51" s="99">
        <f t="shared" ref="X51:X55" si="66">IFERROR(V51*G51,"-")</f>
        <v>199.53531505189514</v>
      </c>
      <c r="Y51" s="55">
        <v>10</v>
      </c>
      <c r="AA51" s="97"/>
      <c r="AB51" s="97"/>
      <c r="AC51" s="97"/>
      <c r="AD51" s="98"/>
    </row>
    <row r="52" spans="1:31" x14ac:dyDescent="0.3">
      <c r="B52" s="78">
        <f t="shared" si="46"/>
        <v>1.0964912280701754E-3</v>
      </c>
      <c r="C52" s="110">
        <v>3125</v>
      </c>
      <c r="D52" s="111">
        <v>0.25</v>
      </c>
      <c r="E52" s="111">
        <v>0.03</v>
      </c>
      <c r="F52" s="110">
        <v>228</v>
      </c>
      <c r="G52" s="112">
        <v>1</v>
      </c>
      <c r="H52" s="113">
        <v>120000</v>
      </c>
      <c r="I52" s="99">
        <f t="shared" si="47"/>
        <v>120000</v>
      </c>
      <c r="J52" s="100">
        <f t="shared" si="61"/>
        <v>673.68421052631584</v>
      </c>
      <c r="K52" s="100">
        <f t="shared" si="62"/>
        <v>739.88581052631582</v>
      </c>
      <c r="L52" s="99">
        <f t="shared" si="63"/>
        <v>673.68421052631584</v>
      </c>
      <c r="M52" s="35">
        <f t="shared" si="48"/>
        <v>739.88581052631582</v>
      </c>
      <c r="N52" s="114">
        <v>0.28999999999999998</v>
      </c>
      <c r="O52" s="36">
        <f t="shared" si="49"/>
        <v>42422.87810968038</v>
      </c>
      <c r="P52" s="99">
        <f t="shared" si="50"/>
        <v>42422.87810968038</v>
      </c>
      <c r="Q52" s="115">
        <v>0.3</v>
      </c>
      <c r="R52" s="36">
        <f t="shared" si="51"/>
        <v>43885.735975531425</v>
      </c>
      <c r="S52" s="99">
        <f t="shared" si="52"/>
        <v>43885.735975531425</v>
      </c>
      <c r="T52" s="101">
        <f t="shared" si="53"/>
        <v>0.59</v>
      </c>
      <c r="U52" s="99">
        <f t="shared" si="54"/>
        <v>76114.264024468575</v>
      </c>
      <c r="V52" s="100">
        <f t="shared" si="64"/>
        <v>293.47005156062505</v>
      </c>
      <c r="W52" s="100">
        <f t="shared" si="65"/>
        <v>376.87541409436091</v>
      </c>
      <c r="X52" s="99">
        <f t="shared" si="66"/>
        <v>293.47005156062505</v>
      </c>
      <c r="Y52" s="55">
        <v>12</v>
      </c>
      <c r="AA52" s="97"/>
      <c r="AB52" s="97"/>
      <c r="AC52" s="97"/>
      <c r="AD52" s="98"/>
    </row>
    <row r="53" spans="1:31" x14ac:dyDescent="0.3">
      <c r="B53" s="78">
        <f t="shared" si="46"/>
        <v>1.0964912280701754E-3</v>
      </c>
      <c r="C53" s="110">
        <v>3126</v>
      </c>
      <c r="D53" s="111">
        <v>0.25</v>
      </c>
      <c r="E53" s="111">
        <v>0.03</v>
      </c>
      <c r="F53" s="110">
        <v>228</v>
      </c>
      <c r="G53" s="112">
        <v>1</v>
      </c>
      <c r="H53" s="113">
        <v>80000</v>
      </c>
      <c r="I53" s="99">
        <f t="shared" si="47"/>
        <v>80000</v>
      </c>
      <c r="J53" s="100">
        <f t="shared" si="61"/>
        <v>449.12280701754383</v>
      </c>
      <c r="K53" s="100">
        <f t="shared" si="62"/>
        <v>493.25720701754386</v>
      </c>
      <c r="L53" s="99">
        <f t="shared" si="63"/>
        <v>449.12280701754383</v>
      </c>
      <c r="M53" s="35">
        <f t="shared" si="48"/>
        <v>493.25720701754386</v>
      </c>
      <c r="N53" s="114">
        <v>0.26300000000000001</v>
      </c>
      <c r="O53" s="36">
        <f t="shared" si="49"/>
        <v>25648.774581255035</v>
      </c>
      <c r="P53" s="99">
        <f t="shared" si="50"/>
        <v>25648.774581255035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0.56299999999999994</v>
      </c>
      <c r="U53" s="99">
        <f t="shared" si="54"/>
        <v>50742.842682979048</v>
      </c>
      <c r="V53" s="100">
        <f t="shared" si="64"/>
        <v>207.24645504275978</v>
      </c>
      <c r="W53" s="100">
        <f t="shared" si="65"/>
        <v>266.14672655173223</v>
      </c>
      <c r="X53" s="99">
        <f t="shared" si="66"/>
        <v>207.24645504275978</v>
      </c>
      <c r="Y53" s="55">
        <v>9</v>
      </c>
      <c r="AA53" s="97"/>
      <c r="AB53" s="97"/>
      <c r="AC53" s="97"/>
      <c r="AD53" s="98"/>
    </row>
    <row r="54" spans="1:31" x14ac:dyDescent="0.3">
      <c r="B54" s="78">
        <f t="shared" si="46"/>
        <v>1.0822510822510823E-3</v>
      </c>
      <c r="C54" s="110">
        <v>3134</v>
      </c>
      <c r="D54" s="111">
        <v>0.25</v>
      </c>
      <c r="E54" s="111">
        <v>0.03</v>
      </c>
      <c r="F54" s="110">
        <v>231</v>
      </c>
      <c r="G54" s="112">
        <v>1</v>
      </c>
      <c r="H54" s="113">
        <v>80000</v>
      </c>
      <c r="I54" s="99">
        <f t="shared" si="47"/>
        <v>80000</v>
      </c>
      <c r="J54" s="100">
        <f t="shared" ref="J54:J55" si="67">IFERROR(((H54*(1+SUM(D54:E54)))/F54),"-")</f>
        <v>443.29004329004329</v>
      </c>
      <c r="K54" s="100">
        <f t="shared" si="62"/>
        <v>487.42444329004331</v>
      </c>
      <c r="L54" s="99">
        <f t="shared" si="63"/>
        <v>443.29004329004329</v>
      </c>
      <c r="M54" s="35">
        <f t="shared" si="48"/>
        <v>487.42444329004331</v>
      </c>
      <c r="N54" s="114">
        <v>0.28220000000000001</v>
      </c>
      <c r="O54" s="36">
        <f t="shared" si="49"/>
        <v>27521.232649544374</v>
      </c>
      <c r="P54" s="99">
        <f t="shared" si="50"/>
        <v>27521.232649544374</v>
      </c>
      <c r="Q54" s="115">
        <v>0.3</v>
      </c>
      <c r="R54" s="36">
        <f t="shared" si="51"/>
        <v>29257.157317020952</v>
      </c>
      <c r="S54" s="99">
        <f t="shared" si="52"/>
        <v>29257.157317020952</v>
      </c>
      <c r="T54" s="101">
        <f t="shared" si="53"/>
        <v>0.58220000000000005</v>
      </c>
      <c r="U54" s="99">
        <f t="shared" si="54"/>
        <v>50742.842682979048</v>
      </c>
      <c r="V54" s="100">
        <f t="shared" si="64"/>
        <v>196.42747821802013</v>
      </c>
      <c r="W54" s="100">
        <f t="shared" si="65"/>
        <v>252.9907348456812</v>
      </c>
      <c r="X54" s="99">
        <f t="shared" si="66"/>
        <v>196.42747821802013</v>
      </c>
      <c r="Y54" s="55">
        <v>13</v>
      </c>
      <c r="AA54" s="97"/>
      <c r="AB54" s="97"/>
      <c r="AC54" s="97"/>
      <c r="AD54" s="98"/>
    </row>
    <row r="55" spans="1:31" x14ac:dyDescent="0.3">
      <c r="B55" s="78">
        <f t="shared" si="46"/>
        <v>1.0822510822510823E-3</v>
      </c>
      <c r="C55" s="110">
        <v>3135</v>
      </c>
      <c r="D55" s="111">
        <v>0.25</v>
      </c>
      <c r="E55" s="111">
        <v>0.03</v>
      </c>
      <c r="F55" s="110">
        <v>231</v>
      </c>
      <c r="G55" s="112">
        <v>1</v>
      </c>
      <c r="H55" s="113">
        <v>120000</v>
      </c>
      <c r="I55" s="99">
        <f t="shared" si="47"/>
        <v>120000</v>
      </c>
      <c r="J55" s="100">
        <f t="shared" si="67"/>
        <v>664.93506493506493</v>
      </c>
      <c r="K55" s="100">
        <f t="shared" si="62"/>
        <v>731.13666493506491</v>
      </c>
      <c r="L55" s="99">
        <f t="shared" si="63"/>
        <v>664.93506493506493</v>
      </c>
      <c r="M55" s="35">
        <f t="shared" si="48"/>
        <v>731.13666493506491</v>
      </c>
      <c r="N55" s="114">
        <v>0.28670000000000001</v>
      </c>
      <c r="O55" s="36">
        <f t="shared" si="49"/>
        <v>41940.135013949533</v>
      </c>
      <c r="P55" s="99">
        <f t="shared" si="50"/>
        <v>41940.135013949533</v>
      </c>
      <c r="Q55" s="115">
        <v>0.3</v>
      </c>
      <c r="R55" s="36">
        <f t="shared" si="51"/>
        <v>43885.735975531425</v>
      </c>
      <c r="S55" s="99">
        <f t="shared" si="52"/>
        <v>43885.735975531425</v>
      </c>
      <c r="T55" s="101">
        <f t="shared" si="53"/>
        <v>0.5867</v>
      </c>
      <c r="U55" s="99">
        <f t="shared" si="54"/>
        <v>76114.264024468575</v>
      </c>
      <c r="V55" s="100">
        <f t="shared" si="64"/>
        <v>291.77910411123469</v>
      </c>
      <c r="W55" s="100">
        <f t="shared" si="65"/>
        <v>375.7998149311058</v>
      </c>
      <c r="X55" s="99">
        <f t="shared" si="66"/>
        <v>291.77910411123469</v>
      </c>
      <c r="Y55" s="55">
        <v>9</v>
      </c>
      <c r="AA55" s="97"/>
      <c r="AB55" s="97"/>
      <c r="AC55" s="97"/>
      <c r="AD55" s="98"/>
    </row>
    <row r="56" spans="1:31" x14ac:dyDescent="0.3">
      <c r="B56" s="78">
        <f t="shared" si="46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7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E61</f>
        <v>0</v>
      </c>
      <c r="AC56" s="97">
        <f>AVERAGE(F56:F60)</f>
        <v>227.6</v>
      </c>
      <c r="AD56" s="98">
        <f>E68</f>
        <v>0</v>
      </c>
    </row>
    <row r="57" spans="1:31" x14ac:dyDescent="0.3">
      <c r="B57" s="78">
        <f t="shared" si="46"/>
        <v>1.0638297872340426E-3</v>
      </c>
      <c r="C57" s="110">
        <v>3142</v>
      </c>
      <c r="D57" s="111">
        <v>0.25</v>
      </c>
      <c r="E57" s="111">
        <v>0.03</v>
      </c>
      <c r="F57" s="110">
        <v>235</v>
      </c>
      <c r="G57" s="112">
        <v>1</v>
      </c>
      <c r="H57" s="113">
        <v>120000</v>
      </c>
      <c r="I57" s="99">
        <f t="shared" si="47"/>
        <v>120000</v>
      </c>
      <c r="J57" s="100">
        <f t="shared" ref="J57" si="68">IFERROR(((H57*(1+SUM(D57:E57)))/F57),"-")</f>
        <v>653.61702127659578</v>
      </c>
      <c r="K57" s="100">
        <f t="shared" ref="K57" si="69">IFERROR((J57*(1+F57*0.0431%)),"-")</f>
        <v>719.81862127659588</v>
      </c>
      <c r="L57" s="99">
        <f t="shared" ref="L57" si="70">IFERROR(J57*G57,"-")</f>
        <v>653.61702127659578</v>
      </c>
      <c r="M57" s="35">
        <f t="shared" si="48"/>
        <v>719.81862127659588</v>
      </c>
      <c r="N57" s="114">
        <v>0.25</v>
      </c>
      <c r="O57" s="36">
        <f t="shared" si="49"/>
        <v>36571.446646276192</v>
      </c>
      <c r="P57" s="99">
        <f t="shared" si="50"/>
        <v>36571.446646276192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0.55000000000000004</v>
      </c>
      <c r="U57" s="99">
        <f t="shared" si="54"/>
        <v>76114.264024468575</v>
      </c>
      <c r="V57" s="100">
        <f t="shared" ref="V57" si="71">IFERROR(((($H57*(1+D57+E57))-(O57+R57)-J57)/($F57-1)),"-")</f>
        <v>309.78290750818712</v>
      </c>
      <c r="W57" s="100">
        <f t="shared" ref="W57" si="72">IFERROR((V57*(1+($F57-1)*0.1252%)),"-")</f>
        <v>400.53938635504574</v>
      </c>
      <c r="X57" s="99">
        <f t="shared" ref="X57" si="73">IFERROR(V57*G57,"-")</f>
        <v>309.78290750818712</v>
      </c>
      <c r="Y57" s="55">
        <v>14</v>
      </c>
      <c r="AA57" s="97"/>
      <c r="AB57" s="97"/>
      <c r="AC57" s="97"/>
      <c r="AD57" s="98"/>
    </row>
    <row r="58" spans="1:31" x14ac:dyDescent="0.3">
      <c r="B58" s="78">
        <f t="shared" si="46"/>
        <v>1.0593220338983051E-3</v>
      </c>
      <c r="C58" s="110">
        <v>3143</v>
      </c>
      <c r="D58" s="111">
        <v>0.25</v>
      </c>
      <c r="E58" s="111">
        <v>0.03</v>
      </c>
      <c r="F58" s="110">
        <v>236</v>
      </c>
      <c r="G58" s="112">
        <v>1</v>
      </c>
      <c r="H58" s="113">
        <v>80000</v>
      </c>
      <c r="I58" s="99">
        <f t="shared" si="47"/>
        <v>80000</v>
      </c>
      <c r="J58" s="100">
        <f t="shared" si="55"/>
        <v>433.89830508474574</v>
      </c>
      <c r="K58" s="100">
        <f t="shared" si="56"/>
        <v>478.03270508474571</v>
      </c>
      <c r="L58" s="99">
        <f t="shared" si="57"/>
        <v>433.89830508474574</v>
      </c>
      <c r="M58" s="35">
        <f t="shared" si="48"/>
        <v>478.03270508474571</v>
      </c>
      <c r="N58" s="114">
        <v>0.24</v>
      </c>
      <c r="O58" s="36">
        <f t="shared" si="49"/>
        <v>23405.725853616761</v>
      </c>
      <c r="P58" s="99">
        <f t="shared" si="50"/>
        <v>23405.725853616761</v>
      </c>
      <c r="Q58" s="115">
        <v>0.3</v>
      </c>
      <c r="R58" s="36">
        <f t="shared" si="51"/>
        <v>29257.157317020952</v>
      </c>
      <c r="S58" s="99">
        <f t="shared" si="52"/>
        <v>29257.157317020952</v>
      </c>
      <c r="T58" s="101">
        <f t="shared" si="53"/>
        <v>0.54</v>
      </c>
      <c r="U58" s="99">
        <f t="shared" si="54"/>
        <v>50742.842682979048</v>
      </c>
      <c r="V58" s="100">
        <f t="shared" si="58"/>
        <v>209.80092989054273</v>
      </c>
      <c r="W58" s="100">
        <f t="shared" si="59"/>
        <v>271.52855948293825</v>
      </c>
      <c r="X58" s="99">
        <f t="shared" si="60"/>
        <v>209.80092989054273</v>
      </c>
      <c r="Y58" s="55">
        <v>9</v>
      </c>
      <c r="AA58" s="97"/>
      <c r="AB58" s="97"/>
      <c r="AC58" s="97"/>
      <c r="AD58" s="98"/>
    </row>
    <row r="59" spans="1:31" x14ac:dyDescent="0.3">
      <c r="B59" s="78">
        <f t="shared" si="46"/>
        <v>1.173469387755102E-3</v>
      </c>
      <c r="C59" s="110">
        <v>3144</v>
      </c>
      <c r="D59" s="111">
        <v>0.23</v>
      </c>
      <c r="E59" s="111">
        <v>0.03</v>
      </c>
      <c r="F59" s="110">
        <v>196</v>
      </c>
      <c r="G59" s="112">
        <v>1</v>
      </c>
      <c r="H59" s="113">
        <v>200000</v>
      </c>
      <c r="I59" s="99">
        <f t="shared" si="47"/>
        <v>200000</v>
      </c>
      <c r="J59" s="100">
        <f>IFERROR(((H59*(1+SUM(D59:E59)))/F59),"-")</f>
        <v>1285.7142857142858</v>
      </c>
      <c r="K59" s="100">
        <f>IFERROR((J59*(1+F59*0.0431%)),"-")</f>
        <v>1394.3262857142859</v>
      </c>
      <c r="L59" s="99">
        <f>IFERROR(J59*G59,"-")</f>
        <v>1285.7142857142858</v>
      </c>
      <c r="M59" s="35">
        <f t="shared" si="48"/>
        <v>1394.3262857142859</v>
      </c>
      <c r="N59" s="114">
        <v>0.28000000000000003</v>
      </c>
      <c r="O59" s="36">
        <f t="shared" si="49"/>
        <v>67200.033212532493</v>
      </c>
      <c r="P59" s="99">
        <f t="shared" si="50"/>
        <v>67200.033212532493</v>
      </c>
      <c r="Q59" s="115">
        <v>0.3</v>
      </c>
      <c r="R59" s="36">
        <f t="shared" si="51"/>
        <v>72000.035584856247</v>
      </c>
      <c r="S59" s="99">
        <f t="shared" si="52"/>
        <v>72000.035584856247</v>
      </c>
      <c r="T59" s="101">
        <f t="shared" si="53"/>
        <v>0.58000000000000007</v>
      </c>
      <c r="U59" s="99">
        <f t="shared" si="54"/>
        <v>127999.96441514375</v>
      </c>
      <c r="V59" s="100">
        <f>IFERROR(((($H59*(1+D59+E59))-(O59+R59)-J59)/($F59-1)),"-")</f>
        <v>571.86777906101008</v>
      </c>
      <c r="W59" s="100">
        <f>IFERROR((V59*(1+($F59-1)*0.1252%)),"-")</f>
        <v>711.48357864096511</v>
      </c>
      <c r="X59" s="99">
        <f>IFERROR(V59*G59,"-")</f>
        <v>571.86777906101008</v>
      </c>
      <c r="Y59" s="55">
        <v>5</v>
      </c>
      <c r="AA59" s="97">
        <f>E67</f>
        <v>152006.97655150178</v>
      </c>
      <c r="AB59" s="97">
        <f>E68</f>
        <v>0</v>
      </c>
      <c r="AC59" s="97">
        <f>AVERAGE(F59:F62)</f>
        <v>216</v>
      </c>
      <c r="AD59" s="98">
        <f>E75</f>
        <v>0</v>
      </c>
    </row>
    <row r="60" spans="1:31" x14ac:dyDescent="0.3">
      <c r="B60" s="78">
        <f t="shared" si="46"/>
        <v>1.0593220338983051E-3</v>
      </c>
      <c r="C60" s="110">
        <v>3145</v>
      </c>
      <c r="D60" s="111">
        <v>0.25</v>
      </c>
      <c r="E60" s="111">
        <v>0.03</v>
      </c>
      <c r="F60" s="110">
        <v>236</v>
      </c>
      <c r="G60" s="112">
        <v>1</v>
      </c>
      <c r="H60" s="113">
        <v>120000</v>
      </c>
      <c r="I60" s="99">
        <f t="shared" si="47"/>
        <v>120000</v>
      </c>
      <c r="J60" s="100">
        <f t="shared" ref="J60" si="74">IFERROR(((H60*(1+SUM(D60:E60)))/F60),"-")</f>
        <v>650.84745762711862</v>
      </c>
      <c r="K60" s="100">
        <f t="shared" ref="K60" si="75">IFERROR((J60*(1+F60*0.0431%)),"-")</f>
        <v>717.0490576271186</v>
      </c>
      <c r="L60" s="99">
        <f t="shared" ref="L60" si="76">IFERROR(J60*G60,"-")</f>
        <v>650.84745762711862</v>
      </c>
      <c r="M60" s="35">
        <f t="shared" si="48"/>
        <v>717.0490576271186</v>
      </c>
      <c r="N60" s="114">
        <v>0.21</v>
      </c>
      <c r="O60" s="36">
        <f t="shared" si="49"/>
        <v>30720.015182871997</v>
      </c>
      <c r="P60" s="99">
        <f t="shared" si="50"/>
        <v>30720.015182871997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0.51</v>
      </c>
      <c r="U60" s="99">
        <f t="shared" si="54"/>
        <v>76114.264024468575</v>
      </c>
      <c r="V60" s="100">
        <f t="shared" ref="V60" si="77">IFERROR(((($H60*(1+D60+E60))-(O60+R60)-J60)/($F60-1)),"-")</f>
        <v>333.37617610199766</v>
      </c>
      <c r="W60" s="100">
        <f t="shared" ref="W60" si="78">IFERROR((V60*(1+($F60-1)*0.1252%)),"-")</f>
        <v>431.46211463472747</v>
      </c>
      <c r="X60" s="99">
        <f t="shared" ref="X60" si="79">IFERROR(V60*G60,"-")</f>
        <v>333.37617610199766</v>
      </c>
      <c r="Y60" s="55">
        <v>10</v>
      </c>
      <c r="AA60" s="97"/>
      <c r="AB60" s="97"/>
      <c r="AC60" s="97"/>
      <c r="AD60" s="98"/>
    </row>
    <row r="61" spans="1:31" x14ac:dyDescent="0.3">
      <c r="B61" s="78"/>
      <c r="C61" s="32"/>
      <c r="D61" s="33"/>
      <c r="E61" s="33"/>
      <c r="F61" s="32"/>
      <c r="G61" s="34"/>
      <c r="H61" s="35"/>
      <c r="I61" s="35"/>
      <c r="J61" s="36"/>
      <c r="K61" s="36"/>
      <c r="L61" s="35"/>
      <c r="M61" s="35"/>
      <c r="N61" s="87"/>
      <c r="O61" s="36"/>
      <c r="P61" s="35"/>
      <c r="Q61" s="37"/>
      <c r="R61" s="36"/>
      <c r="S61" s="35"/>
      <c r="T61" s="87"/>
      <c r="U61" s="35"/>
      <c r="V61" s="36"/>
      <c r="W61" s="36"/>
      <c r="X61" s="35"/>
    </row>
    <row r="62" spans="1:31" s="108" customFormat="1" ht="52.5" customHeight="1" x14ac:dyDescent="0.3">
      <c r="A62" s="105"/>
      <c r="B62" s="106"/>
      <c r="C62" s="39" t="s">
        <v>43</v>
      </c>
      <c r="D62" s="76" t="e">
        <f>SUMPRODUCT(#REF!,#REF!)/SUM(#REF!)</f>
        <v>#REF!</v>
      </c>
      <c r="E62" s="107"/>
      <c r="F62" s="39" t="s">
        <v>22</v>
      </c>
      <c r="G62" s="40">
        <f t="shared" ref="G62:M62" si="80">SUM(G9:G61)</f>
        <v>52</v>
      </c>
      <c r="H62" s="41">
        <f t="shared" si="80"/>
        <v>14356929.959999999</v>
      </c>
      <c r="I62" s="41">
        <f t="shared" si="80"/>
        <v>14356929.959999999</v>
      </c>
      <c r="J62" s="42">
        <f t="shared" si="80"/>
        <v>152006.97655150178</v>
      </c>
      <c r="K62" s="42">
        <f t="shared" si="80"/>
        <v>159768.27721292336</v>
      </c>
      <c r="L62" s="41">
        <f t="shared" si="80"/>
        <v>152006.97655150178</v>
      </c>
      <c r="M62" s="41">
        <f t="shared" si="80"/>
        <v>159768.27721292336</v>
      </c>
      <c r="N62" s="43">
        <f>IFERROR(SUMPRODUCT(H9:H61,N9:N61)/H62,"-")</f>
        <v>0.24134633210748077</v>
      </c>
      <c r="O62" s="42">
        <f>SUM(O9:O61)</f>
        <v>4146126.4485178785</v>
      </c>
      <c r="P62" s="41">
        <f>SUM(P9:P61)</f>
        <v>4146126.4485178785</v>
      </c>
      <c r="Q62" s="43">
        <f>IFERROR(SUMPRODUCT(H9:H61,Q9:Q61)/H62,"-")</f>
        <v>0.3000000000000001</v>
      </c>
      <c r="R62" s="42">
        <f>SUM(R9:R61)</f>
        <v>5145047.7277568541</v>
      </c>
      <c r="S62" s="41">
        <f>SUM(S9:S61)</f>
        <v>5145047.7277568541</v>
      </c>
      <c r="T62" s="43">
        <f>IFERROR(Q62+N62,"-")</f>
        <v>0.54134633210748084</v>
      </c>
      <c r="U62" s="41">
        <f>SUM(U9:U61)</f>
        <v>9211882.232243143</v>
      </c>
      <c r="V62" s="42">
        <f>SUM(V9:V61)</f>
        <v>73694.608704373968</v>
      </c>
      <c r="W62" s="42">
        <f>SUM(W9:W61)</f>
        <v>84417.333901267339</v>
      </c>
      <c r="X62" s="41">
        <f>SUM(X9:X61)</f>
        <v>73694.608704373968</v>
      </c>
      <c r="AA62" s="109"/>
      <c r="AB62" s="109"/>
      <c r="AC62" s="109"/>
      <c r="AD62" s="109"/>
      <c r="AE62" s="109"/>
    </row>
    <row r="63" spans="1:31" x14ac:dyDescent="0.3">
      <c r="B63" s="75"/>
      <c r="D63" s="75"/>
      <c r="H63" s="44"/>
      <c r="I63" s="44"/>
      <c r="J63" s="44"/>
      <c r="K63" s="44"/>
      <c r="L63" s="44"/>
      <c r="M63" s="44"/>
      <c r="N63" s="7"/>
      <c r="O63" s="44"/>
      <c r="P63" s="44"/>
      <c r="Q63" s="7"/>
      <c r="R63" s="44"/>
      <c r="S63" s="44"/>
      <c r="U63" s="44"/>
      <c r="V63" s="44"/>
      <c r="W63" s="44"/>
    </row>
    <row r="64" spans="1:31" ht="21.6" thickBot="1" x14ac:dyDescent="0.45">
      <c r="B64" s="31"/>
      <c r="C64" s="45" t="s">
        <v>30</v>
      </c>
      <c r="H64" s="65"/>
      <c r="I64" s="65"/>
      <c r="J64" s="65"/>
      <c r="N64" s="44"/>
    </row>
    <row r="65" spans="1:26" x14ac:dyDescent="0.3">
      <c r="C65" s="17"/>
      <c r="D65" s="17"/>
      <c r="E65" s="17"/>
      <c r="F65" s="17"/>
      <c r="G65" s="20"/>
      <c r="H65" s="20"/>
      <c r="I65" s="20"/>
      <c r="J65" s="20"/>
      <c r="K65" s="46"/>
      <c r="L65" s="20"/>
      <c r="M65" s="20"/>
      <c r="N65" s="21"/>
      <c r="O65" s="22"/>
      <c r="P65" s="22"/>
      <c r="Q65" s="23"/>
      <c r="R65" s="24"/>
      <c r="S65" s="24"/>
      <c r="T65" s="25"/>
      <c r="U65" s="25"/>
      <c r="V65" s="25"/>
      <c r="W65" s="25"/>
      <c r="X65" s="25"/>
      <c r="Z65" s="26"/>
    </row>
    <row r="66" spans="1:26" x14ac:dyDescent="0.3">
      <c r="C66" s="123" t="s">
        <v>31</v>
      </c>
      <c r="D66" s="123"/>
      <c r="E66" s="137">
        <f>I62</f>
        <v>14356929.959999999</v>
      </c>
      <c r="F66" s="137"/>
      <c r="H66" s="13"/>
      <c r="I66" s="89"/>
      <c r="L66" s="49"/>
      <c r="N66" s="44"/>
      <c r="P66" s="44"/>
      <c r="Z66" s="50"/>
    </row>
    <row r="67" spans="1:26" x14ac:dyDescent="0.3">
      <c r="C67" s="130" t="s">
        <v>4</v>
      </c>
      <c r="D67" s="130"/>
      <c r="E67" s="131">
        <f>L62</f>
        <v>152006.97655150178</v>
      </c>
      <c r="F67" s="131"/>
      <c r="G67" s="50"/>
      <c r="H67" s="13"/>
      <c r="L67" s="49"/>
      <c r="N67"/>
      <c r="P67" s="44"/>
    </row>
    <row r="68" spans="1:26" ht="12.75" customHeight="1" x14ac:dyDescent="0.3">
      <c r="H68" s="13"/>
    </row>
    <row r="69" spans="1:26" ht="15.75" customHeight="1" x14ac:dyDescent="0.3">
      <c r="C69" s="123" t="s">
        <v>32</v>
      </c>
      <c r="D69" s="123"/>
      <c r="E69" s="132">
        <f>P62+S62</f>
        <v>9291174.1762747318</v>
      </c>
      <c r="F69" s="132"/>
      <c r="H69" s="39" t="s">
        <v>54</v>
      </c>
      <c r="I69" s="64"/>
      <c r="J69" s="64"/>
    </row>
    <row r="70" spans="1:26" ht="15.6" x14ac:dyDescent="0.3">
      <c r="C70" s="121" t="s">
        <v>53</v>
      </c>
      <c r="D70" s="121"/>
      <c r="E70" s="122">
        <f>P62</f>
        <v>4146126.4485178785</v>
      </c>
      <c r="F70" s="122"/>
      <c r="G70" s="53"/>
      <c r="H70" s="40">
        <f>AVERAGE(F9:F60)</f>
        <v>152.01923076923077</v>
      </c>
      <c r="I70" s="64"/>
      <c r="J70" s="64"/>
      <c r="L70" s="54"/>
      <c r="M70" s="54"/>
      <c r="N70" s="54"/>
    </row>
    <row r="71" spans="1:26" x14ac:dyDescent="0.3">
      <c r="C71" s="121" t="s">
        <v>34</v>
      </c>
      <c r="D71" s="121"/>
      <c r="E71" s="122">
        <f>S62</f>
        <v>5145047.7277568541</v>
      </c>
      <c r="F71" s="122"/>
      <c r="G71" s="88"/>
      <c r="H71" s="44"/>
      <c r="M71"/>
      <c r="S71"/>
    </row>
    <row r="72" spans="1:26" ht="6.9" customHeight="1" x14ac:dyDescent="0.3">
      <c r="C72" s="51"/>
      <c r="D72" s="51"/>
      <c r="E72" s="51"/>
      <c r="F72" s="51"/>
      <c r="G72" s="51"/>
      <c r="I72" s="1"/>
      <c r="L72"/>
      <c r="M72"/>
    </row>
    <row r="73" spans="1:26" ht="15" customHeight="1" x14ac:dyDescent="0.3">
      <c r="C73" s="123" t="s">
        <v>35</v>
      </c>
      <c r="D73" s="123"/>
      <c r="E73" s="124">
        <f>U62</f>
        <v>9211882.232243143</v>
      </c>
      <c r="F73" s="125"/>
      <c r="G73" s="51"/>
      <c r="H73" s="65"/>
      <c r="I73" s="13"/>
    </row>
    <row r="74" spans="1:26" x14ac:dyDescent="0.3">
      <c r="C74" s="121" t="s">
        <v>7</v>
      </c>
      <c r="D74" s="121"/>
      <c r="E74" s="122">
        <f>X62</f>
        <v>73694.608704373968</v>
      </c>
      <c r="F74" s="122"/>
      <c r="G74" s="51"/>
      <c r="H74" s="13"/>
      <c r="I74" s="1"/>
    </row>
    <row r="75" spans="1:26" x14ac:dyDescent="0.3">
      <c r="I75" s="55"/>
    </row>
    <row r="76" spans="1:26" hidden="1" x14ac:dyDescent="0.3">
      <c r="A76" s="2"/>
      <c r="C76" s="84" t="s">
        <v>48</v>
      </c>
      <c r="N76" s="44"/>
      <c r="S76" s="57"/>
      <c r="X76" s="57"/>
    </row>
    <row r="77" spans="1:26" hidden="1" x14ac:dyDescent="0.3">
      <c r="A77" s="2"/>
    </row>
    <row r="78" spans="1:26" hidden="1" x14ac:dyDescent="0.3">
      <c r="A78" s="2"/>
    </row>
    <row r="79" spans="1:26" hidden="1" x14ac:dyDescent="0.3">
      <c r="A79" s="2"/>
    </row>
    <row r="80" spans="1:26" hidden="1" x14ac:dyDescent="0.3">
      <c r="A80" s="2"/>
    </row>
    <row r="81" spans="3:4" hidden="1" x14ac:dyDescent="0.3">
      <c r="C81" s="118" t="s">
        <v>55</v>
      </c>
      <c r="D81" s="116">
        <f>E73-E70</f>
        <v>5065755.7837252645</v>
      </c>
    </row>
    <row r="82" spans="3:4" hidden="1" x14ac:dyDescent="0.3">
      <c r="C82" s="118" t="s">
        <v>57</v>
      </c>
      <c r="D82" s="117">
        <f>AVERAGE(D9:D60:E9:E60)*2</f>
        <v>0.26144230769230742</v>
      </c>
    </row>
    <row r="83" spans="3:4" hidden="1" x14ac:dyDescent="0.3">
      <c r="C83" s="118" t="s">
        <v>56</v>
      </c>
      <c r="D83" s="116">
        <f>E66*D82</f>
        <v>3753508.9001192264</v>
      </c>
    </row>
    <row r="84" spans="3:4" x14ac:dyDescent="0.3">
      <c r="C84" s="118" t="s">
        <v>59</v>
      </c>
      <c r="D84" s="119">
        <f>(D83/D81)/H70</f>
        <v>4.8741026397379171E-3</v>
      </c>
    </row>
    <row r="85" spans="3:4" x14ac:dyDescent="0.3">
      <c r="C85" s="118" t="s">
        <v>60</v>
      </c>
      <c r="D85" s="119">
        <f>D84*12</f>
        <v>5.8489231676855005E-2</v>
      </c>
    </row>
    <row r="86" spans="3:4" x14ac:dyDescent="0.3"/>
    <row r="87" spans="3:4" x14ac:dyDescent="0.3"/>
    <row r="88" spans="3:4" x14ac:dyDescent="0.3"/>
    <row r="89" spans="3:4" x14ac:dyDescent="0.3"/>
    <row r="90" spans="3:4" x14ac:dyDescent="0.3"/>
    <row r="91" spans="3:4" x14ac:dyDescent="0.3"/>
    <row r="92" spans="3:4" x14ac:dyDescent="0.3"/>
    <row r="93" spans="3:4" x14ac:dyDescent="0.3"/>
    <row r="94" spans="3:4" x14ac:dyDescent="0.3"/>
    <row r="95" spans="3:4" x14ac:dyDescent="0.3"/>
    <row r="96" spans="3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4:D74"/>
    <mergeCell ref="E74:F74"/>
    <mergeCell ref="C70:D70"/>
    <mergeCell ref="E70:F70"/>
    <mergeCell ref="C71:D71"/>
    <mergeCell ref="E71:F71"/>
    <mergeCell ref="C73:D73"/>
    <mergeCell ref="E73:F73"/>
    <mergeCell ref="C66:D66"/>
    <mergeCell ref="E66:F66"/>
    <mergeCell ref="C67:D67"/>
    <mergeCell ref="E67:F67"/>
    <mergeCell ref="C69:D69"/>
    <mergeCell ref="E69:F69"/>
    <mergeCell ref="V7:V8"/>
    <mergeCell ref="W7:W8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2732-D094-44A5-A985-436AD84F6E05}">
  <dimension ref="A1:AE211"/>
  <sheetViews>
    <sheetView workbookViewId="0">
      <selection activeCell="E2" sqref="E2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3" si="0">D9/F9</f>
        <v>4.8148148148148152E-3</v>
      </c>
      <c r="C9" s="110">
        <v>5011</v>
      </c>
      <c r="D9" s="111">
        <v>0.13</v>
      </c>
      <c r="E9" s="111">
        <v>0.06</v>
      </c>
      <c r="F9" s="110">
        <v>27</v>
      </c>
      <c r="G9" s="112">
        <v>1</v>
      </c>
      <c r="H9" s="113">
        <v>364727.05</v>
      </c>
      <c r="I9" s="99">
        <f t="shared" ref="I9:I23" si="1">H9*G9</f>
        <v>364727.05</v>
      </c>
      <c r="J9" s="100">
        <f t="shared" ref="J9:J14" si="2">IFERROR(((H9*(1+SUM(D9:E9)))/F9),"-")</f>
        <v>16075.007018518518</v>
      </c>
      <c r="K9" s="100">
        <f t="shared" ref="K9:K14" si="3">IFERROR((J9*(1+F9*0.0431%)),"-")</f>
        <v>16262.071875193016</v>
      </c>
      <c r="L9" s="99">
        <f t="shared" ref="L9:L14" si="4">IFERROR(J9*G9,"-")</f>
        <v>16075.007018518518</v>
      </c>
      <c r="M9" s="35">
        <f t="shared" ref="M9:M23" si="5">K9*G9</f>
        <v>16262.071875193016</v>
      </c>
      <c r="N9" s="114">
        <v>0</v>
      </c>
      <c r="O9" s="36">
        <f t="shared" ref="O9:O23" si="6">((N9*($H9*(1+D9+E9)))*$Q$1)</f>
        <v>0</v>
      </c>
      <c r="P9" s="99">
        <f t="shared" ref="P9:P23" si="7">O9*G9</f>
        <v>0</v>
      </c>
      <c r="Q9" s="115">
        <v>0.1057</v>
      </c>
      <c r="R9" s="36">
        <f t="shared" ref="R9:R23" si="8">((Q9*($H9*(1+D9+E9)))*$Q$1)</f>
        <v>43691.890670345558</v>
      </c>
      <c r="S9" s="99">
        <f t="shared" ref="S9:S23" si="9">R9*G9</f>
        <v>43691.890670345558</v>
      </c>
      <c r="T9" s="101">
        <f t="shared" ref="T9:T23" si="10">(N9+Q9)</f>
        <v>0.1057</v>
      </c>
      <c r="U9" s="99">
        <f t="shared" ref="U9:U23" si="11">(I9)-S9</f>
        <v>321035.15932965442</v>
      </c>
      <c r="V9" s="100">
        <f t="shared" ref="V9:V14" si="12">IFERROR(((($H9*(1+D9+E9))-(O9+R9)-J9)/($F9-1)),"-")</f>
        <v>14394.549685043688</v>
      </c>
      <c r="W9" s="100">
        <f t="shared" ref="W9:W14" si="13">IFERROR((V9*(1+($F9-1)*0.1252%)),"-")</f>
        <v>14863.12106639123</v>
      </c>
      <c r="X9" s="99">
        <f t="shared" ref="X9:X14" si="14">IFERROR(V9*G9,"-")</f>
        <v>14394.549685043688</v>
      </c>
      <c r="Y9" s="55">
        <v>3</v>
      </c>
      <c r="AA9" s="97"/>
      <c r="AB9" s="97"/>
      <c r="AC9" s="97"/>
      <c r="AD9" s="98"/>
    </row>
    <row r="10" spans="1:31" x14ac:dyDescent="0.3">
      <c r="B10" s="78">
        <f t="shared" ref="B10" si="15">D10/F10</f>
        <v>3.5135135135135136E-3</v>
      </c>
      <c r="C10" s="110">
        <v>5012</v>
      </c>
      <c r="D10" s="111">
        <v>0.13</v>
      </c>
      <c r="E10" s="111">
        <v>0.06</v>
      </c>
      <c r="F10" s="110">
        <v>37</v>
      </c>
      <c r="G10" s="112">
        <v>1</v>
      </c>
      <c r="H10" s="113">
        <v>364727.05</v>
      </c>
      <c r="I10" s="99">
        <f t="shared" ref="I10" si="16">H10*G10</f>
        <v>364727.05</v>
      </c>
      <c r="J10" s="100">
        <f t="shared" ref="J10" si="17">IFERROR(((H10*(1+SUM(D10:E10)))/F10),"-")</f>
        <v>11730.410527027027</v>
      </c>
      <c r="K10" s="100">
        <f t="shared" ref="K10" si="18">IFERROR((J10*(1+F10*0.0431%)),"-")</f>
        <v>11917.475383701525</v>
      </c>
      <c r="L10" s="99">
        <f t="shared" ref="L10" si="19">IFERROR(J10*G10,"-")</f>
        <v>11730.410527027027</v>
      </c>
      <c r="M10" s="35">
        <f t="shared" ref="M10" si="20">K10*G10</f>
        <v>11917.475383701525</v>
      </c>
      <c r="N10" s="114">
        <v>0</v>
      </c>
      <c r="O10" s="36">
        <f t="shared" ref="O10" si="21">((N10*($H10*(1+D10+E10)))*$Q$1)</f>
        <v>0</v>
      </c>
      <c r="P10" s="99">
        <f t="shared" ref="P10" si="22">O10*G10</f>
        <v>0</v>
      </c>
      <c r="Q10" s="115">
        <v>0.17</v>
      </c>
      <c r="R10" s="36">
        <f t="shared" ref="R10" si="23">((Q10*($H10*(1+D10+E10)))*$Q$1)</f>
        <v>70270.779696866084</v>
      </c>
      <c r="S10" s="99">
        <f t="shared" ref="S10" si="24">R10*G10</f>
        <v>70270.779696866084</v>
      </c>
      <c r="T10" s="101">
        <f t="shared" ref="T10" si="25">(N10+Q10)</f>
        <v>0.17</v>
      </c>
      <c r="U10" s="99">
        <f t="shared" ref="U10" si="26">(I10)-S10</f>
        <v>294456.27030313388</v>
      </c>
      <c r="V10" s="100">
        <f t="shared" ref="V10" si="27">IFERROR(((($H10*(1+D10+E10))-(O10+R10)-J10)/($F10-1)),"-")</f>
        <v>9778.4444243363032</v>
      </c>
      <c r="W10" s="100">
        <f t="shared" ref="W10" si="28">IFERROR((V10*(1+($F10-1)*0.1252%)),"-")</f>
        <v>10219.178471429988</v>
      </c>
      <c r="X10" s="99">
        <f t="shared" ref="X10" si="29">IFERROR(V10*G10,"-")</f>
        <v>9778.4444243363032</v>
      </c>
      <c r="Y10" s="55">
        <v>3</v>
      </c>
      <c r="AA10" s="97"/>
      <c r="AB10" s="97"/>
      <c r="AC10" s="97"/>
      <c r="AD10" s="98"/>
    </row>
    <row r="11" spans="1:31" ht="14.25" customHeight="1" x14ac:dyDescent="0.3">
      <c r="B11" s="78">
        <f t="shared" si="0"/>
        <v>3.0232558139534887E-3</v>
      </c>
      <c r="C11" s="110">
        <v>5013</v>
      </c>
      <c r="D11" s="111">
        <v>0.13</v>
      </c>
      <c r="E11" s="111">
        <v>0.06</v>
      </c>
      <c r="F11" s="110">
        <v>43</v>
      </c>
      <c r="G11" s="112">
        <v>1</v>
      </c>
      <c r="H11" s="113">
        <v>364727.05</v>
      </c>
      <c r="I11" s="99">
        <f t="shared" si="1"/>
        <v>364727.05</v>
      </c>
      <c r="J11" s="100">
        <f t="shared" si="2"/>
        <v>10093.609058139535</v>
      </c>
      <c r="K11" s="100">
        <f t="shared" si="3"/>
        <v>10280.673914814033</v>
      </c>
      <c r="L11" s="99">
        <f t="shared" si="4"/>
        <v>10093.609058139535</v>
      </c>
      <c r="M11" s="35">
        <f t="shared" si="5"/>
        <v>10280.673914814033</v>
      </c>
      <c r="N11" s="114">
        <v>0</v>
      </c>
      <c r="O11" s="36">
        <f t="shared" si="6"/>
        <v>0</v>
      </c>
      <c r="P11" s="99">
        <f t="shared" si="7"/>
        <v>0</v>
      </c>
      <c r="Q11" s="115">
        <v>0.17</v>
      </c>
      <c r="R11" s="36">
        <f t="shared" si="8"/>
        <v>70270.779696866084</v>
      </c>
      <c r="S11" s="99">
        <f t="shared" si="9"/>
        <v>70270.779696866084</v>
      </c>
      <c r="T11" s="101">
        <f t="shared" si="10"/>
        <v>0.17</v>
      </c>
      <c r="U11" s="99">
        <f t="shared" si="11"/>
        <v>294456.27030313388</v>
      </c>
      <c r="V11" s="100">
        <f t="shared" si="12"/>
        <v>8420.4952558331988</v>
      </c>
      <c r="W11" s="100">
        <f t="shared" si="13"/>
        <v>8863.278578365931</v>
      </c>
      <c r="X11" s="99">
        <f t="shared" si="14"/>
        <v>8420.4952558331988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2.7083333333333334E-3</v>
      </c>
      <c r="C12" s="110">
        <v>5014</v>
      </c>
      <c r="D12" s="111">
        <v>0.13</v>
      </c>
      <c r="E12" s="111">
        <v>0.06</v>
      </c>
      <c r="F12" s="110">
        <v>48</v>
      </c>
      <c r="G12" s="112">
        <v>1</v>
      </c>
      <c r="H12" s="113">
        <v>364727.05</v>
      </c>
      <c r="I12" s="99">
        <f t="shared" si="1"/>
        <v>364727.05</v>
      </c>
      <c r="J12" s="100">
        <f t="shared" si="2"/>
        <v>9042.1914479166662</v>
      </c>
      <c r="K12" s="100">
        <f t="shared" si="3"/>
        <v>9229.2563045911666</v>
      </c>
      <c r="L12" s="99">
        <f t="shared" si="4"/>
        <v>9042.1914479166662</v>
      </c>
      <c r="M12" s="35">
        <f t="shared" si="5"/>
        <v>9229.2563045911666</v>
      </c>
      <c r="N12" s="114">
        <v>0</v>
      </c>
      <c r="O12" s="36">
        <f t="shared" si="6"/>
        <v>0</v>
      </c>
      <c r="P12" s="99">
        <f t="shared" si="7"/>
        <v>0</v>
      </c>
      <c r="Q12" s="115">
        <v>0.1</v>
      </c>
      <c r="R12" s="36">
        <f t="shared" si="8"/>
        <v>41335.752762862401</v>
      </c>
      <c r="S12" s="99">
        <f t="shared" si="9"/>
        <v>41335.752762862401</v>
      </c>
      <c r="T12" s="101">
        <f t="shared" si="10"/>
        <v>0.1</v>
      </c>
      <c r="U12" s="99">
        <f t="shared" si="11"/>
        <v>323391.29723713757</v>
      </c>
      <c r="V12" s="100">
        <f t="shared" si="12"/>
        <v>8162.7073465791673</v>
      </c>
      <c r="W12" s="100">
        <f t="shared" si="13"/>
        <v>8643.0336976812705</v>
      </c>
      <c r="X12" s="99">
        <f t="shared" si="14"/>
        <v>8162.7073465791673</v>
      </c>
      <c r="Y12" s="55">
        <v>4</v>
      </c>
      <c r="AA12" s="97"/>
      <c r="AB12" s="97"/>
      <c r="AC12" s="97"/>
      <c r="AD12" s="98"/>
    </row>
    <row r="13" spans="1:31" x14ac:dyDescent="0.3">
      <c r="B13" s="78">
        <f t="shared" si="0"/>
        <v>2.5999999999999999E-3</v>
      </c>
      <c r="C13" s="110">
        <v>5015</v>
      </c>
      <c r="D13" s="111">
        <v>0.13</v>
      </c>
      <c r="E13" s="111">
        <v>0.06</v>
      </c>
      <c r="F13" s="110">
        <v>50</v>
      </c>
      <c r="G13" s="112">
        <v>1</v>
      </c>
      <c r="H13" s="113">
        <v>364727.05</v>
      </c>
      <c r="I13" s="99">
        <f t="shared" si="1"/>
        <v>364727.05</v>
      </c>
      <c r="J13" s="100">
        <f t="shared" si="2"/>
        <v>8680.5037899999988</v>
      </c>
      <c r="K13" s="100">
        <f t="shared" si="3"/>
        <v>8867.5686466744992</v>
      </c>
      <c r="L13" s="99">
        <f t="shared" si="4"/>
        <v>8680.5037899999988</v>
      </c>
      <c r="M13" s="35">
        <f t="shared" si="5"/>
        <v>8867.5686466744992</v>
      </c>
      <c r="N13" s="114">
        <v>0</v>
      </c>
      <c r="O13" s="36">
        <f t="shared" si="6"/>
        <v>0</v>
      </c>
      <c r="P13" s="99">
        <f t="shared" si="7"/>
        <v>0</v>
      </c>
      <c r="Q13" s="115">
        <v>0.2</v>
      </c>
      <c r="R13" s="36">
        <f t="shared" si="8"/>
        <v>82671.505525724802</v>
      </c>
      <c r="S13" s="99">
        <f t="shared" si="9"/>
        <v>82671.505525724802</v>
      </c>
      <c r="T13" s="101">
        <f t="shared" si="10"/>
        <v>0.2</v>
      </c>
      <c r="U13" s="99">
        <f t="shared" si="11"/>
        <v>282055.5444742752</v>
      </c>
      <c r="V13" s="100">
        <f t="shared" si="12"/>
        <v>6993.3302078423512</v>
      </c>
      <c r="W13" s="100">
        <f t="shared" si="13"/>
        <v>7422.3570294330639</v>
      </c>
      <c r="X13" s="99">
        <f t="shared" si="14"/>
        <v>6993.3302078423512</v>
      </c>
      <c r="Y13" s="55">
        <v>8</v>
      </c>
      <c r="AA13" s="97"/>
      <c r="AB13" s="97"/>
      <c r="AC13" s="97"/>
      <c r="AD13" s="98"/>
    </row>
    <row r="14" spans="1:31" x14ac:dyDescent="0.3">
      <c r="B14" s="78">
        <f t="shared" si="0"/>
        <v>2.3636363636363638E-3</v>
      </c>
      <c r="C14" s="110">
        <v>5016</v>
      </c>
      <c r="D14" s="111">
        <v>0.13</v>
      </c>
      <c r="E14" s="111">
        <v>0.06</v>
      </c>
      <c r="F14" s="110">
        <v>55</v>
      </c>
      <c r="G14" s="112">
        <v>1</v>
      </c>
      <c r="H14" s="113">
        <v>364727.05</v>
      </c>
      <c r="I14" s="99">
        <f t="shared" si="1"/>
        <v>364727.05</v>
      </c>
      <c r="J14" s="100">
        <f t="shared" si="2"/>
        <v>7891.3670818181818</v>
      </c>
      <c r="K14" s="100">
        <f t="shared" si="3"/>
        <v>8078.4319384926821</v>
      </c>
      <c r="L14" s="99">
        <f t="shared" si="4"/>
        <v>7891.3670818181818</v>
      </c>
      <c r="M14" s="35">
        <f t="shared" si="5"/>
        <v>8078.4319384926821</v>
      </c>
      <c r="N14" s="114">
        <v>0.1</v>
      </c>
      <c r="O14" s="36">
        <f t="shared" si="6"/>
        <v>41335.752762862401</v>
      </c>
      <c r="P14" s="99">
        <f t="shared" si="7"/>
        <v>41335.752762862401</v>
      </c>
      <c r="Q14" s="115">
        <v>0.3</v>
      </c>
      <c r="R14" s="36">
        <f t="shared" si="8"/>
        <v>124007.2582885872</v>
      </c>
      <c r="S14" s="99">
        <f t="shared" si="9"/>
        <v>124007.2582885872</v>
      </c>
      <c r="T14" s="101">
        <f t="shared" si="10"/>
        <v>0.4</v>
      </c>
      <c r="U14" s="99">
        <f t="shared" si="11"/>
        <v>240719.79171141278</v>
      </c>
      <c r="V14" s="100">
        <f t="shared" si="12"/>
        <v>4829.4594697543007</v>
      </c>
      <c r="W14" s="100">
        <f t="shared" si="13"/>
        <v>5155.9695655854493</v>
      </c>
      <c r="X14" s="99">
        <f t="shared" si="14"/>
        <v>4829.4594697543007</v>
      </c>
      <c r="Y14" s="55">
        <v>9</v>
      </c>
      <c r="AA14" s="97"/>
      <c r="AB14" s="97"/>
      <c r="AC14" s="97"/>
      <c r="AD14" s="98"/>
    </row>
    <row r="15" spans="1:31" x14ac:dyDescent="0.3">
      <c r="B15" s="78">
        <f t="shared" si="0"/>
        <v>2.3214285714285715E-3</v>
      </c>
      <c r="C15" s="110">
        <v>5017</v>
      </c>
      <c r="D15" s="111">
        <v>0.13</v>
      </c>
      <c r="E15" s="111">
        <v>0.06</v>
      </c>
      <c r="F15" s="110">
        <v>56</v>
      </c>
      <c r="G15" s="112">
        <v>1</v>
      </c>
      <c r="H15" s="113">
        <v>364727.05</v>
      </c>
      <c r="I15" s="99">
        <f t="shared" si="1"/>
        <v>364727.05</v>
      </c>
      <c r="J15" s="100">
        <f>IFERROR(((H15*(1+SUM(D15:E15)))/F15),"-")</f>
        <v>7750.4498125</v>
      </c>
      <c r="K15" s="100">
        <f>IFERROR((J15*(1+F15*0.0431%)),"-")</f>
        <v>7937.5146691744994</v>
      </c>
      <c r="L15" s="99">
        <f>IFERROR(J15*G15,"-")</f>
        <v>7750.4498125</v>
      </c>
      <c r="M15" s="35">
        <f t="shared" si="5"/>
        <v>7937.5146691744994</v>
      </c>
      <c r="N15" s="114">
        <v>7.0000000000000007E-2</v>
      </c>
      <c r="O15" s="36">
        <f t="shared" si="6"/>
        <v>28935.026934003683</v>
      </c>
      <c r="P15" s="99">
        <f t="shared" si="7"/>
        <v>28935.026934003683</v>
      </c>
      <c r="Q15" s="115">
        <v>0.3</v>
      </c>
      <c r="R15" s="36">
        <f t="shared" si="8"/>
        <v>124007.2582885872</v>
      </c>
      <c r="S15" s="99">
        <f t="shared" si="9"/>
        <v>124007.2582885872</v>
      </c>
      <c r="T15" s="101">
        <f t="shared" si="10"/>
        <v>0.37</v>
      </c>
      <c r="U15" s="99">
        <f t="shared" si="11"/>
        <v>240719.79171141278</v>
      </c>
      <c r="V15" s="100">
        <f>IFERROR(((($H15*(1+D15+E15))-(O15+R15)-J15)/($F15-1)),"-")</f>
        <v>4969.6809902710747</v>
      </c>
      <c r="W15" s="100">
        <f>IFERROR((V15*(1+($F15-1)*0.1252%)),"-")</f>
        <v>5311.8932232611405</v>
      </c>
      <c r="X15" s="99">
        <f>IFERROR(V15*G15,"-")</f>
        <v>4969.6809902710747</v>
      </c>
      <c r="Y15" s="55">
        <v>10</v>
      </c>
      <c r="AA15" s="97">
        <f>E38</f>
        <v>0</v>
      </c>
      <c r="AB15" s="97">
        <f>E39</f>
        <v>0</v>
      </c>
      <c r="AC15" s="97">
        <f>AVERAGE(F15:F33)</f>
        <v>65.888888888888886</v>
      </c>
      <c r="AD15" s="98">
        <f>E46</f>
        <v>0</v>
      </c>
    </row>
    <row r="16" spans="1:31" x14ac:dyDescent="0.3">
      <c r="B16" s="78">
        <f t="shared" si="0"/>
        <v>2.2413793103448275E-3</v>
      </c>
      <c r="C16" s="110">
        <v>5018</v>
      </c>
      <c r="D16" s="111">
        <v>0.13</v>
      </c>
      <c r="E16" s="111">
        <v>0.06</v>
      </c>
      <c r="F16" s="110">
        <v>58</v>
      </c>
      <c r="G16" s="112">
        <v>1</v>
      </c>
      <c r="H16" s="113">
        <v>364727.05</v>
      </c>
      <c r="I16" s="99">
        <f t="shared" si="1"/>
        <v>364727.05</v>
      </c>
      <c r="J16" s="100">
        <f t="shared" ref="J16:J21" si="30">IFERROR(((H16*(1+SUM(D16:E16)))/F16),"-")</f>
        <v>7483.192922413793</v>
      </c>
      <c r="K16" s="100">
        <f t="shared" ref="K16:K21" si="31">IFERROR((J16*(1+F16*0.0431%)),"-")</f>
        <v>7670.2577790882933</v>
      </c>
      <c r="L16" s="99">
        <f t="shared" ref="L16:L21" si="32">IFERROR(J16*G16,"-")</f>
        <v>7483.192922413793</v>
      </c>
      <c r="M16" s="35">
        <f t="shared" si="5"/>
        <v>7670.2577790882933</v>
      </c>
      <c r="N16" s="114">
        <v>0.1</v>
      </c>
      <c r="O16" s="36">
        <f t="shared" si="6"/>
        <v>41335.752762862401</v>
      </c>
      <c r="P16" s="99">
        <f t="shared" si="7"/>
        <v>41335.752762862401</v>
      </c>
      <c r="Q16" s="115">
        <v>0.3</v>
      </c>
      <c r="R16" s="36">
        <f t="shared" si="8"/>
        <v>124007.2582885872</v>
      </c>
      <c r="S16" s="99">
        <f t="shared" si="9"/>
        <v>124007.2582885872</v>
      </c>
      <c r="T16" s="101">
        <f t="shared" si="10"/>
        <v>0.4</v>
      </c>
      <c r="U16" s="99">
        <f t="shared" si="11"/>
        <v>240719.79171141278</v>
      </c>
      <c r="V16" s="100">
        <f t="shared" ref="V16:V21" si="33">IFERROR(((($H16*(1+D16+E16))-(O16+R16)-J16)/($F16-1)),"-")</f>
        <v>4582.4383425638007</v>
      </c>
      <c r="W16" s="100">
        <f t="shared" ref="W16:W21" si="34">IFERROR((V16*(1+($F16-1)*0.1252%)),"-")</f>
        <v>4909.4594724425233</v>
      </c>
      <c r="X16" s="99">
        <f t="shared" ref="X16:X21" si="35">IFERROR(V16*G16,"-")</f>
        <v>4582.4383425638007</v>
      </c>
      <c r="Y16" s="55">
        <v>11</v>
      </c>
      <c r="AA16" s="97"/>
      <c r="AB16" s="97"/>
      <c r="AC16" s="97"/>
      <c r="AD16" s="98"/>
    </row>
    <row r="17" spans="1:31" x14ac:dyDescent="0.3">
      <c r="B17" s="78">
        <f t="shared" si="0"/>
        <v>2.2033898305084745E-3</v>
      </c>
      <c r="C17" s="110">
        <v>5019</v>
      </c>
      <c r="D17" s="111">
        <v>0.13</v>
      </c>
      <c r="E17" s="111">
        <v>0.06</v>
      </c>
      <c r="F17" s="110">
        <v>59</v>
      </c>
      <c r="G17" s="112">
        <v>1</v>
      </c>
      <c r="H17" s="113">
        <v>364727.05</v>
      </c>
      <c r="I17" s="99">
        <f t="shared" si="1"/>
        <v>364727.05</v>
      </c>
      <c r="J17" s="100">
        <f t="shared" si="30"/>
        <v>7356.3591440677965</v>
      </c>
      <c r="K17" s="100">
        <f t="shared" si="31"/>
        <v>7543.4240007422959</v>
      </c>
      <c r="L17" s="99">
        <f t="shared" si="32"/>
        <v>7356.3591440677965</v>
      </c>
      <c r="M17" s="35">
        <f t="shared" si="5"/>
        <v>7543.4240007422959</v>
      </c>
      <c r="N17" s="114">
        <v>0.18110000000000001</v>
      </c>
      <c r="O17" s="36">
        <f t="shared" si="6"/>
        <v>74859.048253543806</v>
      </c>
      <c r="P17" s="99">
        <f t="shared" si="7"/>
        <v>74859.048253543806</v>
      </c>
      <c r="Q17" s="115">
        <v>0.3</v>
      </c>
      <c r="R17" s="36">
        <f t="shared" si="8"/>
        <v>124007.2582885872</v>
      </c>
      <c r="S17" s="99">
        <f t="shared" si="9"/>
        <v>124007.2582885872</v>
      </c>
      <c r="T17" s="101">
        <f t="shared" si="10"/>
        <v>0.48109999999999997</v>
      </c>
      <c r="U17" s="99">
        <f t="shared" si="11"/>
        <v>240719.79171141278</v>
      </c>
      <c r="V17" s="100">
        <f t="shared" si="33"/>
        <v>3927.6297209276063</v>
      </c>
      <c r="W17" s="100">
        <f t="shared" si="34"/>
        <v>4212.8384807424854</v>
      </c>
      <c r="X17" s="99">
        <f t="shared" si="35"/>
        <v>3927.6297209276063</v>
      </c>
      <c r="Y17" s="55">
        <v>10</v>
      </c>
      <c r="AA17" s="97"/>
      <c r="AB17" s="97"/>
      <c r="AC17" s="97"/>
      <c r="AD17" s="98"/>
    </row>
    <row r="18" spans="1:31" x14ac:dyDescent="0.3">
      <c r="B18" s="78">
        <f t="shared" si="0"/>
        <v>2.096774193548387E-3</v>
      </c>
      <c r="C18" s="110">
        <v>5020</v>
      </c>
      <c r="D18" s="111">
        <v>0.13</v>
      </c>
      <c r="E18" s="111">
        <v>0.06</v>
      </c>
      <c r="F18" s="110">
        <v>62</v>
      </c>
      <c r="G18" s="112">
        <v>1</v>
      </c>
      <c r="H18" s="113">
        <v>364727.05</v>
      </c>
      <c r="I18" s="99">
        <f t="shared" si="1"/>
        <v>364727.05</v>
      </c>
      <c r="J18" s="100">
        <f t="shared" si="30"/>
        <v>7000.4062822580645</v>
      </c>
      <c r="K18" s="100">
        <f t="shared" si="31"/>
        <v>7187.4711389325639</v>
      </c>
      <c r="L18" s="99">
        <f t="shared" si="32"/>
        <v>7000.4062822580645</v>
      </c>
      <c r="M18" s="35">
        <f t="shared" si="5"/>
        <v>7187.4711389325639</v>
      </c>
      <c r="N18" s="114">
        <v>0.28610000000000002</v>
      </c>
      <c r="O18" s="36">
        <f t="shared" si="6"/>
        <v>118261.58865454934</v>
      </c>
      <c r="P18" s="99">
        <f t="shared" si="7"/>
        <v>118261.58865454934</v>
      </c>
      <c r="Q18" s="115">
        <v>0.3</v>
      </c>
      <c r="R18" s="36">
        <f t="shared" si="8"/>
        <v>124007.2582885872</v>
      </c>
      <c r="S18" s="99">
        <f t="shared" si="9"/>
        <v>124007.2582885872</v>
      </c>
      <c r="T18" s="101">
        <f t="shared" si="10"/>
        <v>0.58610000000000007</v>
      </c>
      <c r="U18" s="99">
        <f t="shared" si="11"/>
        <v>240719.79171141278</v>
      </c>
      <c r="V18" s="100">
        <f t="shared" si="33"/>
        <v>3028.785840567301</v>
      </c>
      <c r="W18" s="100">
        <f t="shared" si="34"/>
        <v>3260.1002727831074</v>
      </c>
      <c r="X18" s="99">
        <f t="shared" si="35"/>
        <v>3028.785840567301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2.0312500000000001E-3</v>
      </c>
      <c r="C19" s="110">
        <v>5021</v>
      </c>
      <c r="D19" s="111">
        <v>0.13</v>
      </c>
      <c r="E19" s="111">
        <v>0.06</v>
      </c>
      <c r="F19" s="110">
        <v>64</v>
      </c>
      <c r="G19" s="112">
        <v>1</v>
      </c>
      <c r="H19" s="113">
        <v>364727.05</v>
      </c>
      <c r="I19" s="99">
        <f t="shared" si="1"/>
        <v>364727.05</v>
      </c>
      <c r="J19" s="100">
        <f t="shared" si="30"/>
        <v>6781.6435859374997</v>
      </c>
      <c r="K19" s="100">
        <f t="shared" si="31"/>
        <v>6968.708442612</v>
      </c>
      <c r="L19" s="99">
        <f t="shared" si="32"/>
        <v>6781.6435859374997</v>
      </c>
      <c r="M19" s="35">
        <f t="shared" si="5"/>
        <v>6968.708442612</v>
      </c>
      <c r="N19" s="114">
        <v>0.15029999999999999</v>
      </c>
      <c r="O19" s="36">
        <f t="shared" si="6"/>
        <v>62127.636402582182</v>
      </c>
      <c r="P19" s="99">
        <f t="shared" si="7"/>
        <v>62127.636402582182</v>
      </c>
      <c r="Q19" s="115">
        <v>0.3</v>
      </c>
      <c r="R19" s="36">
        <f t="shared" si="8"/>
        <v>124007.2582885872</v>
      </c>
      <c r="S19" s="99">
        <f t="shared" si="9"/>
        <v>124007.2582885872</v>
      </c>
      <c r="T19" s="101">
        <f t="shared" si="10"/>
        <v>0.45029999999999998</v>
      </c>
      <c r="U19" s="99">
        <f t="shared" si="11"/>
        <v>240719.79171141278</v>
      </c>
      <c r="V19" s="100">
        <f t="shared" si="33"/>
        <v>3827.1214479824303</v>
      </c>
      <c r="W19" s="100">
        <f t="shared" si="34"/>
        <v>4128.9894793134927</v>
      </c>
      <c r="X19" s="99">
        <f t="shared" si="35"/>
        <v>3827.1214479824303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1.8840579710144927E-3</v>
      </c>
      <c r="C20" s="110">
        <v>5022</v>
      </c>
      <c r="D20" s="111">
        <v>0.13</v>
      </c>
      <c r="E20" s="111">
        <v>0.06</v>
      </c>
      <c r="F20" s="110">
        <v>69</v>
      </c>
      <c r="G20" s="112">
        <v>1</v>
      </c>
      <c r="H20" s="113">
        <v>364727.05</v>
      </c>
      <c r="I20" s="99">
        <f t="shared" si="1"/>
        <v>364727.05</v>
      </c>
      <c r="J20" s="100">
        <f t="shared" si="30"/>
        <v>6290.220137681159</v>
      </c>
      <c r="K20" s="100">
        <f t="shared" si="31"/>
        <v>6477.2849943556585</v>
      </c>
      <c r="L20" s="99">
        <f t="shared" si="32"/>
        <v>6290.220137681159</v>
      </c>
      <c r="M20" s="35">
        <f t="shared" si="5"/>
        <v>6477.2849943556585</v>
      </c>
      <c r="N20" s="114">
        <v>0.25</v>
      </c>
      <c r="O20" s="36">
        <f t="shared" si="6"/>
        <v>103339.381907156</v>
      </c>
      <c r="P20" s="99">
        <f t="shared" si="7"/>
        <v>103339.381907156</v>
      </c>
      <c r="Q20" s="115">
        <v>0.3</v>
      </c>
      <c r="R20" s="36">
        <f t="shared" si="8"/>
        <v>124007.2582885872</v>
      </c>
      <c r="S20" s="99">
        <f t="shared" si="9"/>
        <v>124007.2582885872</v>
      </c>
      <c r="T20" s="101">
        <f t="shared" si="10"/>
        <v>0.55000000000000004</v>
      </c>
      <c r="U20" s="99">
        <f t="shared" si="11"/>
        <v>240719.79171141278</v>
      </c>
      <c r="V20" s="100">
        <f t="shared" si="33"/>
        <v>2946.8871936261121</v>
      </c>
      <c r="W20" s="100">
        <f t="shared" si="34"/>
        <v>3197.7733817426652</v>
      </c>
      <c r="X20" s="99">
        <f t="shared" si="35"/>
        <v>2946.8871936261121</v>
      </c>
      <c r="Y20" s="55">
        <v>14</v>
      </c>
      <c r="AA20" s="97"/>
      <c r="AB20" s="97"/>
      <c r="AC20" s="97"/>
      <c r="AD20" s="98"/>
    </row>
    <row r="21" spans="1:31" x14ac:dyDescent="0.3">
      <c r="B21" s="78">
        <f t="shared" si="0"/>
        <v>1.8309859154929577E-3</v>
      </c>
      <c r="C21" s="110">
        <v>5023</v>
      </c>
      <c r="D21" s="111">
        <v>0.13</v>
      </c>
      <c r="E21" s="111">
        <v>0.06</v>
      </c>
      <c r="F21" s="110">
        <v>71</v>
      </c>
      <c r="G21" s="112">
        <v>1</v>
      </c>
      <c r="H21" s="113">
        <v>364727.05</v>
      </c>
      <c r="I21" s="99">
        <f t="shared" si="1"/>
        <v>364727.05</v>
      </c>
      <c r="J21" s="100">
        <f t="shared" si="30"/>
        <v>6113.0308380281685</v>
      </c>
      <c r="K21" s="100">
        <f t="shared" si="31"/>
        <v>6300.0956947026689</v>
      </c>
      <c r="L21" s="99">
        <f t="shared" si="32"/>
        <v>6113.0308380281685</v>
      </c>
      <c r="M21" s="35">
        <f t="shared" si="5"/>
        <v>6300.0956947026689</v>
      </c>
      <c r="N21" s="114">
        <v>0.25509999999999999</v>
      </c>
      <c r="O21" s="36">
        <f t="shared" si="6"/>
        <v>105447.50529806198</v>
      </c>
      <c r="P21" s="99">
        <f t="shared" si="7"/>
        <v>105447.50529806198</v>
      </c>
      <c r="Q21" s="115">
        <v>0.3</v>
      </c>
      <c r="R21" s="36">
        <f t="shared" si="8"/>
        <v>124007.2582885872</v>
      </c>
      <c r="S21" s="99">
        <f t="shared" si="9"/>
        <v>124007.2582885872</v>
      </c>
      <c r="T21" s="101">
        <f t="shared" si="10"/>
        <v>0.55509999999999993</v>
      </c>
      <c r="U21" s="99">
        <f t="shared" si="11"/>
        <v>240719.79171141278</v>
      </c>
      <c r="V21" s="100">
        <f t="shared" si="33"/>
        <v>2835.1056439331805</v>
      </c>
      <c r="W21" s="100">
        <f t="shared" si="34"/>
        <v>3083.5743025674842</v>
      </c>
      <c r="X21" s="99">
        <f t="shared" si="35"/>
        <v>2835.1056439331805</v>
      </c>
      <c r="Y21" s="55">
        <v>22</v>
      </c>
      <c r="AA21" s="97"/>
      <c r="AB21" s="97"/>
      <c r="AC21" s="97"/>
      <c r="AD21" s="98"/>
    </row>
    <row r="22" spans="1:31" x14ac:dyDescent="0.3">
      <c r="B22" s="78">
        <f t="shared" si="0"/>
        <v>1.7105263157894738E-3</v>
      </c>
      <c r="C22" s="110">
        <v>5024</v>
      </c>
      <c r="D22" s="111">
        <v>0.13</v>
      </c>
      <c r="E22" s="111">
        <v>0.06</v>
      </c>
      <c r="F22" s="110">
        <v>76</v>
      </c>
      <c r="G22" s="112">
        <v>1</v>
      </c>
      <c r="H22" s="113">
        <v>364727.05</v>
      </c>
      <c r="I22" s="99">
        <f t="shared" si="1"/>
        <v>364727.05</v>
      </c>
      <c r="J22" s="100">
        <f>IFERROR(((H22*(1+SUM(D22:E22)))/F22),"-")</f>
        <v>5710.8577565789474</v>
      </c>
      <c r="K22" s="100">
        <f>IFERROR((J22*(1+F22*0.0431%)),"-")</f>
        <v>5897.9226132534477</v>
      </c>
      <c r="L22" s="99">
        <f>IFERROR(J22*G22,"-")</f>
        <v>5710.8577565789474</v>
      </c>
      <c r="M22" s="35">
        <f t="shared" si="5"/>
        <v>5897.9226132534477</v>
      </c>
      <c r="N22" s="114">
        <v>0.25090000000000001</v>
      </c>
      <c r="O22" s="36">
        <f t="shared" si="6"/>
        <v>103711.40368202176</v>
      </c>
      <c r="P22" s="99">
        <f t="shared" si="7"/>
        <v>103711.40368202176</v>
      </c>
      <c r="Q22" s="115">
        <v>0.3</v>
      </c>
      <c r="R22" s="36">
        <f t="shared" si="8"/>
        <v>124007.2582885872</v>
      </c>
      <c r="S22" s="99">
        <f t="shared" si="9"/>
        <v>124007.2582885872</v>
      </c>
      <c r="T22" s="101">
        <f t="shared" si="10"/>
        <v>0.55089999999999995</v>
      </c>
      <c r="U22" s="99">
        <f t="shared" si="11"/>
        <v>240719.79171141278</v>
      </c>
      <c r="V22" s="100">
        <f>IFERROR(((($H22*(1+D22+E22))-(O22+R22)-J22)/($F22-1)),"-")</f>
        <v>2674.6089303041608</v>
      </c>
      <c r="W22" s="100">
        <f>IFERROR((V22*(1+($F22-1)*0.1252%)),"-")</f>
        <v>2925.7547088597216</v>
      </c>
      <c r="X22" s="99">
        <f>IFERROR(V22*G22,"-")</f>
        <v>2674.6089303041608</v>
      </c>
      <c r="Y22" s="55">
        <v>19</v>
      </c>
      <c r="AA22" s="97">
        <f>E45</f>
        <v>0</v>
      </c>
      <c r="AB22" s="97">
        <f>E46</f>
        <v>0</v>
      </c>
      <c r="AC22" s="97">
        <f>AVERAGE(F22:F40)</f>
        <v>77</v>
      </c>
      <c r="AD22" s="98">
        <f>E53</f>
        <v>0</v>
      </c>
    </row>
    <row r="23" spans="1:31" x14ac:dyDescent="0.3">
      <c r="B23" s="78">
        <f t="shared" si="0"/>
        <v>1.6666666666666668E-3</v>
      </c>
      <c r="C23" s="110">
        <v>5025</v>
      </c>
      <c r="D23" s="111">
        <v>0.13</v>
      </c>
      <c r="E23" s="111">
        <v>0.06</v>
      </c>
      <c r="F23" s="110">
        <v>78</v>
      </c>
      <c r="G23" s="112">
        <v>1</v>
      </c>
      <c r="H23" s="113">
        <v>364727.05</v>
      </c>
      <c r="I23" s="99">
        <f t="shared" si="1"/>
        <v>364727.05</v>
      </c>
      <c r="J23" s="100">
        <f t="shared" ref="J23" si="36">IFERROR(((H23*(1+SUM(D23:E23)))/F23),"-")</f>
        <v>5564.4255064102563</v>
      </c>
      <c r="K23" s="100">
        <f t="shared" ref="K23" si="37">IFERROR((J23*(1+F23*0.0431%)),"-")</f>
        <v>5751.4903630847557</v>
      </c>
      <c r="L23" s="99">
        <f t="shared" ref="L23" si="38">IFERROR(J23*G23,"-")</f>
        <v>5564.4255064102563</v>
      </c>
      <c r="M23" s="35">
        <f t="shared" si="5"/>
        <v>5751.4903630847557</v>
      </c>
      <c r="N23" s="114">
        <v>0.25990000000000002</v>
      </c>
      <c r="O23" s="36">
        <f t="shared" si="6"/>
        <v>107431.62143067938</v>
      </c>
      <c r="P23" s="99">
        <f t="shared" si="7"/>
        <v>107431.62143067938</v>
      </c>
      <c r="Q23" s="115">
        <v>0.3</v>
      </c>
      <c r="R23" s="36">
        <f t="shared" si="8"/>
        <v>124007.2582885872</v>
      </c>
      <c r="S23" s="99">
        <f t="shared" si="9"/>
        <v>124007.2582885872</v>
      </c>
      <c r="T23" s="101">
        <f t="shared" si="10"/>
        <v>0.55990000000000006</v>
      </c>
      <c r="U23" s="99">
        <f t="shared" si="11"/>
        <v>240719.79171141278</v>
      </c>
      <c r="V23" s="100">
        <f t="shared" ref="V23" si="39">IFERROR(((($H23*(1+D23+E23))-(O23+R23)-J23)/($F23-1)),"-")</f>
        <v>2558.7257697964046</v>
      </c>
      <c r="W23" s="100">
        <f t="shared" ref="W23" si="40">IFERROR((V23*(1+($F23-1)*0.1252%)),"-")</f>
        <v>2805.3971689078571</v>
      </c>
      <c r="X23" s="99">
        <f t="shared" ref="X23" si="41">IFERROR(V23*G23,"-")</f>
        <v>2558.7257697964046</v>
      </c>
      <c r="Y23" s="55">
        <v>16</v>
      </c>
      <c r="AA23" s="97"/>
      <c r="AB23" s="97"/>
      <c r="AC23" s="97"/>
      <c r="AD23" s="98"/>
    </row>
    <row r="24" spans="1:31" x14ac:dyDescent="0.3">
      <c r="B24" s="78"/>
      <c r="C24" s="32"/>
      <c r="D24" s="33"/>
      <c r="E24" s="33"/>
      <c r="F24" s="32"/>
      <c r="G24" s="34"/>
      <c r="H24" s="35"/>
      <c r="I24" s="35"/>
      <c r="J24" s="36"/>
      <c r="K24" s="36"/>
      <c r="L24" s="35"/>
      <c r="M24" s="35"/>
      <c r="N24" s="87"/>
      <c r="O24" s="36"/>
      <c r="P24" s="35"/>
      <c r="Q24" s="37"/>
      <c r="R24" s="36"/>
      <c r="S24" s="35"/>
      <c r="T24" s="87"/>
      <c r="U24" s="35"/>
      <c r="V24" s="36"/>
      <c r="W24" s="36"/>
      <c r="X24" s="35"/>
    </row>
    <row r="25" spans="1:31" s="108" customFormat="1" ht="52.5" customHeight="1" x14ac:dyDescent="0.3">
      <c r="A25" s="105"/>
      <c r="B25" s="106"/>
      <c r="C25" s="39" t="s">
        <v>43</v>
      </c>
      <c r="D25" s="76" t="e">
        <f>SUMPRODUCT(#REF!,#REF!)/SUM(#REF!)</f>
        <v>#REF!</v>
      </c>
      <c r="E25" s="107"/>
      <c r="F25" s="39" t="s">
        <v>22</v>
      </c>
      <c r="G25" s="40">
        <f t="shared" ref="G25:M25" si="42">SUM(G9:G24)</f>
        <v>15</v>
      </c>
      <c r="H25" s="41">
        <f t="shared" si="42"/>
        <v>5470905.7499999981</v>
      </c>
      <c r="I25" s="41">
        <f t="shared" si="42"/>
        <v>5470905.7499999981</v>
      </c>
      <c r="J25" s="42">
        <f t="shared" si="42"/>
        <v>123563.6749092956</v>
      </c>
      <c r="K25" s="42">
        <f t="shared" si="42"/>
        <v>126369.64775941311</v>
      </c>
      <c r="L25" s="41">
        <f t="shared" si="42"/>
        <v>123563.6749092956</v>
      </c>
      <c r="M25" s="41">
        <f t="shared" si="42"/>
        <v>126369.64775941311</v>
      </c>
      <c r="N25" s="43">
        <f>IFERROR(SUMPRODUCT(H9:H24,N9:N24)/H25,"-")</f>
        <v>0.12689333333333336</v>
      </c>
      <c r="O25" s="42">
        <f>SUM(O9:O24)</f>
        <v>786784.7180883229</v>
      </c>
      <c r="P25" s="41">
        <f>SUM(P9:P24)</f>
        <v>786784.7180883229</v>
      </c>
      <c r="Q25" s="43">
        <f>IFERROR(SUMPRODUCT(H9:H24,Q9:Q24)/H25,"-")</f>
        <v>0.24971333333333337</v>
      </c>
      <c r="R25" s="42">
        <f>SUM(R9:R24)</f>
        <v>1548313.2912385371</v>
      </c>
      <c r="S25" s="41">
        <f>SUM(S9:S24)</f>
        <v>1548313.2912385371</v>
      </c>
      <c r="T25" s="43">
        <f>IFERROR(Q25+N25,"-")</f>
        <v>0.37660666666666676</v>
      </c>
      <c r="U25" s="41">
        <f>SUM(U9:U24)</f>
        <v>3922592.4587614634</v>
      </c>
      <c r="V25" s="42">
        <f>SUM(V9:V24)</f>
        <v>83929.970269361089</v>
      </c>
      <c r="W25" s="42">
        <f>SUM(W9:W24)</f>
        <v>89002.71889950741</v>
      </c>
      <c r="X25" s="41">
        <f>SUM(X9:X24)</f>
        <v>83929.970269361089</v>
      </c>
      <c r="AA25" s="109"/>
      <c r="AB25" s="109"/>
      <c r="AC25" s="109"/>
      <c r="AD25" s="109"/>
      <c r="AE25" s="109"/>
    </row>
    <row r="26" spans="1:31" x14ac:dyDescent="0.3">
      <c r="B26" s="75"/>
      <c r="D26" s="75"/>
      <c r="H26" s="44"/>
      <c r="I26" s="44"/>
      <c r="J26" s="44"/>
      <c r="K26" s="44"/>
      <c r="L26" s="44"/>
      <c r="M26" s="44"/>
      <c r="N26" s="7"/>
      <c r="O26" s="44"/>
      <c r="P26" s="44"/>
      <c r="Q26" s="7"/>
      <c r="R26" s="44"/>
      <c r="S26" s="44"/>
      <c r="U26" s="44"/>
      <c r="V26" s="44"/>
      <c r="W26" s="44"/>
    </row>
    <row r="27" spans="1:31" ht="21.6" thickBot="1" x14ac:dyDescent="0.45">
      <c r="B27" s="31"/>
      <c r="C27" s="45" t="s">
        <v>30</v>
      </c>
      <c r="H27" s="65"/>
      <c r="I27" s="65"/>
      <c r="J27" s="65"/>
      <c r="N27" s="44"/>
    </row>
    <row r="28" spans="1:31" x14ac:dyDescent="0.3">
      <c r="C28" s="17"/>
      <c r="D28" s="17"/>
      <c r="E28" s="17"/>
      <c r="F28" s="17"/>
      <c r="G28" s="20"/>
      <c r="H28" s="20"/>
      <c r="I28" s="20"/>
      <c r="J28" s="20"/>
      <c r="K28" s="46"/>
      <c r="L28" s="20"/>
      <c r="M28" s="20"/>
      <c r="N28" s="21"/>
      <c r="O28" s="22"/>
      <c r="P28" s="22"/>
      <c r="Q28" s="23"/>
      <c r="R28" s="24"/>
      <c r="S28" s="24"/>
      <c r="T28" s="25"/>
      <c r="U28" s="25"/>
      <c r="V28" s="25"/>
      <c r="W28" s="25"/>
      <c r="X28" s="25"/>
      <c r="Z28" s="26"/>
    </row>
    <row r="29" spans="1:31" x14ac:dyDescent="0.3">
      <c r="C29" s="123" t="s">
        <v>31</v>
      </c>
      <c r="D29" s="123"/>
      <c r="E29" s="137">
        <f>I25</f>
        <v>5470905.7499999981</v>
      </c>
      <c r="F29" s="137"/>
      <c r="H29" s="13"/>
      <c r="I29" s="89"/>
      <c r="L29" s="49"/>
      <c r="N29" s="44"/>
      <c r="P29" s="44"/>
      <c r="Z29" s="50"/>
    </row>
    <row r="30" spans="1:31" x14ac:dyDescent="0.3">
      <c r="C30" s="130" t="s">
        <v>4</v>
      </c>
      <c r="D30" s="130"/>
      <c r="E30" s="131">
        <f>L25</f>
        <v>123563.6749092956</v>
      </c>
      <c r="F30" s="131"/>
      <c r="G30" s="50"/>
      <c r="H30" s="13"/>
      <c r="L30" s="49"/>
      <c r="N30"/>
      <c r="P30" s="44"/>
    </row>
    <row r="31" spans="1:31" ht="12.75" customHeight="1" x14ac:dyDescent="0.3">
      <c r="H31" s="13"/>
    </row>
    <row r="32" spans="1:31" ht="15.75" customHeight="1" x14ac:dyDescent="0.3">
      <c r="C32" s="123" t="s">
        <v>32</v>
      </c>
      <c r="D32" s="123"/>
      <c r="E32" s="132">
        <f>P25+S25</f>
        <v>2335098.0093268598</v>
      </c>
      <c r="F32" s="132"/>
      <c r="H32" s="39" t="s">
        <v>54</v>
      </c>
      <c r="I32" s="64"/>
      <c r="J32" s="64"/>
    </row>
    <row r="33" spans="1:24" ht="15.6" x14ac:dyDescent="0.3">
      <c r="C33" s="121" t="s">
        <v>53</v>
      </c>
      <c r="D33" s="121"/>
      <c r="E33" s="122">
        <f>P25</f>
        <v>786784.7180883229</v>
      </c>
      <c r="F33" s="122"/>
      <c r="G33" s="53"/>
      <c r="H33" s="40">
        <f>AVERAGE(F9:F23)</f>
        <v>56.866666666666667</v>
      </c>
      <c r="I33" s="64"/>
      <c r="J33" s="64"/>
      <c r="L33" s="54"/>
      <c r="M33" s="54"/>
      <c r="N33" s="54"/>
    </row>
    <row r="34" spans="1:24" x14ac:dyDescent="0.3">
      <c r="C34" s="121" t="s">
        <v>34</v>
      </c>
      <c r="D34" s="121"/>
      <c r="E34" s="122">
        <f>S25</f>
        <v>1548313.2912385371</v>
      </c>
      <c r="F34" s="122"/>
      <c r="G34" s="88"/>
      <c r="H34" s="44"/>
      <c r="M34"/>
      <c r="S34"/>
    </row>
    <row r="35" spans="1:24" ht="6.9" customHeight="1" x14ac:dyDescent="0.3">
      <c r="C35" s="51"/>
      <c r="D35" s="51"/>
      <c r="E35" s="51"/>
      <c r="F35" s="51"/>
      <c r="G35" s="51"/>
      <c r="I35" s="1"/>
      <c r="L35"/>
      <c r="M35"/>
    </row>
    <row r="36" spans="1:24" ht="15" customHeight="1" x14ac:dyDescent="0.3">
      <c r="C36" s="123" t="s">
        <v>35</v>
      </c>
      <c r="D36" s="123"/>
      <c r="E36" s="124">
        <f>U25</f>
        <v>3922592.4587614634</v>
      </c>
      <c r="F36" s="125"/>
      <c r="G36" s="51"/>
      <c r="H36" s="65"/>
      <c r="I36" s="13"/>
    </row>
    <row r="37" spans="1:24" x14ac:dyDescent="0.3">
      <c r="C37" s="121" t="s">
        <v>7</v>
      </c>
      <c r="D37" s="121"/>
      <c r="E37" s="122">
        <f>X25</f>
        <v>83929.970269361089</v>
      </c>
      <c r="F37" s="122"/>
      <c r="G37" s="51"/>
      <c r="H37" s="13"/>
      <c r="I37" s="1"/>
    </row>
    <row r="38" spans="1:24" x14ac:dyDescent="0.3">
      <c r="I38" s="55"/>
    </row>
    <row r="39" spans="1:24" hidden="1" x14ac:dyDescent="0.3">
      <c r="A39" s="2"/>
      <c r="C39" s="84" t="s">
        <v>48</v>
      </c>
      <c r="N39" s="44"/>
      <c r="S39" s="57"/>
      <c r="X39" s="57"/>
    </row>
    <row r="40" spans="1:24" hidden="1" x14ac:dyDescent="0.3">
      <c r="A40" s="2"/>
    </row>
    <row r="41" spans="1:24" hidden="1" x14ac:dyDescent="0.3">
      <c r="A41" s="2"/>
    </row>
    <row r="42" spans="1:24" hidden="1" x14ac:dyDescent="0.3">
      <c r="A42" s="2"/>
    </row>
    <row r="43" spans="1:24" hidden="1" x14ac:dyDescent="0.3">
      <c r="A43" s="2"/>
    </row>
    <row r="44" spans="1:24" hidden="1" x14ac:dyDescent="0.3">
      <c r="C44" s="118" t="s">
        <v>55</v>
      </c>
      <c r="D44" s="116">
        <f>E36-E33</f>
        <v>3135807.7406731406</v>
      </c>
    </row>
    <row r="45" spans="1:24" hidden="1" x14ac:dyDescent="0.3">
      <c r="C45" s="118" t="s">
        <v>57</v>
      </c>
      <c r="D45" s="117">
        <f>AVERAGE(D9:D23:E9:E23)*2</f>
        <v>0.18999999999999997</v>
      </c>
    </row>
    <row r="46" spans="1:24" hidden="1" x14ac:dyDescent="0.3">
      <c r="C46" s="118" t="s">
        <v>56</v>
      </c>
      <c r="D46" s="116">
        <f>E29*D45</f>
        <v>1039472.0924999996</v>
      </c>
    </row>
    <row r="47" spans="1:24" x14ac:dyDescent="0.3">
      <c r="C47" s="118" t="s">
        <v>59</v>
      </c>
      <c r="D47" s="119">
        <f>(D46/D44)/H33</f>
        <v>5.8291554091424516E-3</v>
      </c>
    </row>
    <row r="48" spans="1:24" x14ac:dyDescent="0.3">
      <c r="C48" s="118" t="s">
        <v>60</v>
      </c>
      <c r="D48" s="119">
        <f>D47*12</f>
        <v>6.9949864909709419E-2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</sheetData>
  <mergeCells count="30">
    <mergeCell ref="C37:D37"/>
    <mergeCell ref="E37:F37"/>
    <mergeCell ref="C33:D33"/>
    <mergeCell ref="E33:F33"/>
    <mergeCell ref="C34:D34"/>
    <mergeCell ref="E34:F34"/>
    <mergeCell ref="C36:D36"/>
    <mergeCell ref="E36:F36"/>
    <mergeCell ref="H7:I7"/>
    <mergeCell ref="U7:U8"/>
    <mergeCell ref="C30:D30"/>
    <mergeCell ref="E30:F30"/>
    <mergeCell ref="C32:D32"/>
    <mergeCell ref="E32:F32"/>
    <mergeCell ref="V7:V8"/>
    <mergeCell ref="W7:W8"/>
    <mergeCell ref="X7:X8"/>
    <mergeCell ref="C29:D29"/>
    <mergeCell ref="E29:F2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B5A-F776-4AEC-84FE-EEB472EF9636}">
  <dimension ref="A1:AE339"/>
  <sheetViews>
    <sheetView topLeftCell="A19" workbookViewId="0">
      <selection activeCell="I3" sqref="I3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73" si="0">D9/F9</f>
        <v>4.7222222222222223E-3</v>
      </c>
      <c r="C9" s="110">
        <v>705</v>
      </c>
      <c r="D9" s="111">
        <v>0.17</v>
      </c>
      <c r="E9" s="111">
        <v>3.5000000000000003E-2</v>
      </c>
      <c r="F9" s="110">
        <v>36</v>
      </c>
      <c r="G9" s="112">
        <v>1</v>
      </c>
      <c r="H9" s="113">
        <v>63367.5</v>
      </c>
      <c r="I9" s="99">
        <f t="shared" ref="I9:I73" si="1">H9*G9</f>
        <v>63367.5</v>
      </c>
      <c r="J9" s="100">
        <f t="shared" ref="J9:J61" si="2">IFERROR(((H9*(1+SUM(D9:E9)))/F9),"-")</f>
        <v>2121.0510416666671</v>
      </c>
      <c r="K9" s="100">
        <f t="shared" ref="K9:K61" si="3">IFERROR((J9*(1+F9*0.0431%)),"-")</f>
        <v>2153.9612696291674</v>
      </c>
      <c r="L9" s="99">
        <f t="shared" ref="L9:L61" si="4">IFERROR(J9*G9,"-")</f>
        <v>2121.0510416666671</v>
      </c>
      <c r="M9" s="35">
        <f t="shared" ref="M9:M73" si="5">K9*G9</f>
        <v>2153.9612696291674</v>
      </c>
      <c r="N9" s="114">
        <v>2.5000000000000001E-2</v>
      </c>
      <c r="O9" s="36">
        <f t="shared" ref="O9:O73" si="6">((N9*($H9*(1+D9+E9)))*$Q$1)</f>
        <v>1818.0446485392429</v>
      </c>
      <c r="P9" s="99">
        <f t="shared" ref="P9:P73" si="7">O9*G9</f>
        <v>1818.0446485392429</v>
      </c>
      <c r="Q9" s="115">
        <v>0.3</v>
      </c>
      <c r="R9" s="36">
        <f t="shared" ref="R9:R73" si="8">((Q9*($H9*(1+D9+E9)))*$Q$1)</f>
        <v>21816.535782470914</v>
      </c>
      <c r="S9" s="99">
        <f t="shared" ref="S9:S73" si="9">R9*G9</f>
        <v>21816.535782470914</v>
      </c>
      <c r="T9" s="101">
        <f t="shared" ref="T9:T73" si="10">(N9+Q9)</f>
        <v>0.32500000000000001</v>
      </c>
      <c r="U9" s="99">
        <f t="shared" ref="U9:U73" si="11">(I9)-S9</f>
        <v>41550.964217529086</v>
      </c>
      <c r="V9" s="100">
        <f t="shared" ref="V9:V61" si="12">IFERROR(((($H9*(1+D9+E9))-(O9+R9)-J9)/($F9-1)),"-")</f>
        <v>1445.7773150663766</v>
      </c>
      <c r="W9" s="100">
        <f t="shared" ref="W9:W61" si="13">IFERROR((V9*(1+($F9-1)*0.1252%)),"-")</f>
        <v>1509.1312770125851</v>
      </c>
      <c r="X9" s="99">
        <f t="shared" ref="X9:X61" si="14">IFERROR(V9*G9,"-")</f>
        <v>1445.7773150663766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4.7222222222222223E-3</v>
      </c>
      <c r="C10" s="110">
        <v>706</v>
      </c>
      <c r="D10" s="111">
        <v>0.17</v>
      </c>
      <c r="E10" s="111">
        <v>3.5000000000000003E-2</v>
      </c>
      <c r="F10" s="110">
        <v>36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3429.3630555555555</v>
      </c>
      <c r="K10" s="100">
        <f t="shared" si="3"/>
        <v>3482.573052725556</v>
      </c>
      <c r="L10" s="99">
        <f t="shared" si="4"/>
        <v>3429.3630555555555</v>
      </c>
      <c r="M10" s="35">
        <f t="shared" si="5"/>
        <v>3482.573052725556</v>
      </c>
      <c r="N10" s="114">
        <v>0</v>
      </c>
      <c r="O10" s="36">
        <f t="shared" si="6"/>
        <v>0</v>
      </c>
      <c r="P10" s="99">
        <f t="shared" si="7"/>
        <v>0</v>
      </c>
      <c r="Q10" s="115">
        <v>0.2</v>
      </c>
      <c r="R10" s="36">
        <f t="shared" si="8"/>
        <v>23515.644003180125</v>
      </c>
      <c r="S10" s="99">
        <f t="shared" si="9"/>
        <v>23515.644003180125</v>
      </c>
      <c r="T10" s="101">
        <f t="shared" si="10"/>
        <v>0.2</v>
      </c>
      <c r="U10" s="99">
        <f t="shared" si="11"/>
        <v>78938.355996819882</v>
      </c>
      <c r="V10" s="100">
        <f t="shared" si="12"/>
        <v>2757.4875126075517</v>
      </c>
      <c r="W10" s="100">
        <f t="shared" si="13"/>
        <v>2878.3206154100144</v>
      </c>
      <c r="X10" s="99">
        <f t="shared" si="14"/>
        <v>2757.4875126075517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4.5945945945945945E-3</v>
      </c>
      <c r="C11" s="110">
        <v>707</v>
      </c>
      <c r="D11" s="111">
        <v>0.17</v>
      </c>
      <c r="E11" s="111">
        <v>3.5000000000000003E-2</v>
      </c>
      <c r="F11" s="110">
        <v>37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6330.8094594594595</v>
      </c>
      <c r="K11" s="100">
        <f t="shared" si="3"/>
        <v>6431.7668779094593</v>
      </c>
      <c r="L11" s="99">
        <f t="shared" si="4"/>
        <v>6330.8094594594595</v>
      </c>
      <c r="M11" s="35">
        <f t="shared" si="5"/>
        <v>6431.7668779094593</v>
      </c>
      <c r="N11" s="114">
        <v>0.01</v>
      </c>
      <c r="O11" s="36">
        <f t="shared" si="6"/>
        <v>2230.857769232136</v>
      </c>
      <c r="P11" s="99">
        <f t="shared" si="7"/>
        <v>2230.857769232136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0.31</v>
      </c>
      <c r="U11" s="99">
        <f t="shared" si="11"/>
        <v>127464.26692303593</v>
      </c>
      <c r="V11" s="100">
        <f t="shared" si="12"/>
        <v>4409.7930470651199</v>
      </c>
      <c r="W11" s="100">
        <f t="shared" si="13"/>
        <v>4608.5512392824394</v>
      </c>
      <c r="X11" s="99">
        <f t="shared" si="14"/>
        <v>4409.7930470651199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4.5945945945945945E-3</v>
      </c>
      <c r="C12" s="110">
        <v>708</v>
      </c>
      <c r="D12" s="111">
        <v>0.17</v>
      </c>
      <c r="E12" s="111">
        <v>3.5000000000000003E-2</v>
      </c>
      <c r="F12" s="110">
        <v>37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3336.6775675675676</v>
      </c>
      <c r="K12" s="100">
        <f t="shared" si="3"/>
        <v>3389.8875647375676</v>
      </c>
      <c r="L12" s="99">
        <f t="shared" si="4"/>
        <v>3336.6775675675676</v>
      </c>
      <c r="M12" s="35">
        <f t="shared" si="5"/>
        <v>3389.8875647375676</v>
      </c>
      <c r="N12" s="114">
        <v>0</v>
      </c>
      <c r="O12" s="36">
        <f t="shared" si="6"/>
        <v>0</v>
      </c>
      <c r="P12" s="99">
        <f t="shared" si="7"/>
        <v>0</v>
      </c>
      <c r="Q12" s="115">
        <v>0.11</v>
      </c>
      <c r="R12" s="36">
        <f t="shared" si="8"/>
        <v>12933.604201749067</v>
      </c>
      <c r="S12" s="99">
        <f t="shared" si="9"/>
        <v>12933.604201749067</v>
      </c>
      <c r="T12" s="101">
        <f t="shared" si="10"/>
        <v>0.11</v>
      </c>
      <c r="U12" s="99">
        <f t="shared" si="11"/>
        <v>89520.395798250931</v>
      </c>
      <c r="V12" s="100">
        <f t="shared" si="12"/>
        <v>2977.410784185648</v>
      </c>
      <c r="W12" s="100">
        <f t="shared" si="13"/>
        <v>3111.6086430504633</v>
      </c>
      <c r="X12" s="99">
        <f t="shared" si="14"/>
        <v>2977.410784185648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4.4736842105263163E-3</v>
      </c>
      <c r="C13" s="110">
        <v>709</v>
      </c>
      <c r="D13" s="111">
        <v>0.17</v>
      </c>
      <c r="E13" s="111">
        <v>3.5000000000000003E-2</v>
      </c>
      <c r="F13" s="110">
        <v>38</v>
      </c>
      <c r="G13" s="112">
        <v>1</v>
      </c>
      <c r="H13" s="113">
        <v>38407.599999999999</v>
      </c>
      <c r="I13" s="99">
        <f t="shared" si="1"/>
        <v>38407.599999999999</v>
      </c>
      <c r="J13" s="100">
        <f t="shared" si="15"/>
        <v>1217.9252105263158</v>
      </c>
      <c r="K13" s="100">
        <f t="shared" si="3"/>
        <v>1237.8723896243159</v>
      </c>
      <c r="L13" s="99">
        <f t="shared" si="4"/>
        <v>1217.9252105263158</v>
      </c>
      <c r="M13" s="35">
        <f t="shared" si="5"/>
        <v>1237.8723896243159</v>
      </c>
      <c r="N13" s="114">
        <v>0.106</v>
      </c>
      <c r="O13" s="36">
        <f t="shared" si="6"/>
        <v>4672.195402490549</v>
      </c>
      <c r="P13" s="99">
        <f t="shared" si="7"/>
        <v>4672.195402490549</v>
      </c>
      <c r="Q13" s="115">
        <v>0.3</v>
      </c>
      <c r="R13" s="36">
        <f t="shared" si="8"/>
        <v>13223.194535350611</v>
      </c>
      <c r="S13" s="99">
        <f t="shared" si="9"/>
        <v>13223.194535350611</v>
      </c>
      <c r="T13" s="101">
        <f t="shared" si="10"/>
        <v>0.40599999999999997</v>
      </c>
      <c r="U13" s="99">
        <f t="shared" si="11"/>
        <v>25184.40546464939</v>
      </c>
      <c r="V13" s="100">
        <f t="shared" si="12"/>
        <v>734.26602301709522</v>
      </c>
      <c r="W13" s="100">
        <f t="shared" si="13"/>
        <v>768.28016226733916</v>
      </c>
      <c r="X13" s="99">
        <f t="shared" si="14"/>
        <v>734.26602301709522</v>
      </c>
      <c r="Y13" s="55">
        <v>62</v>
      </c>
      <c r="AA13" s="97"/>
      <c r="AB13" s="97"/>
      <c r="AC13" s="97"/>
      <c r="AD13" s="98"/>
    </row>
    <row r="14" spans="1:31" x14ac:dyDescent="0.3">
      <c r="B14" s="78">
        <f t="shared" si="0"/>
        <v>4.4736842105263163E-3</v>
      </c>
      <c r="C14" s="110">
        <v>710</v>
      </c>
      <c r="D14" s="111">
        <v>0.17</v>
      </c>
      <c r="E14" s="111">
        <v>3.5000000000000003E-2</v>
      </c>
      <c r="F14" s="110">
        <v>38</v>
      </c>
      <c r="G14" s="112">
        <v>1</v>
      </c>
      <c r="H14" s="113">
        <v>63367.5</v>
      </c>
      <c r="I14" s="99">
        <f t="shared" si="1"/>
        <v>63367.5</v>
      </c>
      <c r="J14" s="100">
        <f t="shared" si="15"/>
        <v>2009.4167763157898</v>
      </c>
      <c r="K14" s="100">
        <f t="shared" si="3"/>
        <v>2042.3270042782897</v>
      </c>
      <c r="L14" s="99">
        <f t="shared" si="4"/>
        <v>2009.4167763157898</v>
      </c>
      <c r="M14" s="35">
        <f t="shared" si="5"/>
        <v>2042.3270042782897</v>
      </c>
      <c r="N14" s="114">
        <v>0.1956</v>
      </c>
      <c r="O14" s="36">
        <f t="shared" si="6"/>
        <v>14224.381330171036</v>
      </c>
      <c r="P14" s="99">
        <f t="shared" si="7"/>
        <v>14224.381330171036</v>
      </c>
      <c r="Q14" s="115">
        <v>0.3</v>
      </c>
      <c r="R14" s="36">
        <f t="shared" si="8"/>
        <v>21816.535782470914</v>
      </c>
      <c r="S14" s="99">
        <f t="shared" si="9"/>
        <v>21816.535782470914</v>
      </c>
      <c r="T14" s="101">
        <f t="shared" si="10"/>
        <v>0.49559999999999998</v>
      </c>
      <c r="U14" s="99">
        <f t="shared" si="11"/>
        <v>41550.964217529086</v>
      </c>
      <c r="V14" s="100">
        <f t="shared" si="12"/>
        <v>1035.3379354335743</v>
      </c>
      <c r="W14" s="100">
        <f t="shared" si="13"/>
        <v>1083.2989299545993</v>
      </c>
      <c r="X14" s="99">
        <f t="shared" si="14"/>
        <v>1035.3379354335743</v>
      </c>
      <c r="Y14" s="55">
        <v>70</v>
      </c>
      <c r="AA14" s="97"/>
      <c r="AB14" s="97"/>
      <c r="AC14" s="97"/>
      <c r="AD14" s="98"/>
    </row>
    <row r="15" spans="1:31" x14ac:dyDescent="0.3">
      <c r="B15" s="78">
        <f t="shared" si="0"/>
        <v>4.3589743589743596E-3</v>
      </c>
      <c r="C15" s="110">
        <v>711</v>
      </c>
      <c r="D15" s="111">
        <v>0.17</v>
      </c>
      <c r="E15" s="111">
        <v>3.5000000000000003E-2</v>
      </c>
      <c r="F15" s="110">
        <v>39</v>
      </c>
      <c r="G15" s="112">
        <v>1</v>
      </c>
      <c r="H15" s="113">
        <v>102454</v>
      </c>
      <c r="I15" s="99">
        <f t="shared" si="1"/>
        <v>102454</v>
      </c>
      <c r="J15" s="100">
        <f>IFERROR(((H15*(1+SUM(D15:E15)))/F15),"-")</f>
        <v>3165.5658974358976</v>
      </c>
      <c r="K15" s="100">
        <f>IFERROR((J15*(1+F15*0.0431%)),"-")</f>
        <v>3218.775894605898</v>
      </c>
      <c r="L15" s="99">
        <f>IFERROR(J15*G15,"-")</f>
        <v>3165.5658974358976</v>
      </c>
      <c r="M15" s="35">
        <f t="shared" si="5"/>
        <v>3218.775894605898</v>
      </c>
      <c r="N15" s="114">
        <v>2.1000000000000001E-2</v>
      </c>
      <c r="O15" s="36">
        <f t="shared" si="6"/>
        <v>2469.1426203339133</v>
      </c>
      <c r="P15" s="99">
        <f t="shared" si="7"/>
        <v>2469.1426203339133</v>
      </c>
      <c r="Q15" s="115">
        <v>0.3</v>
      </c>
      <c r="R15" s="36">
        <f t="shared" si="8"/>
        <v>35273.466004770184</v>
      </c>
      <c r="S15" s="99">
        <f t="shared" si="9"/>
        <v>35273.466004770184</v>
      </c>
      <c r="T15" s="101">
        <f t="shared" si="10"/>
        <v>0.32100000000000001</v>
      </c>
      <c r="U15" s="99">
        <f t="shared" si="11"/>
        <v>67180.533995229809</v>
      </c>
      <c r="V15" s="100">
        <f>IFERROR(((($H15*(1+D15+E15))-(O15+R15)-J15)/($F15-1)),"-")</f>
        <v>2172.3393546699995</v>
      </c>
      <c r="W15" s="100">
        <f>IFERROR((V15*(1+($F15-1)*0.1252%)),"-")</f>
        <v>2275.6905718077796</v>
      </c>
      <c r="X15" s="99">
        <f>IFERROR(V15*G15,"-")</f>
        <v>2172.3393546699995</v>
      </c>
      <c r="Y15" s="55">
        <v>22</v>
      </c>
      <c r="AA15" s="97" t="e">
        <f>#REF!</f>
        <v>#REF!</v>
      </c>
      <c r="AB15" s="97" t="e">
        <f>#REF!</f>
        <v>#REF!</v>
      </c>
      <c r="AC15" s="97">
        <f>AVERAGE(F15:F30)</f>
        <v>44.125</v>
      </c>
      <c r="AD15" s="98" t="e">
        <f>#REF!</f>
        <v>#REF!</v>
      </c>
    </row>
    <row r="16" spans="1:31" x14ac:dyDescent="0.3">
      <c r="B16" s="78">
        <f t="shared" si="0"/>
        <v>4.3589743589743596E-3</v>
      </c>
      <c r="C16" s="110">
        <v>712</v>
      </c>
      <c r="D16" s="111">
        <v>0.17</v>
      </c>
      <c r="E16" s="111">
        <v>3.5000000000000003E-2</v>
      </c>
      <c r="F16" s="110">
        <v>39</v>
      </c>
      <c r="G16" s="112">
        <v>1</v>
      </c>
      <c r="H16" s="113">
        <v>194390</v>
      </c>
      <c r="I16" s="99">
        <f t="shared" si="1"/>
        <v>194390</v>
      </c>
      <c r="J16" s="100">
        <f t="shared" ref="J16:J21" si="16">IFERROR(((H16*(1+SUM(D16:E16)))/F16),"-")</f>
        <v>6006.1525641025646</v>
      </c>
      <c r="K16" s="100">
        <f t="shared" ref="K16:K21" si="17">IFERROR((J16*(1+F16*0.0431%)),"-")</f>
        <v>6107.1099825525653</v>
      </c>
      <c r="L16" s="99">
        <f t="shared" ref="L16:L21" si="18">IFERROR(J16*G16,"-")</f>
        <v>6006.1525641025646</v>
      </c>
      <c r="M16" s="35">
        <f t="shared" si="5"/>
        <v>6107.1099825525653</v>
      </c>
      <c r="N16" s="114">
        <v>0.05</v>
      </c>
      <c r="O16" s="36">
        <f t="shared" si="6"/>
        <v>11154.28884616068</v>
      </c>
      <c r="P16" s="99">
        <f t="shared" si="7"/>
        <v>11154.28884616068</v>
      </c>
      <c r="Q16" s="115">
        <v>0.3</v>
      </c>
      <c r="R16" s="36">
        <f t="shared" si="8"/>
        <v>66925.733076964068</v>
      </c>
      <c r="S16" s="99">
        <f t="shared" si="9"/>
        <v>66925.733076964068</v>
      </c>
      <c r="T16" s="101">
        <f t="shared" si="10"/>
        <v>0.35</v>
      </c>
      <c r="U16" s="99">
        <f t="shared" si="11"/>
        <v>127464.26692303593</v>
      </c>
      <c r="V16" s="100">
        <f t="shared" ref="V16:V21" si="19">IFERROR(((($H16*(1+D16+E16))-(O16+R16)-J16)/($F16-1)),"-")</f>
        <v>3951.4151450729651</v>
      </c>
      <c r="W16" s="100">
        <f t="shared" ref="W16:W21" si="20">IFERROR((V16*(1+($F16-1)*0.1252%)),"-")</f>
        <v>4139.4076720149569</v>
      </c>
      <c r="X16" s="99">
        <f t="shared" ref="X16:X21" si="21">IFERROR(V16*G16,"-")</f>
        <v>3951.4151450729651</v>
      </c>
      <c r="Y16" s="55">
        <v>31</v>
      </c>
      <c r="AA16" s="97"/>
      <c r="AB16" s="97"/>
      <c r="AC16" s="97"/>
      <c r="AD16" s="98"/>
    </row>
    <row r="17" spans="2:30" x14ac:dyDescent="0.3">
      <c r="B17" s="78">
        <f t="shared" si="0"/>
        <v>4.2500000000000003E-3</v>
      </c>
      <c r="C17" s="110">
        <v>713</v>
      </c>
      <c r="D17" s="111">
        <v>0.17</v>
      </c>
      <c r="E17" s="111">
        <v>3.5000000000000003E-2</v>
      </c>
      <c r="F17" s="110">
        <v>40</v>
      </c>
      <c r="G17" s="112">
        <v>1</v>
      </c>
      <c r="H17" s="113">
        <v>38407.599999999999</v>
      </c>
      <c r="I17" s="99">
        <f t="shared" si="1"/>
        <v>38407.599999999999</v>
      </c>
      <c r="J17" s="100">
        <f t="shared" si="16"/>
        <v>1157.0289500000001</v>
      </c>
      <c r="K17" s="100">
        <f t="shared" si="17"/>
        <v>1176.976129098</v>
      </c>
      <c r="L17" s="99">
        <f t="shared" si="18"/>
        <v>1157.0289500000001</v>
      </c>
      <c r="M17" s="35">
        <f t="shared" si="5"/>
        <v>1176.976129098</v>
      </c>
      <c r="N17" s="114">
        <v>0.21609999999999999</v>
      </c>
      <c r="O17" s="36">
        <f t="shared" si="6"/>
        <v>9525.1077969642229</v>
      </c>
      <c r="P17" s="99">
        <f t="shared" si="7"/>
        <v>9525.1077969642229</v>
      </c>
      <c r="Q17" s="115">
        <v>0.3</v>
      </c>
      <c r="R17" s="36">
        <f t="shared" si="8"/>
        <v>13223.194535350611</v>
      </c>
      <c r="S17" s="99">
        <f t="shared" si="9"/>
        <v>13223.194535350611</v>
      </c>
      <c r="T17" s="101">
        <f t="shared" si="10"/>
        <v>0.5161</v>
      </c>
      <c r="U17" s="99">
        <f t="shared" si="11"/>
        <v>25184.40546464939</v>
      </c>
      <c r="V17" s="100">
        <f t="shared" si="19"/>
        <v>573.73914660731191</v>
      </c>
      <c r="W17" s="100">
        <f t="shared" si="20"/>
        <v>601.7536816578538</v>
      </c>
      <c r="X17" s="99">
        <f t="shared" si="21"/>
        <v>573.73914660731191</v>
      </c>
      <c r="Y17" s="55">
        <v>58</v>
      </c>
      <c r="AA17" s="97"/>
      <c r="AB17" s="97"/>
      <c r="AC17" s="97"/>
      <c r="AD17" s="98"/>
    </row>
    <row r="18" spans="2:30" x14ac:dyDescent="0.3">
      <c r="B18" s="78">
        <f t="shared" si="0"/>
        <v>4.2500000000000003E-3</v>
      </c>
      <c r="C18" s="110">
        <v>714</v>
      </c>
      <c r="D18" s="111">
        <v>0.17</v>
      </c>
      <c r="E18" s="111">
        <v>3.5000000000000003E-2</v>
      </c>
      <c r="F18" s="110">
        <v>40</v>
      </c>
      <c r="G18" s="112">
        <v>1</v>
      </c>
      <c r="H18" s="113">
        <v>63367.5</v>
      </c>
      <c r="I18" s="99">
        <f t="shared" si="1"/>
        <v>63367.5</v>
      </c>
      <c r="J18" s="100">
        <f t="shared" si="16"/>
        <v>1908.9459375000001</v>
      </c>
      <c r="K18" s="100">
        <f t="shared" si="17"/>
        <v>1941.8561654625</v>
      </c>
      <c r="L18" s="99">
        <f t="shared" si="18"/>
        <v>1908.9459375000001</v>
      </c>
      <c r="M18" s="35">
        <f t="shared" si="5"/>
        <v>1941.8561654625</v>
      </c>
      <c r="N18" s="114">
        <v>0.14499999999999999</v>
      </c>
      <c r="O18" s="36">
        <f t="shared" si="6"/>
        <v>10544.658961527606</v>
      </c>
      <c r="P18" s="99">
        <f t="shared" si="7"/>
        <v>10544.658961527606</v>
      </c>
      <c r="Q18" s="115">
        <v>0.3</v>
      </c>
      <c r="R18" s="36">
        <f t="shared" si="8"/>
        <v>21816.535782470914</v>
      </c>
      <c r="S18" s="99">
        <f t="shared" si="9"/>
        <v>21816.535782470914</v>
      </c>
      <c r="T18" s="101">
        <f t="shared" si="10"/>
        <v>0.44499999999999995</v>
      </c>
      <c r="U18" s="99">
        <f t="shared" si="11"/>
        <v>41550.964217529086</v>
      </c>
      <c r="V18" s="100">
        <f t="shared" si="19"/>
        <v>1079.1717132949095</v>
      </c>
      <c r="W18" s="100">
        <f t="shared" si="20"/>
        <v>1131.8655097116734</v>
      </c>
      <c r="X18" s="99">
        <f t="shared" si="21"/>
        <v>1079.1717132949095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4.1463414634146344E-3</v>
      </c>
      <c r="C19" s="110">
        <v>715</v>
      </c>
      <c r="D19" s="111">
        <v>0.17</v>
      </c>
      <c r="E19" s="111">
        <v>3.5000000000000003E-2</v>
      </c>
      <c r="F19" s="110">
        <v>41</v>
      </c>
      <c r="G19" s="112">
        <v>1</v>
      </c>
      <c r="H19" s="113">
        <v>102454</v>
      </c>
      <c r="I19" s="99">
        <f t="shared" si="1"/>
        <v>102454</v>
      </c>
      <c r="J19" s="100">
        <f t="shared" si="16"/>
        <v>3011.1480487804879</v>
      </c>
      <c r="K19" s="100">
        <f t="shared" si="17"/>
        <v>3064.3580459504878</v>
      </c>
      <c r="L19" s="99">
        <f t="shared" si="18"/>
        <v>3011.1480487804879</v>
      </c>
      <c r="M19" s="35">
        <f t="shared" si="5"/>
        <v>3064.3580459504878</v>
      </c>
      <c r="N19" s="114">
        <v>6.6000000000000003E-2</v>
      </c>
      <c r="O19" s="36">
        <f t="shared" si="6"/>
        <v>7760.1625210494412</v>
      </c>
      <c r="P19" s="99">
        <f t="shared" si="7"/>
        <v>7760.1625210494412</v>
      </c>
      <c r="Q19" s="115">
        <v>0.3</v>
      </c>
      <c r="R19" s="36">
        <f t="shared" si="8"/>
        <v>35273.466004770184</v>
      </c>
      <c r="S19" s="99">
        <f t="shared" si="9"/>
        <v>35273.466004770184</v>
      </c>
      <c r="T19" s="101">
        <f t="shared" si="10"/>
        <v>0.36599999999999999</v>
      </c>
      <c r="U19" s="99">
        <f t="shared" si="11"/>
        <v>67180.533995229809</v>
      </c>
      <c r="V19" s="100">
        <f t="shared" si="19"/>
        <v>1935.3073356349964</v>
      </c>
      <c r="W19" s="100">
        <f t="shared" si="20"/>
        <v>2032.2275270035968</v>
      </c>
      <c r="X19" s="99">
        <f t="shared" si="21"/>
        <v>1935.3073356349964</v>
      </c>
      <c r="Y19" s="55">
        <v>24</v>
      </c>
      <c r="AA19" s="97"/>
      <c r="AB19" s="97"/>
      <c r="AC19" s="97"/>
      <c r="AD19" s="98"/>
    </row>
    <row r="20" spans="2:30" x14ac:dyDescent="0.3">
      <c r="B20" s="78">
        <f t="shared" si="0"/>
        <v>4.0476190476190482E-3</v>
      </c>
      <c r="C20" s="110">
        <v>716</v>
      </c>
      <c r="D20" s="111">
        <v>0.17</v>
      </c>
      <c r="E20" s="111">
        <v>3.5000000000000003E-2</v>
      </c>
      <c r="F20" s="110">
        <v>42</v>
      </c>
      <c r="G20" s="112">
        <v>1</v>
      </c>
      <c r="H20" s="113">
        <v>194390</v>
      </c>
      <c r="I20" s="99">
        <f t="shared" si="1"/>
        <v>194390</v>
      </c>
      <c r="J20" s="100">
        <f t="shared" si="16"/>
        <v>5577.1416666666673</v>
      </c>
      <c r="K20" s="100">
        <f t="shared" si="17"/>
        <v>5678.099085116668</v>
      </c>
      <c r="L20" s="99">
        <f t="shared" si="18"/>
        <v>5577.1416666666673</v>
      </c>
      <c r="M20" s="35">
        <f t="shared" si="5"/>
        <v>5678.099085116668</v>
      </c>
      <c r="N20" s="114">
        <v>0.03</v>
      </c>
      <c r="O20" s="36">
        <f t="shared" si="6"/>
        <v>6692.5733076964079</v>
      </c>
      <c r="P20" s="99">
        <f t="shared" si="7"/>
        <v>6692.5733076964079</v>
      </c>
      <c r="Q20" s="115">
        <v>0.3</v>
      </c>
      <c r="R20" s="36">
        <f t="shared" si="8"/>
        <v>66925.733076964068</v>
      </c>
      <c r="S20" s="99">
        <f t="shared" si="9"/>
        <v>66925.733076964068</v>
      </c>
      <c r="T20" s="101">
        <f t="shared" si="10"/>
        <v>0.32999999999999996</v>
      </c>
      <c r="U20" s="99">
        <f t="shared" si="11"/>
        <v>127464.26692303593</v>
      </c>
      <c r="V20" s="100">
        <f t="shared" si="19"/>
        <v>3781.5732182603133</v>
      </c>
      <c r="W20" s="100">
        <f t="shared" si="20"/>
        <v>3975.6889347000515</v>
      </c>
      <c r="X20" s="99">
        <f t="shared" si="21"/>
        <v>3781.5732182603133</v>
      </c>
      <c r="Y20" s="55">
        <v>58</v>
      </c>
      <c r="AA20" s="97"/>
      <c r="AB20" s="97"/>
      <c r="AC20" s="97"/>
      <c r="AD20" s="98"/>
    </row>
    <row r="21" spans="2:30" x14ac:dyDescent="0.3">
      <c r="B21" s="78">
        <f t="shared" si="0"/>
        <v>4.0476190476190482E-3</v>
      </c>
      <c r="C21" s="110">
        <v>717</v>
      </c>
      <c r="D21" s="111">
        <v>0.17</v>
      </c>
      <c r="E21" s="111">
        <v>3.5000000000000003E-2</v>
      </c>
      <c r="F21" s="110">
        <v>42</v>
      </c>
      <c r="G21" s="112">
        <v>1</v>
      </c>
      <c r="H21" s="113">
        <v>38407.599999999999</v>
      </c>
      <c r="I21" s="99">
        <f t="shared" si="1"/>
        <v>38407.599999999999</v>
      </c>
      <c r="J21" s="100">
        <f t="shared" si="16"/>
        <v>1101.9323333333334</v>
      </c>
      <c r="K21" s="100">
        <f t="shared" si="17"/>
        <v>1121.8795124313335</v>
      </c>
      <c r="L21" s="99">
        <f t="shared" si="18"/>
        <v>1101.9323333333334</v>
      </c>
      <c r="M21" s="35">
        <f t="shared" si="5"/>
        <v>1121.8795124313335</v>
      </c>
      <c r="N21" s="114">
        <v>0.20100000000000001</v>
      </c>
      <c r="O21" s="36">
        <f t="shared" si="6"/>
        <v>8859.5403386849102</v>
      </c>
      <c r="P21" s="99">
        <f t="shared" si="7"/>
        <v>8859.5403386849102</v>
      </c>
      <c r="Q21" s="115">
        <v>0.3</v>
      </c>
      <c r="R21" s="36">
        <f t="shared" si="8"/>
        <v>13223.194535350611</v>
      </c>
      <c r="S21" s="99">
        <f t="shared" si="9"/>
        <v>13223.194535350611</v>
      </c>
      <c r="T21" s="101">
        <f t="shared" si="10"/>
        <v>0.501</v>
      </c>
      <c r="U21" s="99">
        <f t="shared" si="11"/>
        <v>25184.40546464939</v>
      </c>
      <c r="V21" s="100">
        <f t="shared" si="19"/>
        <v>563.32904372271071</v>
      </c>
      <c r="W21" s="100">
        <f t="shared" si="20"/>
        <v>592.24585019508481</v>
      </c>
      <c r="X21" s="99">
        <f t="shared" si="21"/>
        <v>563.32904372271071</v>
      </c>
      <c r="Y21" s="55">
        <v>56</v>
      </c>
      <c r="AA21" s="97"/>
      <c r="AB21" s="97"/>
      <c r="AC21" s="97"/>
      <c r="AD21" s="98"/>
    </row>
    <row r="22" spans="2:30" x14ac:dyDescent="0.3">
      <c r="B22" s="78">
        <f t="shared" si="0"/>
        <v>4.0476190476190482E-3</v>
      </c>
      <c r="C22" s="110">
        <v>718</v>
      </c>
      <c r="D22" s="111">
        <v>0.17</v>
      </c>
      <c r="E22" s="111">
        <v>3.5000000000000003E-2</v>
      </c>
      <c r="F22" s="110">
        <v>42</v>
      </c>
      <c r="G22" s="112">
        <v>1</v>
      </c>
      <c r="H22" s="113">
        <v>63367.5</v>
      </c>
      <c r="I22" s="99">
        <f t="shared" si="1"/>
        <v>63367.5</v>
      </c>
      <c r="J22" s="100">
        <f>IFERROR(((H22*(1+SUM(D22:E22)))/F22),"-")</f>
        <v>1818.0437500000003</v>
      </c>
      <c r="K22" s="100">
        <f>IFERROR((J22*(1+F22*0.0431%)),"-")</f>
        <v>1850.9539779625004</v>
      </c>
      <c r="L22" s="99">
        <f>IFERROR(J22*G22,"-")</f>
        <v>1818.0437500000003</v>
      </c>
      <c r="M22" s="35">
        <f t="shared" si="5"/>
        <v>1850.9539779625004</v>
      </c>
      <c r="N22" s="114">
        <v>0.16</v>
      </c>
      <c r="O22" s="36">
        <f t="shared" si="6"/>
        <v>11635.485750651154</v>
      </c>
      <c r="P22" s="99">
        <f t="shared" si="7"/>
        <v>11635.485750651154</v>
      </c>
      <c r="Q22" s="115">
        <v>0.3</v>
      </c>
      <c r="R22" s="36">
        <f t="shared" si="8"/>
        <v>21816.535782470914</v>
      </c>
      <c r="S22" s="99">
        <f t="shared" si="9"/>
        <v>21816.535782470914</v>
      </c>
      <c r="T22" s="101">
        <f t="shared" si="10"/>
        <v>0.45999999999999996</v>
      </c>
      <c r="U22" s="99">
        <f t="shared" si="11"/>
        <v>41550.964217529086</v>
      </c>
      <c r="V22" s="100">
        <f>IFERROR(((($H22*(1+D22+E22))-(O22+R22)-J22)/($F22-1)),"-")</f>
        <v>1002.1407857775105</v>
      </c>
      <c r="W22" s="100">
        <f>IFERROR((V22*(1+($F22-1)*0.1252%)),"-")</f>
        <v>1053.5826765930415</v>
      </c>
      <c r="X22" s="99">
        <f>IFERROR(V22*G22,"-")</f>
        <v>1002.1407857775105</v>
      </c>
      <c r="Y22" s="55">
        <v>67</v>
      </c>
      <c r="AA22" s="97" t="e">
        <f>#REF!</f>
        <v>#REF!</v>
      </c>
      <c r="AB22" s="97" t="e">
        <f>#REF!</f>
        <v>#REF!</v>
      </c>
      <c r="AC22" s="97">
        <f>AVERAGE(F22:F30)</f>
        <v>47</v>
      </c>
      <c r="AD22" s="98" t="e">
        <f>#REF!</f>
        <v>#REF!</v>
      </c>
    </row>
    <row r="23" spans="2:30" x14ac:dyDescent="0.3">
      <c r="B23" s="78">
        <f t="shared" si="0"/>
        <v>3.9534883720930237E-3</v>
      </c>
      <c r="C23" s="110">
        <v>719</v>
      </c>
      <c r="D23" s="111">
        <v>0.17</v>
      </c>
      <c r="E23" s="111">
        <v>3.5000000000000003E-2</v>
      </c>
      <c r="F23" s="110">
        <v>43</v>
      </c>
      <c r="G23" s="112">
        <v>1</v>
      </c>
      <c r="H23" s="113">
        <v>102454</v>
      </c>
      <c r="I23" s="99">
        <f t="shared" si="1"/>
        <v>102454</v>
      </c>
      <c r="J23" s="100">
        <f t="shared" ref="J23:J28" si="22">IFERROR(((H23*(1+SUM(D23:E23)))/F23),"-")</f>
        <v>2871.0946511627908</v>
      </c>
      <c r="K23" s="100">
        <f t="shared" ref="K23:K29" si="23">IFERROR((J23*(1+F23*0.0431%)),"-")</f>
        <v>2924.3046483327907</v>
      </c>
      <c r="L23" s="99">
        <f t="shared" ref="L23:L29" si="24">IFERROR(J23*G23,"-")</f>
        <v>2871.0946511627908</v>
      </c>
      <c r="M23" s="35">
        <f t="shared" si="5"/>
        <v>2924.3046483327907</v>
      </c>
      <c r="N23" s="114">
        <v>0.127</v>
      </c>
      <c r="O23" s="36">
        <f t="shared" si="6"/>
        <v>14932.433942019379</v>
      </c>
      <c r="P23" s="99">
        <f t="shared" si="7"/>
        <v>14932.433942019379</v>
      </c>
      <c r="Q23" s="115">
        <v>0.3</v>
      </c>
      <c r="R23" s="36">
        <f t="shared" si="8"/>
        <v>35273.466004770184</v>
      </c>
      <c r="S23" s="99">
        <f t="shared" si="9"/>
        <v>35273.466004770184</v>
      </c>
      <c r="T23" s="101">
        <f t="shared" si="10"/>
        <v>0.42699999999999999</v>
      </c>
      <c r="U23" s="99">
        <f t="shared" si="11"/>
        <v>67180.533995229809</v>
      </c>
      <c r="V23" s="100">
        <f t="shared" ref="V23:V29" si="25">IFERROR(((($H23*(1+D23+E23))-(O23+R23)-J23)/($F23-1)),"-")</f>
        <v>1675.7160810011342</v>
      </c>
      <c r="W23" s="100">
        <f t="shared" ref="W23:W29" si="26">IFERROR((V23*(1+($F23-1)*0.1252%)),"-")</f>
        <v>1763.8319354044977</v>
      </c>
      <c r="X23" s="99">
        <f t="shared" ref="X23:X29" si="27">IFERROR(V23*G23,"-")</f>
        <v>1675.7160810011342</v>
      </c>
      <c r="Y23" s="55">
        <v>23</v>
      </c>
      <c r="AA23" s="97"/>
      <c r="AB23" s="97"/>
      <c r="AC23" s="97"/>
      <c r="AD23" s="98"/>
    </row>
    <row r="24" spans="2:30" x14ac:dyDescent="0.3">
      <c r="B24" s="78">
        <f t="shared" si="0"/>
        <v>3.9534883720930237E-3</v>
      </c>
      <c r="C24" s="110">
        <v>720</v>
      </c>
      <c r="D24" s="111">
        <v>0.17</v>
      </c>
      <c r="E24" s="111">
        <v>3.5000000000000003E-2</v>
      </c>
      <c r="F24" s="110">
        <v>43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1076.306</v>
      </c>
      <c r="K24" s="100">
        <f t="shared" si="23"/>
        <v>1096.2531790979999</v>
      </c>
      <c r="L24" s="99">
        <f t="shared" si="24"/>
        <v>1076.306</v>
      </c>
      <c r="M24" s="35">
        <f t="shared" si="5"/>
        <v>1096.2531790979999</v>
      </c>
      <c r="N24" s="114">
        <v>0.1943</v>
      </c>
      <c r="O24" s="36">
        <f t="shared" si="6"/>
        <v>8564.2223273954132</v>
      </c>
      <c r="P24" s="99">
        <f t="shared" si="7"/>
        <v>8564.2223273954132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0.49429999999999996</v>
      </c>
      <c r="U24" s="99">
        <f t="shared" si="11"/>
        <v>25184.40546464939</v>
      </c>
      <c r="V24" s="100">
        <f t="shared" si="25"/>
        <v>557.55797945842789</v>
      </c>
      <c r="W24" s="100">
        <f t="shared" si="26"/>
        <v>586.8766082502699</v>
      </c>
      <c r="X24" s="99">
        <f t="shared" si="27"/>
        <v>557.55797945842789</v>
      </c>
      <c r="Y24" s="55">
        <v>68</v>
      </c>
      <c r="AA24" s="97"/>
      <c r="AB24" s="97"/>
      <c r="AC24" s="97"/>
      <c r="AD24" s="98"/>
    </row>
    <row r="25" spans="2:30" x14ac:dyDescent="0.3">
      <c r="B25" s="78">
        <f t="shared" si="0"/>
        <v>3.8636363636363638E-3</v>
      </c>
      <c r="C25" s="110">
        <v>721</v>
      </c>
      <c r="D25" s="111">
        <v>0.17</v>
      </c>
      <c r="E25" s="111">
        <v>3.5000000000000003E-2</v>
      </c>
      <c r="F25" s="110">
        <v>44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1735.4053977272729</v>
      </c>
      <c r="K25" s="100">
        <f t="shared" si="23"/>
        <v>1768.3156256897728</v>
      </c>
      <c r="L25" s="99">
        <f t="shared" si="24"/>
        <v>1735.4053977272729</v>
      </c>
      <c r="M25" s="35">
        <f t="shared" si="5"/>
        <v>1768.3156256897728</v>
      </c>
      <c r="N25" s="114">
        <v>0.17799999999999999</v>
      </c>
      <c r="O25" s="36">
        <f t="shared" si="6"/>
        <v>12944.477897599409</v>
      </c>
      <c r="P25" s="99">
        <f t="shared" si="7"/>
        <v>12944.477897599409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0.47799999999999998</v>
      </c>
      <c r="U25" s="99">
        <f t="shared" si="11"/>
        <v>41550.964217529086</v>
      </c>
      <c r="V25" s="100">
        <f t="shared" si="25"/>
        <v>927.00973074889316</v>
      </c>
      <c r="W25" s="100">
        <f t="shared" si="26"/>
        <v>976.91622661349061</v>
      </c>
      <c r="X25" s="99">
        <f t="shared" si="27"/>
        <v>927.00973074889316</v>
      </c>
      <c r="Y25" s="55">
        <v>66</v>
      </c>
      <c r="AA25" s="97"/>
      <c r="AB25" s="97"/>
      <c r="AC25" s="97"/>
      <c r="AD25" s="98"/>
    </row>
    <row r="26" spans="2:30" x14ac:dyDescent="0.3">
      <c r="B26" s="78">
        <f t="shared" si="0"/>
        <v>3.6170212765957448E-3</v>
      </c>
      <c r="C26" s="110">
        <v>722</v>
      </c>
      <c r="D26" s="111">
        <v>0.17</v>
      </c>
      <c r="E26" s="111">
        <v>3.5000000000000003E-2</v>
      </c>
      <c r="F26" s="110">
        <v>47</v>
      </c>
      <c r="G26" s="112">
        <v>1</v>
      </c>
      <c r="H26" s="113">
        <v>38407.599999999999</v>
      </c>
      <c r="I26" s="99">
        <f t="shared" si="1"/>
        <v>38407.599999999999</v>
      </c>
      <c r="J26" s="100">
        <f t="shared" si="22"/>
        <v>984.70548936170223</v>
      </c>
      <c r="K26" s="100">
        <f t="shared" si="23"/>
        <v>1004.6526684597022</v>
      </c>
      <c r="L26" s="99">
        <f t="shared" si="24"/>
        <v>984.70548936170223</v>
      </c>
      <c r="M26" s="35">
        <f t="shared" si="5"/>
        <v>1004.6526684597022</v>
      </c>
      <c r="N26" s="114">
        <v>0.46110000000000001</v>
      </c>
      <c r="O26" s="36">
        <f t="shared" si="6"/>
        <v>20324.050000833889</v>
      </c>
      <c r="P26" s="99">
        <f t="shared" si="7"/>
        <v>20324.050000833889</v>
      </c>
      <c r="Q26" s="115">
        <v>0.3</v>
      </c>
      <c r="R26" s="36">
        <f t="shared" si="8"/>
        <v>13223.194535350611</v>
      </c>
      <c r="S26" s="99">
        <f t="shared" si="9"/>
        <v>13223.194535350611</v>
      </c>
      <c r="T26" s="101">
        <f t="shared" si="10"/>
        <v>0.7611</v>
      </c>
      <c r="U26" s="99">
        <f t="shared" si="11"/>
        <v>25184.40546464939</v>
      </c>
      <c r="V26" s="100">
        <f t="shared" si="25"/>
        <v>255.41756466203896</v>
      </c>
      <c r="W26" s="100">
        <f t="shared" si="26"/>
        <v>270.12757304605515</v>
      </c>
      <c r="X26" s="99">
        <f t="shared" si="27"/>
        <v>255.41756466203896</v>
      </c>
      <c r="Y26" s="55">
        <v>61</v>
      </c>
      <c r="AA26" s="97"/>
      <c r="AB26" s="97"/>
      <c r="AC26" s="97"/>
      <c r="AD26" s="98"/>
    </row>
    <row r="27" spans="2:30" x14ac:dyDescent="0.3">
      <c r="B27" s="78">
        <f t="shared" si="0"/>
        <v>3.6170212765957448E-3</v>
      </c>
      <c r="C27" s="110">
        <v>723</v>
      </c>
      <c r="D27" s="111">
        <v>0.17</v>
      </c>
      <c r="E27" s="111">
        <v>3.5000000000000003E-2</v>
      </c>
      <c r="F27" s="110">
        <v>47</v>
      </c>
      <c r="G27" s="112">
        <v>1</v>
      </c>
      <c r="H27" s="113">
        <v>63367.5</v>
      </c>
      <c r="I27" s="99">
        <f t="shared" si="1"/>
        <v>63367.5</v>
      </c>
      <c r="J27" s="100">
        <f t="shared" si="22"/>
        <v>1624.634840425532</v>
      </c>
      <c r="K27" s="100">
        <f t="shared" si="23"/>
        <v>1657.545068388032</v>
      </c>
      <c r="L27" s="99">
        <f t="shared" si="24"/>
        <v>1624.634840425532</v>
      </c>
      <c r="M27" s="35">
        <f t="shared" si="5"/>
        <v>1657.545068388032</v>
      </c>
      <c r="N27" s="114">
        <v>0.2</v>
      </c>
      <c r="O27" s="36">
        <f t="shared" si="6"/>
        <v>14544.357188313943</v>
      </c>
      <c r="P27" s="99">
        <f t="shared" si="7"/>
        <v>14544.357188313943</v>
      </c>
      <c r="Q27" s="115">
        <v>0.3</v>
      </c>
      <c r="R27" s="36">
        <f t="shared" si="8"/>
        <v>21816.535782470914</v>
      </c>
      <c r="S27" s="99">
        <f t="shared" si="9"/>
        <v>21816.535782470914</v>
      </c>
      <c r="T27" s="101">
        <f t="shared" si="10"/>
        <v>0.5</v>
      </c>
      <c r="U27" s="99">
        <f t="shared" si="11"/>
        <v>41550.964217529086</v>
      </c>
      <c r="V27" s="100">
        <f t="shared" si="25"/>
        <v>834.18064540846967</v>
      </c>
      <c r="W27" s="100">
        <f t="shared" si="26"/>
        <v>882.22277713883432</v>
      </c>
      <c r="X27" s="99">
        <f t="shared" si="27"/>
        <v>834.18064540846967</v>
      </c>
      <c r="Y27" s="55">
        <v>85</v>
      </c>
      <c r="AA27" s="97"/>
      <c r="AB27" s="97"/>
      <c r="AC27" s="97"/>
      <c r="AD27" s="98"/>
    </row>
    <row r="28" spans="2:30" x14ac:dyDescent="0.3">
      <c r="B28" s="78">
        <f t="shared" si="0"/>
        <v>3.6170212765957448E-3</v>
      </c>
      <c r="C28" s="110">
        <v>724</v>
      </c>
      <c r="D28" s="111">
        <v>0.17</v>
      </c>
      <c r="E28" s="111">
        <v>3.5000000000000003E-2</v>
      </c>
      <c r="F28" s="110">
        <v>47</v>
      </c>
      <c r="G28" s="112">
        <v>1</v>
      </c>
      <c r="H28" s="113">
        <v>102454</v>
      </c>
      <c r="I28" s="99">
        <f t="shared" si="1"/>
        <v>102454</v>
      </c>
      <c r="J28" s="100">
        <f t="shared" si="22"/>
        <v>2626.7461702127662</v>
      </c>
      <c r="K28" s="100">
        <f t="shared" si="23"/>
        <v>2679.9561673827661</v>
      </c>
      <c r="L28" s="99">
        <f t="shared" si="24"/>
        <v>2626.7461702127662</v>
      </c>
      <c r="M28" s="35">
        <f t="shared" si="5"/>
        <v>2679.9561673827661</v>
      </c>
      <c r="N28" s="114">
        <v>0.06</v>
      </c>
      <c r="O28" s="36">
        <f t="shared" si="6"/>
        <v>7054.6932009540369</v>
      </c>
      <c r="P28" s="99">
        <f t="shared" si="7"/>
        <v>7054.6932009540369</v>
      </c>
      <c r="Q28" s="115">
        <v>0.3</v>
      </c>
      <c r="R28" s="36">
        <f t="shared" si="8"/>
        <v>35273.466004770184</v>
      </c>
      <c r="S28" s="99">
        <f t="shared" si="9"/>
        <v>35273.466004770184</v>
      </c>
      <c r="T28" s="101">
        <f t="shared" si="10"/>
        <v>0.36</v>
      </c>
      <c r="U28" s="99">
        <f t="shared" si="11"/>
        <v>67180.533995229809</v>
      </c>
      <c r="V28" s="100">
        <f t="shared" si="25"/>
        <v>1706.5687961752824</v>
      </c>
      <c r="W28" s="100">
        <f t="shared" si="26"/>
        <v>1804.8535062846095</v>
      </c>
      <c r="X28" s="99">
        <f t="shared" si="27"/>
        <v>1706.5687961752824</v>
      </c>
      <c r="Y28" s="55">
        <v>26</v>
      </c>
      <c r="AA28" s="97"/>
      <c r="AB28" s="97"/>
      <c r="AC28" s="97"/>
      <c r="AD28" s="98"/>
    </row>
    <row r="29" spans="2:30" x14ac:dyDescent="0.3">
      <c r="B29" s="78">
        <f t="shared" ref="B29:B42" si="28">D29/F29</f>
        <v>3.6170212765957448E-3</v>
      </c>
      <c r="C29" s="110">
        <v>725</v>
      </c>
      <c r="D29" s="111">
        <v>0.17</v>
      </c>
      <c r="E29" s="111">
        <v>3.5000000000000003E-2</v>
      </c>
      <c r="F29" s="110">
        <v>47</v>
      </c>
      <c r="G29" s="112">
        <v>1</v>
      </c>
      <c r="H29" s="113">
        <v>194390</v>
      </c>
      <c r="I29" s="99">
        <f t="shared" ref="I29:I42" si="29">H29*G29</f>
        <v>194390</v>
      </c>
      <c r="J29" s="100">
        <f t="shared" ref="J29" si="30">IFERROR(((H29*(1+SUM(D29:E29)))/F29),"-")</f>
        <v>4983.8287234042555</v>
      </c>
      <c r="K29" s="100">
        <f t="shared" si="23"/>
        <v>5084.7861418542552</v>
      </c>
      <c r="L29" s="99">
        <f t="shared" si="24"/>
        <v>4983.8287234042555</v>
      </c>
      <c r="M29" s="35">
        <f t="shared" ref="M29:M42" si="31">K29*G29</f>
        <v>5084.7861418542552</v>
      </c>
      <c r="N29" s="114">
        <v>0.06</v>
      </c>
      <c r="O29" s="36">
        <f t="shared" ref="O29:O42" si="32">((N29*($H29*(1+D29+E29)))*$Q$1)</f>
        <v>13385.146615392816</v>
      </c>
      <c r="P29" s="99">
        <f t="shared" ref="P29:P42" si="33">O29*G29</f>
        <v>13385.146615392816</v>
      </c>
      <c r="Q29" s="115">
        <v>0.3</v>
      </c>
      <c r="R29" s="36">
        <f t="shared" ref="R29:R42" si="34">((Q29*($H29*(1+D29+E29)))*$Q$1)</f>
        <v>66925.733076964068</v>
      </c>
      <c r="S29" s="99">
        <f t="shared" ref="S29:S42" si="35">R29*G29</f>
        <v>66925.733076964068</v>
      </c>
      <c r="T29" s="101">
        <f t="shared" ref="T29:T42" si="36">(N29+Q29)</f>
        <v>0.36</v>
      </c>
      <c r="U29" s="99">
        <f t="shared" ref="U29:U42" si="37">(I29)-S29</f>
        <v>127464.26692303593</v>
      </c>
      <c r="V29" s="100">
        <f t="shared" si="25"/>
        <v>3237.9400344399746</v>
      </c>
      <c r="W29" s="100">
        <f t="shared" si="26"/>
        <v>3424.419476903442</v>
      </c>
      <c r="X29" s="99">
        <f t="shared" si="27"/>
        <v>3237.9400344399746</v>
      </c>
      <c r="Y29" s="55">
        <v>36</v>
      </c>
      <c r="AA29" s="97"/>
      <c r="AB29" s="97"/>
      <c r="AC29" s="97"/>
      <c r="AD29" s="98"/>
    </row>
    <row r="30" spans="2:30" x14ac:dyDescent="0.3">
      <c r="B30" s="78">
        <f t="shared" si="28"/>
        <v>3.8095238095238095E-3</v>
      </c>
      <c r="C30" s="110">
        <v>726</v>
      </c>
      <c r="D30" s="111">
        <v>0.24</v>
      </c>
      <c r="E30" s="111">
        <v>3.5000000000000003E-2</v>
      </c>
      <c r="F30" s="110">
        <v>63</v>
      </c>
      <c r="G30" s="112">
        <v>1</v>
      </c>
      <c r="H30" s="113">
        <v>38407.599999999999</v>
      </c>
      <c r="I30" s="99">
        <f t="shared" si="29"/>
        <v>38407.599999999999</v>
      </c>
      <c r="J30" s="100">
        <f>IFERROR(((H30*(1+SUM(D30:E30)))/F30),"-")</f>
        <v>777.29666666666662</v>
      </c>
      <c r="K30" s="100">
        <f>IFERROR((J30*(1+F30*0.0431%)),"-")</f>
        <v>798.40260305666663</v>
      </c>
      <c r="L30" s="99">
        <f>IFERROR(J30*G30,"-")</f>
        <v>777.29666666666662</v>
      </c>
      <c r="M30" s="35">
        <f t="shared" si="31"/>
        <v>798.40260305666663</v>
      </c>
      <c r="N30" s="114">
        <v>0.19889999999999999</v>
      </c>
      <c r="O30" s="36">
        <f t="shared" si="32"/>
        <v>9276.263004643366</v>
      </c>
      <c r="P30" s="99">
        <f t="shared" si="33"/>
        <v>9276.263004643366</v>
      </c>
      <c r="Q30" s="115">
        <v>0.3</v>
      </c>
      <c r="R30" s="36">
        <f t="shared" si="34"/>
        <v>13991.346914997534</v>
      </c>
      <c r="S30" s="99">
        <f t="shared" si="35"/>
        <v>13991.346914997534</v>
      </c>
      <c r="T30" s="101">
        <f t="shared" si="36"/>
        <v>0.49890000000000001</v>
      </c>
      <c r="U30" s="99">
        <f t="shared" si="37"/>
        <v>24416.253085002463</v>
      </c>
      <c r="V30" s="100">
        <f>IFERROR(((($H30*(1+D30+E30))-(O30+R30)-J30)/($F30-1)),"-")</f>
        <v>402.01263570471667</v>
      </c>
      <c r="W30" s="100">
        <f>IFERROR((V30*(1+($F30-1)*0.1252%)),"-")</f>
        <v>433.21846453865959</v>
      </c>
      <c r="X30" s="99">
        <f>IFERROR(V30*G30,"-")</f>
        <v>402.01263570471667</v>
      </c>
      <c r="Y30" s="55">
        <v>35</v>
      </c>
      <c r="AA30" s="97" t="e">
        <f>#REF!</f>
        <v>#REF!</v>
      </c>
      <c r="AB30" s="97" t="e">
        <f>#REF!</f>
        <v>#REF!</v>
      </c>
      <c r="AC30" s="97">
        <f>AVERAGE(F30:F43)</f>
        <v>67.785714285714292</v>
      </c>
      <c r="AD30" s="98" t="e">
        <f>#REF!</f>
        <v>#REF!</v>
      </c>
    </row>
    <row r="31" spans="2:30" x14ac:dyDescent="0.3">
      <c r="B31" s="78">
        <f t="shared" si="28"/>
        <v>3.1746031746031746E-3</v>
      </c>
      <c r="C31" s="110">
        <v>727</v>
      </c>
      <c r="D31" s="111">
        <v>0.2</v>
      </c>
      <c r="E31" s="111">
        <v>3.5000000000000003E-2</v>
      </c>
      <c r="F31" s="110">
        <v>63</v>
      </c>
      <c r="G31" s="112">
        <v>1</v>
      </c>
      <c r="H31" s="113">
        <v>63367.5</v>
      </c>
      <c r="I31" s="99">
        <f t="shared" si="29"/>
        <v>63367.5</v>
      </c>
      <c r="J31" s="100">
        <f t="shared" ref="J31:J36" si="38">IFERROR(((H31*(1+SUM(D31:E31)))/F31),"-")</f>
        <v>1242.2041666666667</v>
      </c>
      <c r="K31" s="100">
        <f t="shared" ref="K31:K36" si="39">IFERROR((J31*(1+F31*0.0431%)),"-")</f>
        <v>1275.9337364041667</v>
      </c>
      <c r="L31" s="99">
        <f t="shared" ref="L31:L36" si="40">IFERROR(J31*G31,"-")</f>
        <v>1242.2041666666667</v>
      </c>
      <c r="M31" s="35">
        <f t="shared" si="31"/>
        <v>1275.9337364041667</v>
      </c>
      <c r="N31" s="114">
        <v>0.2394</v>
      </c>
      <c r="O31" s="36">
        <f t="shared" si="32"/>
        <v>17843.029468629509</v>
      </c>
      <c r="P31" s="99">
        <f t="shared" si="33"/>
        <v>17843.029468629509</v>
      </c>
      <c r="Q31" s="115">
        <v>0.3</v>
      </c>
      <c r="R31" s="36">
        <f t="shared" si="34"/>
        <v>22359.68605091417</v>
      </c>
      <c r="S31" s="99">
        <f t="shared" si="35"/>
        <v>22359.68605091417</v>
      </c>
      <c r="T31" s="101">
        <f t="shared" si="36"/>
        <v>0.53939999999999999</v>
      </c>
      <c r="U31" s="99">
        <f t="shared" si="37"/>
        <v>41007.81394908583</v>
      </c>
      <c r="V31" s="100">
        <f t="shared" ref="V31:V36" si="41">IFERROR(((($H31*(1+D31+E31))-(O31+R31)-J31)/($F31-1)),"-")</f>
        <v>593.77327119015547</v>
      </c>
      <c r="W31" s="100">
        <f t="shared" ref="W31:W36" si="42">IFERROR((V31*(1+($F31-1)*0.1252%)),"-")</f>
        <v>639.86432759301999</v>
      </c>
      <c r="X31" s="99">
        <f t="shared" ref="X31:X36" si="43">IFERROR(V31*G31,"-")</f>
        <v>593.77327119015547</v>
      </c>
      <c r="Y31" s="55">
        <v>32</v>
      </c>
      <c r="AA31" s="97"/>
      <c r="AB31" s="97"/>
      <c r="AC31" s="97"/>
      <c r="AD31" s="98"/>
    </row>
    <row r="32" spans="2:30" x14ac:dyDescent="0.3">
      <c r="B32" s="78">
        <f t="shared" si="28"/>
        <v>2.8571428571428571E-3</v>
      </c>
      <c r="C32" s="110">
        <v>728</v>
      </c>
      <c r="D32" s="111">
        <v>0.18</v>
      </c>
      <c r="E32" s="111">
        <v>3.5000000000000003E-2</v>
      </c>
      <c r="F32" s="110">
        <v>63</v>
      </c>
      <c r="G32" s="112">
        <v>1</v>
      </c>
      <c r="H32" s="113">
        <v>102454</v>
      </c>
      <c r="I32" s="99">
        <f t="shared" si="29"/>
        <v>102454</v>
      </c>
      <c r="J32" s="100">
        <f t="shared" si="38"/>
        <v>1975.8985714285716</v>
      </c>
      <c r="K32" s="100">
        <f t="shared" si="39"/>
        <v>2029.5501453385716</v>
      </c>
      <c r="L32" s="99">
        <f t="shared" si="40"/>
        <v>1975.8985714285716</v>
      </c>
      <c r="M32" s="35">
        <f t="shared" si="31"/>
        <v>2029.5501453385716</v>
      </c>
      <c r="N32" s="114">
        <v>0.16</v>
      </c>
      <c r="O32" s="36">
        <f t="shared" si="32"/>
        <v>18968.635660656499</v>
      </c>
      <c r="P32" s="99">
        <f t="shared" si="33"/>
        <v>18968.635660656499</v>
      </c>
      <c r="Q32" s="115">
        <v>0.3</v>
      </c>
      <c r="R32" s="36">
        <f t="shared" si="34"/>
        <v>35566.191863730935</v>
      </c>
      <c r="S32" s="99">
        <f t="shared" si="35"/>
        <v>35566.191863730935</v>
      </c>
      <c r="T32" s="101">
        <f t="shared" si="36"/>
        <v>0.45999999999999996</v>
      </c>
      <c r="U32" s="99">
        <f t="shared" si="37"/>
        <v>66887.808136269072</v>
      </c>
      <c r="V32" s="100">
        <f t="shared" si="41"/>
        <v>1096.3045790997417</v>
      </c>
      <c r="W32" s="100">
        <f t="shared" si="42"/>
        <v>1181.40412574778</v>
      </c>
      <c r="X32" s="99">
        <f t="shared" si="43"/>
        <v>1096.3045790997417</v>
      </c>
      <c r="Y32" s="55">
        <v>21</v>
      </c>
      <c r="AA32" s="97"/>
      <c r="AB32" s="97"/>
      <c r="AC32" s="97"/>
      <c r="AD32" s="98"/>
    </row>
    <row r="33" spans="2:30" x14ac:dyDescent="0.3">
      <c r="B33" s="78">
        <f t="shared" si="28"/>
        <v>2.8571428571428571E-3</v>
      </c>
      <c r="C33" s="110">
        <v>729</v>
      </c>
      <c r="D33" s="111">
        <v>0.18</v>
      </c>
      <c r="E33" s="111">
        <v>3.5000000000000003E-2</v>
      </c>
      <c r="F33" s="110">
        <v>63</v>
      </c>
      <c r="G33" s="112">
        <v>1</v>
      </c>
      <c r="H33" s="113">
        <v>194390</v>
      </c>
      <c r="I33" s="99">
        <f t="shared" si="29"/>
        <v>194390</v>
      </c>
      <c r="J33" s="100">
        <f t="shared" si="38"/>
        <v>3748.9500000000003</v>
      </c>
      <c r="K33" s="100">
        <f t="shared" si="39"/>
        <v>3850.7452393500002</v>
      </c>
      <c r="L33" s="99">
        <f t="shared" si="40"/>
        <v>3748.9500000000003</v>
      </c>
      <c r="M33" s="35">
        <f t="shared" si="31"/>
        <v>3850.7452393500002</v>
      </c>
      <c r="N33" s="114">
        <v>0.24529999999999999</v>
      </c>
      <c r="O33" s="36">
        <f t="shared" si="32"/>
        <v>55177.073370378515</v>
      </c>
      <c r="P33" s="99">
        <f t="shared" si="33"/>
        <v>55177.073370378515</v>
      </c>
      <c r="Q33" s="115">
        <v>0.3</v>
      </c>
      <c r="R33" s="36">
        <f t="shared" si="34"/>
        <v>67481.133351461685</v>
      </c>
      <c r="S33" s="99">
        <f t="shared" si="35"/>
        <v>67481.133351461685</v>
      </c>
      <c r="T33" s="101">
        <f t="shared" si="36"/>
        <v>0.54530000000000001</v>
      </c>
      <c r="U33" s="99">
        <f t="shared" si="37"/>
        <v>126908.86664853831</v>
      </c>
      <c r="V33" s="100">
        <f t="shared" si="41"/>
        <v>1770.5918270670934</v>
      </c>
      <c r="W33" s="100">
        <f t="shared" si="42"/>
        <v>1908.0322470513493</v>
      </c>
      <c r="X33" s="99">
        <f t="shared" si="43"/>
        <v>1770.5918270670934</v>
      </c>
      <c r="Y33" s="55">
        <v>17</v>
      </c>
      <c r="AA33" s="97"/>
      <c r="AB33" s="97"/>
      <c r="AC33" s="97"/>
      <c r="AD33" s="98"/>
    </row>
    <row r="34" spans="2:30" x14ac:dyDescent="0.3">
      <c r="B34" s="78">
        <f t="shared" si="28"/>
        <v>1.7160493827160495E-3</v>
      </c>
      <c r="C34" s="110">
        <v>730</v>
      </c>
      <c r="D34" s="111">
        <v>0.13900000000000001</v>
      </c>
      <c r="E34" s="111">
        <v>3.5000000000000003E-2</v>
      </c>
      <c r="F34" s="110">
        <v>81</v>
      </c>
      <c r="G34" s="112">
        <v>1</v>
      </c>
      <c r="H34" s="113">
        <v>325935.5</v>
      </c>
      <c r="I34" s="99">
        <f t="shared" si="29"/>
        <v>325935.5</v>
      </c>
      <c r="J34" s="100">
        <f t="shared" si="38"/>
        <v>4724.0528024691357</v>
      </c>
      <c r="K34" s="100">
        <f t="shared" si="39"/>
        <v>4888.9742098561355</v>
      </c>
      <c r="L34" s="99">
        <f t="shared" si="40"/>
        <v>4724.0528024691357</v>
      </c>
      <c r="M34" s="35">
        <f t="shared" si="31"/>
        <v>4888.9742098561355</v>
      </c>
      <c r="N34" s="114">
        <v>0.27999999999999997</v>
      </c>
      <c r="O34" s="36">
        <f t="shared" si="32"/>
        <v>102039.59096475529</v>
      </c>
      <c r="P34" s="99">
        <f t="shared" si="33"/>
        <v>102039.59096475529</v>
      </c>
      <c r="Q34" s="115">
        <v>0.3</v>
      </c>
      <c r="R34" s="36">
        <f t="shared" si="34"/>
        <v>109328.13317652354</v>
      </c>
      <c r="S34" s="99">
        <f t="shared" si="35"/>
        <v>109328.13317652354</v>
      </c>
      <c r="T34" s="101">
        <f t="shared" si="36"/>
        <v>0.57999999999999996</v>
      </c>
      <c r="U34" s="99">
        <f t="shared" si="37"/>
        <v>216607.36682347645</v>
      </c>
      <c r="V34" s="100">
        <f t="shared" si="41"/>
        <v>2081.9562507031505</v>
      </c>
      <c r="W34" s="100">
        <f t="shared" si="42"/>
        <v>2290.4849887735782</v>
      </c>
      <c r="X34" s="99">
        <f t="shared" si="43"/>
        <v>2081.9562507031505</v>
      </c>
      <c r="Y34" s="55">
        <v>24</v>
      </c>
      <c r="AA34" s="97"/>
      <c r="AB34" s="97"/>
      <c r="AC34" s="97"/>
      <c r="AD34" s="98"/>
    </row>
    <row r="35" spans="2:30" x14ac:dyDescent="0.3">
      <c r="B35" s="78">
        <f t="shared" si="28"/>
        <v>3.6923076923076922E-3</v>
      </c>
      <c r="C35" s="110">
        <v>731</v>
      </c>
      <c r="D35" s="111">
        <v>0.24</v>
      </c>
      <c r="E35" s="111">
        <v>3.5000000000000003E-2</v>
      </c>
      <c r="F35" s="110">
        <v>65</v>
      </c>
      <c r="G35" s="112">
        <v>1</v>
      </c>
      <c r="H35" s="113">
        <v>38407.599999999999</v>
      </c>
      <c r="I35" s="99">
        <f t="shared" si="29"/>
        <v>38407.599999999999</v>
      </c>
      <c r="J35" s="100">
        <f t="shared" si="38"/>
        <v>753.37984615384607</v>
      </c>
      <c r="K35" s="100">
        <f t="shared" si="39"/>
        <v>774.48578254384597</v>
      </c>
      <c r="L35" s="99">
        <f t="shared" si="40"/>
        <v>753.37984615384607</v>
      </c>
      <c r="M35" s="35">
        <f t="shared" si="31"/>
        <v>774.48578254384597</v>
      </c>
      <c r="N35" s="114">
        <v>0.2235</v>
      </c>
      <c r="O35" s="36">
        <f t="shared" si="32"/>
        <v>10423.553451673164</v>
      </c>
      <c r="P35" s="99">
        <f t="shared" si="33"/>
        <v>10423.553451673164</v>
      </c>
      <c r="Q35" s="115">
        <v>0.3</v>
      </c>
      <c r="R35" s="36">
        <f t="shared" si="34"/>
        <v>13991.346914997534</v>
      </c>
      <c r="S35" s="99">
        <f t="shared" si="35"/>
        <v>13991.346914997534</v>
      </c>
      <c r="T35" s="101">
        <f t="shared" si="36"/>
        <v>0.52349999999999997</v>
      </c>
      <c r="U35" s="99">
        <f t="shared" si="37"/>
        <v>24416.253085002463</v>
      </c>
      <c r="V35" s="100">
        <f t="shared" si="41"/>
        <v>371.8970279246164</v>
      </c>
      <c r="W35" s="100">
        <f t="shared" si="42"/>
        <v>401.69639297816008</v>
      </c>
      <c r="X35" s="99">
        <f t="shared" si="43"/>
        <v>371.8970279246164</v>
      </c>
      <c r="Y35" s="55">
        <v>51</v>
      </c>
      <c r="AA35" s="97"/>
      <c r="AB35" s="97"/>
      <c r="AC35" s="97"/>
      <c r="AD35" s="98"/>
    </row>
    <row r="36" spans="2:30" x14ac:dyDescent="0.3">
      <c r="B36" s="78">
        <f t="shared" si="28"/>
        <v>3.0769230769230769E-3</v>
      </c>
      <c r="C36" s="110">
        <v>732</v>
      </c>
      <c r="D36" s="111">
        <v>0.2</v>
      </c>
      <c r="E36" s="111">
        <v>3.5000000000000003E-2</v>
      </c>
      <c r="F36" s="110">
        <v>65</v>
      </c>
      <c r="G36" s="112">
        <v>1</v>
      </c>
      <c r="H36" s="113">
        <v>63367.5</v>
      </c>
      <c r="I36" s="99">
        <f t="shared" si="29"/>
        <v>63367.5</v>
      </c>
      <c r="J36" s="100">
        <f t="shared" si="38"/>
        <v>1203.9825000000001</v>
      </c>
      <c r="K36" s="100">
        <f t="shared" si="39"/>
        <v>1237.7120697374999</v>
      </c>
      <c r="L36" s="99">
        <f t="shared" si="40"/>
        <v>1203.9825000000001</v>
      </c>
      <c r="M36" s="35">
        <f t="shared" si="31"/>
        <v>1237.7120697374999</v>
      </c>
      <c r="N36" s="114">
        <v>0.22</v>
      </c>
      <c r="O36" s="36">
        <f t="shared" si="32"/>
        <v>16397.103104003723</v>
      </c>
      <c r="P36" s="99">
        <f t="shared" si="33"/>
        <v>16397.103104003723</v>
      </c>
      <c r="Q36" s="115">
        <v>0.3</v>
      </c>
      <c r="R36" s="36">
        <f t="shared" si="34"/>
        <v>22359.68605091417</v>
      </c>
      <c r="S36" s="99">
        <f t="shared" si="35"/>
        <v>22359.68605091417</v>
      </c>
      <c r="T36" s="101">
        <f t="shared" si="36"/>
        <v>0.52</v>
      </c>
      <c r="U36" s="99">
        <f t="shared" si="37"/>
        <v>41007.81394908583</v>
      </c>
      <c r="V36" s="100">
        <f t="shared" si="41"/>
        <v>598.40766945440782</v>
      </c>
      <c r="W36" s="100">
        <f t="shared" si="42"/>
        <v>646.35687919245061</v>
      </c>
      <c r="X36" s="99">
        <f t="shared" si="43"/>
        <v>598.40766945440782</v>
      </c>
      <c r="Y36" s="55">
        <v>59</v>
      </c>
      <c r="AA36" s="97"/>
      <c r="AB36" s="97"/>
      <c r="AC36" s="97"/>
      <c r="AD36" s="98"/>
    </row>
    <row r="37" spans="2:30" x14ac:dyDescent="0.3">
      <c r="B37" s="78">
        <f t="shared" si="28"/>
        <v>2.7692307692307691E-3</v>
      </c>
      <c r="C37" s="110">
        <v>733</v>
      </c>
      <c r="D37" s="111">
        <v>0.18</v>
      </c>
      <c r="E37" s="111">
        <v>3.5000000000000003E-2</v>
      </c>
      <c r="F37" s="110">
        <v>65</v>
      </c>
      <c r="G37" s="112">
        <v>1</v>
      </c>
      <c r="H37" s="113">
        <v>102454</v>
      </c>
      <c r="I37" s="99">
        <f t="shared" si="29"/>
        <v>102454</v>
      </c>
      <c r="J37" s="100">
        <f>IFERROR(((H37*(1+SUM(D37:E37)))/F37),"-")</f>
        <v>1915.1016923076925</v>
      </c>
      <c r="K37" s="100">
        <f>IFERROR((J37*(1+F37*0.0431%)),"-")</f>
        <v>1968.7532662176923</v>
      </c>
      <c r="L37" s="99">
        <f>IFERROR(J37*G37,"-")</f>
        <v>1915.1016923076925</v>
      </c>
      <c r="M37" s="35">
        <f t="shared" si="31"/>
        <v>1968.7532662176923</v>
      </c>
      <c r="N37" s="114">
        <v>0.2</v>
      </c>
      <c r="O37" s="36">
        <f t="shared" si="32"/>
        <v>23710.794575820626</v>
      </c>
      <c r="P37" s="99">
        <f t="shared" si="33"/>
        <v>23710.794575820626</v>
      </c>
      <c r="Q37" s="115">
        <v>0.3</v>
      </c>
      <c r="R37" s="36">
        <f t="shared" si="34"/>
        <v>35566.191863730935</v>
      </c>
      <c r="S37" s="99">
        <f t="shared" si="35"/>
        <v>35566.191863730935</v>
      </c>
      <c r="T37" s="101">
        <f t="shared" si="36"/>
        <v>0.5</v>
      </c>
      <c r="U37" s="99">
        <f t="shared" si="37"/>
        <v>66887.808136269072</v>
      </c>
      <c r="V37" s="100">
        <f>IFERROR(((($H37*(1+D37+E37))-(O37+R37)-J37)/($F37-1)),"-")</f>
        <v>988.89877918969898</v>
      </c>
      <c r="W37" s="100">
        <f>IFERROR((V37*(1+($F37-1)*0.1252%)),"-")</f>
        <v>1068.1372605686111</v>
      </c>
      <c r="X37" s="99">
        <f>IFERROR(V37*G37,"-")</f>
        <v>988.89877918969898</v>
      </c>
      <c r="Y37" s="55">
        <v>24</v>
      </c>
      <c r="AA37" s="97" t="e">
        <f>#REF!</f>
        <v>#REF!</v>
      </c>
      <c r="AB37" s="97" t="e">
        <f>#REF!</f>
        <v>#REF!</v>
      </c>
      <c r="AC37" s="97">
        <f>AVERAGE(F37:F43)</f>
        <v>69.428571428571431</v>
      </c>
      <c r="AD37" s="98" t="e">
        <f>#REF!</f>
        <v>#REF!</v>
      </c>
    </row>
    <row r="38" spans="2:30" x14ac:dyDescent="0.3">
      <c r="B38" s="78">
        <f t="shared" si="28"/>
        <v>2.7692307692307691E-3</v>
      </c>
      <c r="C38" s="110">
        <v>734</v>
      </c>
      <c r="D38" s="111">
        <v>0.18</v>
      </c>
      <c r="E38" s="111">
        <v>3.5000000000000003E-2</v>
      </c>
      <c r="F38" s="110">
        <v>65</v>
      </c>
      <c r="G38" s="112">
        <v>1</v>
      </c>
      <c r="H38" s="113">
        <v>194390</v>
      </c>
      <c r="I38" s="99">
        <f t="shared" si="29"/>
        <v>194390</v>
      </c>
      <c r="J38" s="100">
        <f t="shared" ref="J38:J42" si="44">IFERROR(((H38*(1+SUM(D38:E38)))/F38),"-")</f>
        <v>3633.5976923076923</v>
      </c>
      <c r="K38" s="100">
        <f t="shared" ref="K38:K42" si="45">IFERROR((J38*(1+F38*0.0431%)),"-")</f>
        <v>3735.3929316576919</v>
      </c>
      <c r="L38" s="99">
        <f t="shared" ref="L38:L42" si="46">IFERROR(J38*G38,"-")</f>
        <v>3633.5976923076923</v>
      </c>
      <c r="M38" s="35">
        <f t="shared" si="31"/>
        <v>3735.3929316576919</v>
      </c>
      <c r="N38" s="114">
        <v>0.30990000000000001</v>
      </c>
      <c r="O38" s="36">
        <f t="shared" si="32"/>
        <v>69708.010752059927</v>
      </c>
      <c r="P38" s="99">
        <f t="shared" si="33"/>
        <v>69708.010752059927</v>
      </c>
      <c r="Q38" s="115">
        <v>0.3</v>
      </c>
      <c r="R38" s="36">
        <f t="shared" si="34"/>
        <v>67481.133351461685</v>
      </c>
      <c r="S38" s="99">
        <f t="shared" si="35"/>
        <v>67481.133351461685</v>
      </c>
      <c r="T38" s="101">
        <f t="shared" si="36"/>
        <v>0.6099</v>
      </c>
      <c r="U38" s="99">
        <f t="shared" si="37"/>
        <v>126908.86664853831</v>
      </c>
      <c r="V38" s="100">
        <f t="shared" ref="V38:V42" si="47">IFERROR(((($H38*(1+D38+E38))-(O38+R38)-J38)/($F38-1)),"-")</f>
        <v>1490.0173156901669</v>
      </c>
      <c r="W38" s="100">
        <f t="shared" ref="W38:W42" si="48">IFERROR((V38*(1+($F38-1)*0.1252%)),"-")</f>
        <v>1609.4094231617885</v>
      </c>
      <c r="X38" s="99">
        <f t="shared" ref="X38:X42" si="49">IFERROR(V38*G38,"-")</f>
        <v>1490.0173156901669</v>
      </c>
      <c r="Y38" s="55">
        <v>23</v>
      </c>
      <c r="AA38" s="97"/>
      <c r="AB38" s="97"/>
      <c r="AC38" s="97"/>
      <c r="AD38" s="98"/>
    </row>
    <row r="39" spans="2:30" x14ac:dyDescent="0.3">
      <c r="B39" s="78">
        <f t="shared" si="28"/>
        <v>2.9411764705882353E-3</v>
      </c>
      <c r="C39" s="110">
        <v>735</v>
      </c>
      <c r="D39" s="111">
        <v>0.2</v>
      </c>
      <c r="E39" s="111">
        <v>3.5000000000000003E-2</v>
      </c>
      <c r="F39" s="110">
        <v>68</v>
      </c>
      <c r="G39" s="112">
        <v>1</v>
      </c>
      <c r="H39" s="113">
        <v>37350</v>
      </c>
      <c r="I39" s="99">
        <f t="shared" si="29"/>
        <v>37350</v>
      </c>
      <c r="J39" s="100">
        <f t="shared" si="44"/>
        <v>678.34191176470597</v>
      </c>
      <c r="K39" s="100">
        <f t="shared" si="45"/>
        <v>698.22275651470591</v>
      </c>
      <c r="L39" s="99">
        <f t="shared" si="46"/>
        <v>678.34191176470597</v>
      </c>
      <c r="M39" s="35">
        <f t="shared" si="31"/>
        <v>698.22275651470591</v>
      </c>
      <c r="N39" s="114">
        <v>0.24560000000000001</v>
      </c>
      <c r="O39" s="36">
        <f t="shared" si="32"/>
        <v>10789.388761052793</v>
      </c>
      <c r="P39" s="99">
        <f t="shared" si="33"/>
        <v>10789.388761052793</v>
      </c>
      <c r="Q39" s="115">
        <v>0.3</v>
      </c>
      <c r="R39" s="36">
        <f t="shared" si="34"/>
        <v>13179.220799331586</v>
      </c>
      <c r="S39" s="99">
        <f t="shared" si="35"/>
        <v>13179.220799331586</v>
      </c>
      <c r="T39" s="101">
        <f t="shared" si="36"/>
        <v>0.54559999999999997</v>
      </c>
      <c r="U39" s="99">
        <f t="shared" si="37"/>
        <v>24170.779200668414</v>
      </c>
      <c r="V39" s="100">
        <f t="shared" si="47"/>
        <v>320.60147056493889</v>
      </c>
      <c r="W39" s="100">
        <f t="shared" si="48"/>
        <v>347.49480432180826</v>
      </c>
      <c r="X39" s="99">
        <f t="shared" si="49"/>
        <v>320.60147056493889</v>
      </c>
      <c r="Y39" s="55">
        <v>47</v>
      </c>
      <c r="AA39" s="97"/>
      <c r="AB39" s="97"/>
      <c r="AC39" s="97"/>
      <c r="AD39" s="98"/>
    </row>
    <row r="40" spans="2:30" x14ac:dyDescent="0.3">
      <c r="B40" s="78">
        <f t="shared" si="28"/>
        <v>2.9411764705882353E-3</v>
      </c>
      <c r="C40" s="110">
        <v>736</v>
      </c>
      <c r="D40" s="111">
        <v>0.2</v>
      </c>
      <c r="E40" s="111">
        <v>3.5000000000000003E-2</v>
      </c>
      <c r="F40" s="110">
        <v>68</v>
      </c>
      <c r="G40" s="112">
        <v>1</v>
      </c>
      <c r="H40" s="113">
        <v>62250.000000000007</v>
      </c>
      <c r="I40" s="99">
        <f t="shared" si="29"/>
        <v>62250.000000000007</v>
      </c>
      <c r="J40" s="100">
        <f t="shared" si="44"/>
        <v>1130.5698529411766</v>
      </c>
      <c r="K40" s="100">
        <f t="shared" si="45"/>
        <v>1163.7045941911765</v>
      </c>
      <c r="L40" s="99">
        <f t="shared" si="46"/>
        <v>1130.5698529411766</v>
      </c>
      <c r="M40" s="35">
        <f t="shared" si="31"/>
        <v>1163.7045941911765</v>
      </c>
      <c r="N40" s="114">
        <v>0.25419999999999998</v>
      </c>
      <c r="O40" s="36">
        <f t="shared" si="32"/>
        <v>18611.988484389385</v>
      </c>
      <c r="P40" s="99">
        <f t="shared" si="33"/>
        <v>18611.988484389385</v>
      </c>
      <c r="Q40" s="115">
        <v>0.3</v>
      </c>
      <c r="R40" s="36">
        <f t="shared" si="34"/>
        <v>21965.36799888598</v>
      </c>
      <c r="S40" s="99">
        <f t="shared" si="35"/>
        <v>21965.36799888598</v>
      </c>
      <c r="T40" s="101">
        <f t="shared" si="36"/>
        <v>0.55420000000000003</v>
      </c>
      <c r="U40" s="99">
        <f t="shared" si="37"/>
        <v>40284.632001114027</v>
      </c>
      <c r="V40" s="100">
        <f t="shared" si="47"/>
        <v>524.93766662363373</v>
      </c>
      <c r="W40" s="100">
        <f t="shared" si="48"/>
        <v>568.97153785069065</v>
      </c>
      <c r="X40" s="99">
        <f t="shared" si="49"/>
        <v>524.93766662363373</v>
      </c>
      <c r="Y40" s="55">
        <v>49</v>
      </c>
      <c r="AA40" s="97"/>
      <c r="AB40" s="97"/>
      <c r="AC40" s="97"/>
      <c r="AD40" s="98"/>
    </row>
    <row r="41" spans="2:30" x14ac:dyDescent="0.3">
      <c r="B41" s="78">
        <f t="shared" si="28"/>
        <v>2.6470588235294116E-3</v>
      </c>
      <c r="C41" s="110">
        <v>737</v>
      </c>
      <c r="D41" s="111">
        <v>0.18</v>
      </c>
      <c r="E41" s="111">
        <v>3.5000000000000003E-2</v>
      </c>
      <c r="F41" s="110">
        <v>68</v>
      </c>
      <c r="G41" s="112">
        <v>1</v>
      </c>
      <c r="H41" s="113">
        <v>103750.00000000001</v>
      </c>
      <c r="I41" s="99">
        <f t="shared" si="29"/>
        <v>103750.00000000001</v>
      </c>
      <c r="J41" s="100">
        <f t="shared" si="44"/>
        <v>1853.7683823529417</v>
      </c>
      <c r="K41" s="100">
        <f t="shared" si="45"/>
        <v>1908.0986261029416</v>
      </c>
      <c r="L41" s="99">
        <f t="shared" si="46"/>
        <v>1853.7683823529417</v>
      </c>
      <c r="M41" s="35">
        <f t="shared" si="31"/>
        <v>1908.0986261029416</v>
      </c>
      <c r="N41" s="114">
        <v>0.22359999999999999</v>
      </c>
      <c r="O41" s="36">
        <f t="shared" si="32"/>
        <v>26843.991838638551</v>
      </c>
      <c r="P41" s="99">
        <f t="shared" si="33"/>
        <v>26843.991838638551</v>
      </c>
      <c r="Q41" s="115">
        <v>0.3</v>
      </c>
      <c r="R41" s="36">
        <f t="shared" si="34"/>
        <v>36016.089228942597</v>
      </c>
      <c r="S41" s="99">
        <f t="shared" si="35"/>
        <v>36016.089228942597</v>
      </c>
      <c r="T41" s="101">
        <f t="shared" si="36"/>
        <v>0.52359999999999995</v>
      </c>
      <c r="U41" s="99">
        <f t="shared" si="37"/>
        <v>67733.910771057417</v>
      </c>
      <c r="V41" s="100">
        <f t="shared" si="47"/>
        <v>915.55821716516277</v>
      </c>
      <c r="W41" s="100">
        <f t="shared" si="48"/>
        <v>992.35890265384535</v>
      </c>
      <c r="X41" s="99">
        <f t="shared" si="49"/>
        <v>915.55821716516277</v>
      </c>
      <c r="Y41" s="55">
        <v>30</v>
      </c>
      <c r="AA41" s="97"/>
      <c r="AB41" s="97"/>
      <c r="AC41" s="97"/>
      <c r="AD41" s="98"/>
    </row>
    <row r="42" spans="2:30" x14ac:dyDescent="0.3">
      <c r="B42" s="78">
        <f t="shared" si="28"/>
        <v>2.6470588235294116E-3</v>
      </c>
      <c r="C42" s="110">
        <v>738</v>
      </c>
      <c r="D42" s="111">
        <v>0.18</v>
      </c>
      <c r="E42" s="111">
        <v>3.5000000000000003E-2</v>
      </c>
      <c r="F42" s="110">
        <v>68</v>
      </c>
      <c r="G42" s="112">
        <v>1</v>
      </c>
      <c r="H42" s="113">
        <v>186750.00000000003</v>
      </c>
      <c r="I42" s="99">
        <f t="shared" si="29"/>
        <v>186750.00000000003</v>
      </c>
      <c r="J42" s="100">
        <f t="shared" si="44"/>
        <v>3336.7830882352951</v>
      </c>
      <c r="K42" s="100">
        <f t="shared" si="45"/>
        <v>3434.5775269852948</v>
      </c>
      <c r="L42" s="99">
        <f t="shared" si="46"/>
        <v>3336.7830882352951</v>
      </c>
      <c r="M42" s="35">
        <f t="shared" si="31"/>
        <v>3434.5775269852948</v>
      </c>
      <c r="N42" s="114">
        <v>0.309</v>
      </c>
      <c r="O42" s="36">
        <f t="shared" si="32"/>
        <v>66773.829430459577</v>
      </c>
      <c r="P42" s="99">
        <f t="shared" si="33"/>
        <v>66773.829430459577</v>
      </c>
      <c r="Q42" s="115">
        <v>0.3</v>
      </c>
      <c r="R42" s="36">
        <f t="shared" si="34"/>
        <v>64828.960612096678</v>
      </c>
      <c r="S42" s="99">
        <f t="shared" si="35"/>
        <v>64828.960612096678</v>
      </c>
      <c r="T42" s="101">
        <f t="shared" si="36"/>
        <v>0.60899999999999999</v>
      </c>
      <c r="U42" s="99">
        <f t="shared" si="37"/>
        <v>121921.03938790335</v>
      </c>
      <c r="V42" s="100">
        <f t="shared" si="47"/>
        <v>1372.5623413314695</v>
      </c>
      <c r="W42" s="100">
        <f t="shared" si="48"/>
        <v>1487.6983607717186</v>
      </c>
      <c r="X42" s="99">
        <f t="shared" si="49"/>
        <v>1372.5623413314695</v>
      </c>
      <c r="Y42" s="55">
        <v>16</v>
      </c>
      <c r="AA42" s="97"/>
      <c r="AB42" s="97"/>
      <c r="AC42" s="97"/>
      <c r="AD42" s="98"/>
    </row>
    <row r="43" spans="2:30" x14ac:dyDescent="0.3">
      <c r="B43" s="78">
        <f t="shared" ref="B43:B60" si="50">D43/F43</f>
        <v>1.654761904761905E-3</v>
      </c>
      <c r="C43" s="110">
        <v>739</v>
      </c>
      <c r="D43" s="111">
        <v>0.13900000000000001</v>
      </c>
      <c r="E43" s="111">
        <v>3.5000000000000003E-2</v>
      </c>
      <c r="F43" s="110">
        <v>84</v>
      </c>
      <c r="G43" s="112">
        <v>1</v>
      </c>
      <c r="H43" s="113">
        <v>311250</v>
      </c>
      <c r="I43" s="99">
        <f t="shared" ref="I43:I60" si="51">H43*G43</f>
        <v>311250</v>
      </c>
      <c r="J43" s="100">
        <f t="shared" ref="J43:J46" si="52">IFERROR(((H43*(1+SUM(D43:E43)))/F43),"-")</f>
        <v>4350.0892857142853</v>
      </c>
      <c r="K43" s="100">
        <f t="shared" ref="K43:K46" si="53">IFERROR((J43*(1+F43*0.0431%)),"-")</f>
        <v>4507.5799182142846</v>
      </c>
      <c r="L43" s="99">
        <f t="shared" ref="L43:L46" si="54">IFERROR(J43*G43,"-")</f>
        <v>4350.0892857142853</v>
      </c>
      <c r="M43" s="35">
        <f t="shared" ref="M43:M60" si="55">K43*G43</f>
        <v>4507.5799182142846</v>
      </c>
      <c r="N43" s="114">
        <v>0.33600000000000002</v>
      </c>
      <c r="O43" s="36">
        <f t="shared" ref="O43:O60" si="56">((N43*($H43*(1+D43+E43)))*$Q$1)</f>
        <v>116930.45779099272</v>
      </c>
      <c r="P43" s="99">
        <f t="shared" ref="P43:P60" si="57">O43*G43</f>
        <v>116930.45779099272</v>
      </c>
      <c r="Q43" s="115">
        <v>0.3</v>
      </c>
      <c r="R43" s="36">
        <f t="shared" ref="R43:R60" si="58">((Q43*($H43*(1+D43+E43)))*$Q$1)</f>
        <v>104402.19445624349</v>
      </c>
      <c r="S43" s="99">
        <f t="shared" ref="S43:S60" si="59">R43*G43</f>
        <v>104402.19445624349</v>
      </c>
      <c r="T43" s="101">
        <f t="shared" ref="T43:T60" si="60">(N43+Q43)</f>
        <v>0.63600000000000001</v>
      </c>
      <c r="U43" s="99">
        <f t="shared" ref="U43:U60" si="61">(I43)-S43</f>
        <v>206847.80554375652</v>
      </c>
      <c r="V43" s="100">
        <f t="shared" ref="V43:V46" si="62">IFERROR(((($H43*(1+D43+E43))-(O43+R43)-J43)/($F43-1)),"-")</f>
        <v>1683.4308249042106</v>
      </c>
      <c r="W43" s="100">
        <f t="shared" ref="W43:W46" si="63">IFERROR((V43*(1+($F43-1)*0.1252%)),"-")</f>
        <v>1858.3662225049563</v>
      </c>
      <c r="X43" s="99">
        <f t="shared" ref="X43:X46" si="64">IFERROR(V43*G43,"-")</f>
        <v>1683.4308249042106</v>
      </c>
      <c r="Y43" s="55">
        <v>21</v>
      </c>
      <c r="AA43" s="97"/>
      <c r="AB43" s="97"/>
      <c r="AC43" s="97"/>
      <c r="AD43" s="98"/>
    </row>
    <row r="44" spans="2:30" x14ac:dyDescent="0.3">
      <c r="B44" s="78">
        <f t="shared" si="50"/>
        <v>2.5714285714285713E-3</v>
      </c>
      <c r="C44" s="110">
        <v>740</v>
      </c>
      <c r="D44" s="111">
        <v>0.18</v>
      </c>
      <c r="E44" s="111">
        <v>3.5000000000000003E-2</v>
      </c>
      <c r="F44" s="110">
        <v>70</v>
      </c>
      <c r="G44" s="112">
        <v>1</v>
      </c>
      <c r="H44" s="113">
        <v>100000</v>
      </c>
      <c r="I44" s="99">
        <f t="shared" si="51"/>
        <v>100000</v>
      </c>
      <c r="J44" s="100">
        <f t="shared" si="52"/>
        <v>1735.714285714286</v>
      </c>
      <c r="K44" s="100">
        <f t="shared" si="53"/>
        <v>1788.0807857142861</v>
      </c>
      <c r="L44" s="99">
        <f t="shared" si="54"/>
        <v>1735.714285714286</v>
      </c>
      <c r="M44" s="35">
        <f t="shared" si="55"/>
        <v>1788.0807857142861</v>
      </c>
      <c r="N44" s="114">
        <v>0.22500000000000001</v>
      </c>
      <c r="O44" s="36">
        <f t="shared" si="56"/>
        <v>26035.727153452477</v>
      </c>
      <c r="P44" s="99">
        <f t="shared" si="57"/>
        <v>26035.727153452477</v>
      </c>
      <c r="Q44" s="115">
        <v>0.3</v>
      </c>
      <c r="R44" s="36">
        <f t="shared" si="58"/>
        <v>34714.302871269967</v>
      </c>
      <c r="S44" s="99">
        <f t="shared" si="59"/>
        <v>34714.302871269967</v>
      </c>
      <c r="T44" s="101">
        <f t="shared" si="60"/>
        <v>0.52500000000000002</v>
      </c>
      <c r="U44" s="99">
        <f t="shared" si="61"/>
        <v>65285.697128730033</v>
      </c>
      <c r="V44" s="100">
        <f t="shared" si="62"/>
        <v>855.27906796468494</v>
      </c>
      <c r="W44" s="100">
        <f t="shared" si="63"/>
        <v>929.16491608801812</v>
      </c>
      <c r="X44" s="99">
        <f t="shared" si="64"/>
        <v>855.27906796468494</v>
      </c>
      <c r="Y44" s="55">
        <v>28</v>
      </c>
      <c r="AA44" s="97"/>
      <c r="AB44" s="97"/>
      <c r="AC44" s="97"/>
      <c r="AD44" s="98"/>
    </row>
    <row r="45" spans="2:30" x14ac:dyDescent="0.3">
      <c r="B45" s="78">
        <f t="shared" si="50"/>
        <v>2.8571428571428571E-3</v>
      </c>
      <c r="C45" s="110">
        <v>741</v>
      </c>
      <c r="D45" s="111">
        <v>0.2</v>
      </c>
      <c r="E45" s="111">
        <v>3.5000000000000003E-2</v>
      </c>
      <c r="F45" s="110">
        <v>70</v>
      </c>
      <c r="G45" s="112">
        <v>1</v>
      </c>
      <c r="H45" s="113">
        <v>36000</v>
      </c>
      <c r="I45" s="99">
        <f t="shared" si="51"/>
        <v>36000</v>
      </c>
      <c r="J45" s="100">
        <f t="shared" si="52"/>
        <v>635.14285714285711</v>
      </c>
      <c r="K45" s="100">
        <f t="shared" si="53"/>
        <v>654.30511714285717</v>
      </c>
      <c r="L45" s="99">
        <f t="shared" si="54"/>
        <v>635.14285714285711</v>
      </c>
      <c r="M45" s="35">
        <f t="shared" si="55"/>
        <v>654.30511714285717</v>
      </c>
      <c r="N45" s="114">
        <v>0.26490000000000002</v>
      </c>
      <c r="O45" s="36">
        <f t="shared" si="56"/>
        <v>11216.628400780522</v>
      </c>
      <c r="P45" s="99">
        <f t="shared" si="57"/>
        <v>11216.628400780522</v>
      </c>
      <c r="Q45" s="115">
        <v>0.3</v>
      </c>
      <c r="R45" s="36">
        <f t="shared" si="58"/>
        <v>12702.863421042493</v>
      </c>
      <c r="S45" s="99">
        <f t="shared" si="59"/>
        <v>12702.863421042493</v>
      </c>
      <c r="T45" s="101">
        <f t="shared" si="60"/>
        <v>0.56489999999999996</v>
      </c>
      <c r="U45" s="99">
        <f t="shared" si="61"/>
        <v>23297.136578957507</v>
      </c>
      <c r="V45" s="100">
        <f t="shared" si="62"/>
        <v>288.48355537730606</v>
      </c>
      <c r="W45" s="100">
        <f t="shared" si="63"/>
        <v>313.40507275924074</v>
      </c>
      <c r="X45" s="99">
        <f t="shared" si="64"/>
        <v>288.48355537730606</v>
      </c>
      <c r="Y45" s="55">
        <v>35</v>
      </c>
      <c r="AA45" s="97"/>
      <c r="AB45" s="97"/>
      <c r="AC45" s="97"/>
      <c r="AD45" s="98"/>
    </row>
    <row r="46" spans="2:30" x14ac:dyDescent="0.3">
      <c r="B46" s="78">
        <f t="shared" si="50"/>
        <v>2.8571428571428571E-3</v>
      </c>
      <c r="C46" s="110">
        <v>742</v>
      </c>
      <c r="D46" s="111">
        <v>0.2</v>
      </c>
      <c r="E46" s="111">
        <v>3.5000000000000003E-2</v>
      </c>
      <c r="F46" s="110">
        <v>70</v>
      </c>
      <c r="G46" s="112">
        <v>1</v>
      </c>
      <c r="H46" s="113">
        <v>60000</v>
      </c>
      <c r="I46" s="99">
        <f t="shared" si="51"/>
        <v>60000</v>
      </c>
      <c r="J46" s="100">
        <f t="shared" si="52"/>
        <v>1058.5714285714287</v>
      </c>
      <c r="K46" s="100">
        <f t="shared" si="53"/>
        <v>1090.5085285714288</v>
      </c>
      <c r="L46" s="99">
        <f t="shared" si="54"/>
        <v>1058.5714285714287</v>
      </c>
      <c r="M46" s="35">
        <f t="shared" si="55"/>
        <v>1090.5085285714288</v>
      </c>
      <c r="N46" s="114">
        <v>0.29189999999999999</v>
      </c>
      <c r="O46" s="36">
        <f t="shared" si="56"/>
        <v>20599.810181123907</v>
      </c>
      <c r="P46" s="99">
        <f t="shared" si="57"/>
        <v>20599.810181123907</v>
      </c>
      <c r="Q46" s="115">
        <v>0.3</v>
      </c>
      <c r="R46" s="36">
        <f t="shared" si="58"/>
        <v>21171.43903507082</v>
      </c>
      <c r="S46" s="99">
        <f t="shared" si="59"/>
        <v>21171.43903507082</v>
      </c>
      <c r="T46" s="101">
        <f t="shared" si="60"/>
        <v>0.59189999999999998</v>
      </c>
      <c r="U46" s="99">
        <f t="shared" si="61"/>
        <v>38828.56096492918</v>
      </c>
      <c r="V46" s="100">
        <f t="shared" si="62"/>
        <v>453.19100514831632</v>
      </c>
      <c r="W46" s="100">
        <f t="shared" si="63"/>
        <v>492.34126970106905</v>
      </c>
      <c r="X46" s="99">
        <f t="shared" si="64"/>
        <v>453.19100514831632</v>
      </c>
      <c r="Y46" s="55">
        <v>25</v>
      </c>
      <c r="AA46" s="97"/>
      <c r="AB46" s="97"/>
      <c r="AC46" s="97"/>
      <c r="AD46" s="98"/>
    </row>
    <row r="47" spans="2:30" x14ac:dyDescent="0.3">
      <c r="B47" s="78">
        <f t="shared" si="50"/>
        <v>2.5714285714285713E-3</v>
      </c>
      <c r="C47" s="110">
        <v>743</v>
      </c>
      <c r="D47" s="111">
        <v>0.18</v>
      </c>
      <c r="E47" s="111">
        <v>3.5000000000000003E-2</v>
      </c>
      <c r="F47" s="110">
        <v>70</v>
      </c>
      <c r="G47" s="112">
        <v>1</v>
      </c>
      <c r="H47" s="113">
        <v>180000</v>
      </c>
      <c r="I47" s="99">
        <f t="shared" si="51"/>
        <v>180000</v>
      </c>
      <c r="J47" s="100">
        <f>IFERROR(((H47*(1+SUM(D47:E47)))/F47),"-")</f>
        <v>3124.2857142857142</v>
      </c>
      <c r="K47" s="100">
        <f>IFERROR((J47*(1+F47*0.0431%)),"-")</f>
        <v>3218.5454142857143</v>
      </c>
      <c r="L47" s="99">
        <f>IFERROR(J47*G47,"-")</f>
        <v>3124.2857142857142</v>
      </c>
      <c r="M47" s="35">
        <f t="shared" si="55"/>
        <v>3218.5454142857143</v>
      </c>
      <c r="N47" s="114">
        <v>0.32240000000000002</v>
      </c>
      <c r="O47" s="36">
        <f t="shared" si="56"/>
        <v>67151.347474184629</v>
      </c>
      <c r="P47" s="99">
        <f t="shared" si="57"/>
        <v>67151.347474184629</v>
      </c>
      <c r="Q47" s="115">
        <v>0.3</v>
      </c>
      <c r="R47" s="36">
        <f t="shared" si="58"/>
        <v>62485.745168285946</v>
      </c>
      <c r="S47" s="99">
        <f t="shared" si="59"/>
        <v>62485.745168285946</v>
      </c>
      <c r="T47" s="101">
        <f t="shared" si="60"/>
        <v>0.62240000000000006</v>
      </c>
      <c r="U47" s="99">
        <f t="shared" si="61"/>
        <v>117514.25483171406</v>
      </c>
      <c r="V47" s="100">
        <f>IFERROR(((($H47*(1+D47+E47))-(O47+R47)-J47)/($F47-1)),"-")</f>
        <v>1245.4872701919373</v>
      </c>
      <c r="W47" s="100">
        <f>IFERROR((V47*(1+($F47-1)*0.1252%)),"-")</f>
        <v>1353.0824244892783</v>
      </c>
      <c r="X47" s="99">
        <f>IFERROR(V47*G47,"-")</f>
        <v>1245.4872701919373</v>
      </c>
      <c r="Y47" s="55">
        <v>14</v>
      </c>
      <c r="AA47" s="97" t="e">
        <f>#REF!</f>
        <v>#REF!</v>
      </c>
      <c r="AB47" s="97" t="e">
        <f>#REF!</f>
        <v>#REF!</v>
      </c>
      <c r="AC47" s="97">
        <f>AVERAGE(F47:F62)</f>
        <v>76</v>
      </c>
      <c r="AD47" s="98" t="e">
        <f>#REF!</f>
        <v>#REF!</v>
      </c>
    </row>
    <row r="48" spans="2:30" x14ac:dyDescent="0.3">
      <c r="B48" s="78">
        <f t="shared" si="50"/>
        <v>1.616279069767442E-3</v>
      </c>
      <c r="C48" s="110">
        <v>744</v>
      </c>
      <c r="D48" s="111">
        <v>0.13900000000000001</v>
      </c>
      <c r="E48" s="111">
        <v>3.5000000000000003E-2</v>
      </c>
      <c r="F48" s="110">
        <v>86</v>
      </c>
      <c r="G48" s="112">
        <v>1</v>
      </c>
      <c r="H48" s="113">
        <v>300000</v>
      </c>
      <c r="I48" s="99">
        <f t="shared" si="51"/>
        <v>300000</v>
      </c>
      <c r="J48" s="100">
        <f t="shared" ref="J48:J53" si="65">IFERROR(((H48*(1+SUM(D48:E48)))/F48),"-")</f>
        <v>4095.3488372093025</v>
      </c>
      <c r="K48" s="100">
        <f t="shared" ref="K48:K53" si="66">IFERROR((J48*(1+F48*0.0431%)),"-")</f>
        <v>4247.1470372093027</v>
      </c>
      <c r="L48" s="99">
        <f t="shared" ref="L48:L53" si="67">IFERROR(J48*G48,"-")</f>
        <v>4095.3488372093025</v>
      </c>
      <c r="M48" s="35">
        <f t="shared" si="55"/>
        <v>4247.1470372093027</v>
      </c>
      <c r="N48" s="114">
        <v>0.32600000000000001</v>
      </c>
      <c r="O48" s="36">
        <f t="shared" si="56"/>
        <v>109349.76833007349</v>
      </c>
      <c r="P48" s="99">
        <f t="shared" si="57"/>
        <v>109349.76833007349</v>
      </c>
      <c r="Q48" s="115">
        <v>0.3</v>
      </c>
      <c r="R48" s="36">
        <f t="shared" si="58"/>
        <v>100628.62116264433</v>
      </c>
      <c r="S48" s="99">
        <f t="shared" si="59"/>
        <v>100628.62116264433</v>
      </c>
      <c r="T48" s="101">
        <f t="shared" si="60"/>
        <v>0.626</v>
      </c>
      <c r="U48" s="99">
        <f t="shared" si="61"/>
        <v>199371.37883735567</v>
      </c>
      <c r="V48" s="100">
        <f t="shared" ref="V48:V53" si="68">IFERROR(((($H48*(1+D48+E48))-(O48+R48)-J48)/($F48-1)),"-")</f>
        <v>1625.014843177328</v>
      </c>
      <c r="W48" s="100">
        <f t="shared" ref="W48:W53" si="69">IFERROR((V48*(1+($F48-1)*0.1252%)),"-")</f>
        <v>1797.9489227882591</v>
      </c>
      <c r="X48" s="99">
        <f t="shared" ref="X48:X53" si="70">IFERROR(V48*G48,"-")</f>
        <v>1625.014843177328</v>
      </c>
      <c r="Y48" s="55">
        <v>25</v>
      </c>
      <c r="AA48" s="97"/>
      <c r="AB48" s="97"/>
      <c r="AC48" s="97"/>
      <c r="AD48" s="98"/>
    </row>
    <row r="49" spans="2:30" x14ac:dyDescent="0.3">
      <c r="B49" s="78">
        <f t="shared" si="50"/>
        <v>2.5000000000000001E-3</v>
      </c>
      <c r="C49" s="110">
        <v>745</v>
      </c>
      <c r="D49" s="111">
        <v>0.18</v>
      </c>
      <c r="E49" s="111">
        <v>3.5000000000000003E-2</v>
      </c>
      <c r="F49" s="110">
        <v>72</v>
      </c>
      <c r="G49" s="112">
        <v>1</v>
      </c>
      <c r="H49" s="113">
        <v>100000</v>
      </c>
      <c r="I49" s="99">
        <f t="shared" si="51"/>
        <v>100000</v>
      </c>
      <c r="J49" s="100">
        <f t="shared" si="65"/>
        <v>1687.5000000000002</v>
      </c>
      <c r="K49" s="100">
        <f t="shared" si="66"/>
        <v>1739.8665000000001</v>
      </c>
      <c r="L49" s="99">
        <f t="shared" si="67"/>
        <v>1687.5000000000002</v>
      </c>
      <c r="M49" s="35">
        <f t="shared" si="55"/>
        <v>1739.8665000000001</v>
      </c>
      <c r="N49" s="114">
        <v>0.1</v>
      </c>
      <c r="O49" s="36">
        <f t="shared" si="56"/>
        <v>11571.434290423325</v>
      </c>
      <c r="P49" s="99">
        <f t="shared" si="57"/>
        <v>11571.434290423325</v>
      </c>
      <c r="Q49" s="115">
        <v>0.3</v>
      </c>
      <c r="R49" s="36">
        <f t="shared" si="58"/>
        <v>34714.302871269967</v>
      </c>
      <c r="S49" s="99">
        <f t="shared" si="59"/>
        <v>34714.302871269967</v>
      </c>
      <c r="T49" s="101">
        <f t="shared" si="60"/>
        <v>0.4</v>
      </c>
      <c r="U49" s="99">
        <f t="shared" si="61"/>
        <v>65285.697128730033</v>
      </c>
      <c r="V49" s="100">
        <f t="shared" si="68"/>
        <v>1035.588208990235</v>
      </c>
      <c r="W49" s="100">
        <f t="shared" si="69"/>
        <v>1127.643716063795</v>
      </c>
      <c r="X49" s="99">
        <f t="shared" si="70"/>
        <v>1035.588208990235</v>
      </c>
      <c r="Y49" s="55">
        <v>20</v>
      </c>
      <c r="AA49" s="97"/>
      <c r="AB49" s="97"/>
      <c r="AC49" s="97"/>
      <c r="AD49" s="98"/>
    </row>
    <row r="50" spans="2:30" x14ac:dyDescent="0.3">
      <c r="B50" s="78">
        <f t="shared" si="50"/>
        <v>2.7777777777777779E-3</v>
      </c>
      <c r="C50" s="110">
        <v>746</v>
      </c>
      <c r="D50" s="111">
        <v>0.2</v>
      </c>
      <c r="E50" s="111">
        <v>3.5000000000000003E-2</v>
      </c>
      <c r="F50" s="110">
        <v>72</v>
      </c>
      <c r="G50" s="112">
        <v>1</v>
      </c>
      <c r="H50" s="113">
        <v>36000</v>
      </c>
      <c r="I50" s="99">
        <f t="shared" si="51"/>
        <v>36000</v>
      </c>
      <c r="J50" s="100">
        <f t="shared" si="65"/>
        <v>617.5</v>
      </c>
      <c r="K50" s="100">
        <f t="shared" si="66"/>
        <v>636.66225999999995</v>
      </c>
      <c r="L50" s="99">
        <f t="shared" si="67"/>
        <v>617.5</v>
      </c>
      <c r="M50" s="35">
        <f t="shared" si="55"/>
        <v>636.66225999999995</v>
      </c>
      <c r="N50" s="114">
        <v>0.30780000000000002</v>
      </c>
      <c r="O50" s="36">
        <f t="shared" si="56"/>
        <v>13033.137869989599</v>
      </c>
      <c r="P50" s="99">
        <f t="shared" si="57"/>
        <v>13033.137869989599</v>
      </c>
      <c r="Q50" s="115">
        <v>0.3</v>
      </c>
      <c r="R50" s="36">
        <f t="shared" si="58"/>
        <v>12702.863421042493</v>
      </c>
      <c r="S50" s="99">
        <f t="shared" si="59"/>
        <v>12702.863421042493</v>
      </c>
      <c r="T50" s="101">
        <f t="shared" si="60"/>
        <v>0.60780000000000001</v>
      </c>
      <c r="U50" s="99">
        <f t="shared" si="61"/>
        <v>23297.136578957507</v>
      </c>
      <c r="V50" s="100">
        <f t="shared" si="68"/>
        <v>255.02110857701265</v>
      </c>
      <c r="W50" s="100">
        <f t="shared" si="69"/>
        <v>277.69044496064043</v>
      </c>
      <c r="X50" s="99">
        <f t="shared" si="70"/>
        <v>255.02110857701265</v>
      </c>
      <c r="Y50" s="55">
        <v>26</v>
      </c>
      <c r="AA50" s="97"/>
      <c r="AB50" s="97"/>
      <c r="AC50" s="97"/>
      <c r="AD50" s="98"/>
    </row>
    <row r="51" spans="2:30" x14ac:dyDescent="0.3">
      <c r="B51" s="78">
        <f t="shared" si="50"/>
        <v>2.7777777777777779E-3</v>
      </c>
      <c r="C51" s="110">
        <v>747</v>
      </c>
      <c r="D51" s="111">
        <v>0.2</v>
      </c>
      <c r="E51" s="111">
        <v>3.5000000000000003E-2</v>
      </c>
      <c r="F51" s="110">
        <v>72</v>
      </c>
      <c r="G51" s="112">
        <v>1</v>
      </c>
      <c r="H51" s="113">
        <v>60000</v>
      </c>
      <c r="I51" s="99">
        <f t="shared" si="51"/>
        <v>60000</v>
      </c>
      <c r="J51" s="100">
        <f t="shared" si="65"/>
        <v>1029.1666666666667</v>
      </c>
      <c r="K51" s="100">
        <f t="shared" si="66"/>
        <v>1061.1037666666666</v>
      </c>
      <c r="L51" s="99">
        <f t="shared" si="67"/>
        <v>1029.1666666666667</v>
      </c>
      <c r="M51" s="35">
        <f t="shared" si="55"/>
        <v>1061.1037666666666</v>
      </c>
      <c r="N51" s="114">
        <v>0.3125</v>
      </c>
      <c r="O51" s="36">
        <f t="shared" si="56"/>
        <v>22053.582328198772</v>
      </c>
      <c r="P51" s="99">
        <f t="shared" si="57"/>
        <v>22053.582328198772</v>
      </c>
      <c r="Q51" s="115">
        <v>0.3</v>
      </c>
      <c r="R51" s="36">
        <f t="shared" si="58"/>
        <v>21171.43903507082</v>
      </c>
      <c r="S51" s="99">
        <f t="shared" si="59"/>
        <v>21171.43903507082</v>
      </c>
      <c r="T51" s="101">
        <f t="shared" si="60"/>
        <v>0.61250000000000004</v>
      </c>
      <c r="U51" s="99">
        <f t="shared" si="61"/>
        <v>38828.56096492918</v>
      </c>
      <c r="V51" s="100">
        <f t="shared" si="68"/>
        <v>420.36354887413694</v>
      </c>
      <c r="W51" s="100">
        <f t="shared" si="69"/>
        <v>457.73050546065673</v>
      </c>
      <c r="X51" s="99">
        <f t="shared" si="70"/>
        <v>420.36354887413694</v>
      </c>
      <c r="Y51" s="55">
        <v>24</v>
      </c>
      <c r="AA51" s="97"/>
      <c r="AB51" s="97"/>
      <c r="AC51" s="97"/>
      <c r="AD51" s="98"/>
    </row>
    <row r="52" spans="2:30" x14ac:dyDescent="0.3">
      <c r="B52" s="78">
        <f t="shared" si="50"/>
        <v>2.5000000000000001E-3</v>
      </c>
      <c r="C52" s="110">
        <v>748</v>
      </c>
      <c r="D52" s="111">
        <v>0.18</v>
      </c>
      <c r="E52" s="111">
        <v>3.5000000000000003E-2</v>
      </c>
      <c r="F52" s="110">
        <v>72</v>
      </c>
      <c r="G52" s="112">
        <v>1</v>
      </c>
      <c r="H52" s="113">
        <v>180000</v>
      </c>
      <c r="I52" s="99">
        <f t="shared" si="51"/>
        <v>180000</v>
      </c>
      <c r="J52" s="100">
        <f t="shared" si="65"/>
        <v>3037.5</v>
      </c>
      <c r="K52" s="100">
        <f t="shared" si="66"/>
        <v>3131.7597000000001</v>
      </c>
      <c r="L52" s="99">
        <f t="shared" si="67"/>
        <v>3037.5</v>
      </c>
      <c r="M52" s="35">
        <f t="shared" si="55"/>
        <v>3131.7597000000001</v>
      </c>
      <c r="N52" s="114">
        <v>0.32200000000000001</v>
      </c>
      <c r="O52" s="36">
        <f t="shared" si="56"/>
        <v>67068.033147293594</v>
      </c>
      <c r="P52" s="99">
        <f t="shared" si="57"/>
        <v>67068.033147293594</v>
      </c>
      <c r="Q52" s="115">
        <v>0.3</v>
      </c>
      <c r="R52" s="36">
        <f t="shared" si="58"/>
        <v>62485.745168285946</v>
      </c>
      <c r="S52" s="99">
        <f t="shared" si="59"/>
        <v>62485.745168285946</v>
      </c>
      <c r="T52" s="101">
        <f t="shared" si="60"/>
        <v>0.622</v>
      </c>
      <c r="U52" s="99">
        <f t="shared" si="61"/>
        <v>117514.25483171406</v>
      </c>
      <c r="V52" s="100">
        <f t="shared" si="68"/>
        <v>1212.7988969636679</v>
      </c>
      <c r="W52" s="100">
        <f t="shared" si="69"/>
        <v>1320.6070165125623</v>
      </c>
      <c r="X52" s="99">
        <f t="shared" si="70"/>
        <v>1212.7988969636679</v>
      </c>
      <c r="Y52" s="55">
        <v>4</v>
      </c>
      <c r="AA52" s="97"/>
      <c r="AB52" s="97"/>
      <c r="AC52" s="97"/>
      <c r="AD52" s="98"/>
    </row>
    <row r="53" spans="2:30" x14ac:dyDescent="0.3">
      <c r="B53" s="78">
        <f t="shared" si="50"/>
        <v>1.4946236559139786E-3</v>
      </c>
      <c r="C53" s="110">
        <v>749</v>
      </c>
      <c r="D53" s="111">
        <v>0.13900000000000001</v>
      </c>
      <c r="E53" s="111">
        <v>3.5000000000000003E-2</v>
      </c>
      <c r="F53" s="110">
        <v>93</v>
      </c>
      <c r="G53" s="112">
        <v>1</v>
      </c>
      <c r="H53" s="113">
        <v>300000</v>
      </c>
      <c r="I53" s="99">
        <f t="shared" si="51"/>
        <v>300000</v>
      </c>
      <c r="J53" s="100">
        <f t="shared" si="65"/>
        <v>3787.0967741935483</v>
      </c>
      <c r="K53" s="100">
        <f t="shared" si="66"/>
        <v>3938.8949741935485</v>
      </c>
      <c r="L53" s="99">
        <f t="shared" si="67"/>
        <v>3787.0967741935483</v>
      </c>
      <c r="M53" s="35">
        <f t="shared" si="55"/>
        <v>3938.8949741935485</v>
      </c>
      <c r="N53" s="114">
        <v>0.37</v>
      </c>
      <c r="O53" s="36">
        <f t="shared" si="56"/>
        <v>124108.63276726134</v>
      </c>
      <c r="P53" s="99">
        <f t="shared" si="57"/>
        <v>124108.63276726134</v>
      </c>
      <c r="Q53" s="115">
        <v>0.3</v>
      </c>
      <c r="R53" s="36">
        <f t="shared" si="58"/>
        <v>100628.62116264433</v>
      </c>
      <c r="S53" s="99">
        <f t="shared" si="59"/>
        <v>100628.62116264433</v>
      </c>
      <c r="T53" s="101">
        <f t="shared" si="60"/>
        <v>0.66999999999999993</v>
      </c>
      <c r="U53" s="99">
        <f t="shared" si="61"/>
        <v>199371.37883735567</v>
      </c>
      <c r="V53" s="100">
        <f t="shared" si="68"/>
        <v>1344.3005358250086</v>
      </c>
      <c r="W53" s="100">
        <f t="shared" si="69"/>
        <v>1499.1424487434763</v>
      </c>
      <c r="X53" s="99">
        <f t="shared" si="70"/>
        <v>1344.3005358250086</v>
      </c>
      <c r="Y53" s="55">
        <v>12</v>
      </c>
      <c r="AA53" s="97"/>
      <c r="AB53" s="97"/>
      <c r="AC53" s="97"/>
      <c r="AD53" s="98"/>
    </row>
    <row r="54" spans="2:30" x14ac:dyDescent="0.3">
      <c r="B54" s="78">
        <f t="shared" si="50"/>
        <v>2.7027027027027029E-3</v>
      </c>
      <c r="C54" s="110">
        <v>750</v>
      </c>
      <c r="D54" s="111">
        <v>0.2</v>
      </c>
      <c r="E54" s="111">
        <v>3.5000000000000003E-2</v>
      </c>
      <c r="F54" s="110">
        <v>74</v>
      </c>
      <c r="G54" s="112">
        <v>1</v>
      </c>
      <c r="H54" s="113">
        <v>36000</v>
      </c>
      <c r="I54" s="99">
        <f t="shared" si="51"/>
        <v>36000</v>
      </c>
      <c r="J54" s="100">
        <f>IFERROR(((H54*(1+SUM(D54:E54)))/F54),"-")</f>
        <v>600.81081081081084</v>
      </c>
      <c r="K54" s="100">
        <f>IFERROR((J54*(1+F54*0.0431%)),"-")</f>
        <v>619.9730708108109</v>
      </c>
      <c r="L54" s="99">
        <f>IFERROR(J54*G54,"-")</f>
        <v>600.81081081081084</v>
      </c>
      <c r="M54" s="35">
        <f t="shared" si="55"/>
        <v>619.9730708108109</v>
      </c>
      <c r="N54" s="114">
        <v>0.26500000000000001</v>
      </c>
      <c r="O54" s="36">
        <f t="shared" si="56"/>
        <v>11220.862688587535</v>
      </c>
      <c r="P54" s="99">
        <f t="shared" si="57"/>
        <v>11220.862688587535</v>
      </c>
      <c r="Q54" s="115">
        <v>0.3</v>
      </c>
      <c r="R54" s="36">
        <f t="shared" si="58"/>
        <v>12702.863421042493</v>
      </c>
      <c r="S54" s="99">
        <f t="shared" si="59"/>
        <v>12702.863421042493</v>
      </c>
      <c r="T54" s="101">
        <f t="shared" si="60"/>
        <v>0.56499999999999995</v>
      </c>
      <c r="U54" s="99">
        <f t="shared" si="61"/>
        <v>23297.136578957507</v>
      </c>
      <c r="V54" s="100">
        <f>IFERROR(((($H54*(1+D54+E54))-(O54+R54)-J54)/($F54-1)),"-")</f>
        <v>273.08853533642679</v>
      </c>
      <c r="W54" s="100">
        <f>IFERROR((V54*(1+($F54-1)*0.1252%)),"-")</f>
        <v>298.04773511203484</v>
      </c>
      <c r="X54" s="99">
        <f>IFERROR(V54*G54,"-")</f>
        <v>273.08853533642679</v>
      </c>
      <c r="Y54" s="55">
        <v>19</v>
      </c>
      <c r="AA54" s="97" t="e">
        <f>#REF!</f>
        <v>#REF!</v>
      </c>
      <c r="AB54" s="97" t="e">
        <f>#REF!</f>
        <v>#REF!</v>
      </c>
      <c r="AC54" s="97">
        <f>AVERAGE(F54:F62)</f>
        <v>75.444444444444443</v>
      </c>
      <c r="AD54" s="98" t="e">
        <f>#REF!</f>
        <v>#REF!</v>
      </c>
    </row>
    <row r="55" spans="2:30" x14ac:dyDescent="0.3">
      <c r="B55" s="78">
        <f t="shared" si="50"/>
        <v>2.7027027027027029E-3</v>
      </c>
      <c r="C55" s="110">
        <v>751</v>
      </c>
      <c r="D55" s="111">
        <v>0.2</v>
      </c>
      <c r="E55" s="111">
        <v>3.5000000000000003E-2</v>
      </c>
      <c r="F55" s="110">
        <v>74</v>
      </c>
      <c r="G55" s="112">
        <v>1</v>
      </c>
      <c r="H55" s="113">
        <v>60000</v>
      </c>
      <c r="I55" s="99">
        <f t="shared" si="51"/>
        <v>60000</v>
      </c>
      <c r="J55" s="100">
        <f t="shared" ref="J55:J60" si="71">IFERROR(((H55*(1+SUM(D55:E55)))/F55),"-")</f>
        <v>1001.3513513513514</v>
      </c>
      <c r="K55" s="100">
        <f t="shared" ref="K55:K60" si="72">IFERROR((J55*(1+F55*0.0431%)),"-")</f>
        <v>1033.2884513513513</v>
      </c>
      <c r="L55" s="99">
        <f t="shared" ref="L55:L60" si="73">IFERROR(J55*G55,"-")</f>
        <v>1001.3513513513514</v>
      </c>
      <c r="M55" s="35">
        <f t="shared" si="55"/>
        <v>1033.2884513513513</v>
      </c>
      <c r="N55" s="114">
        <v>0.29609999999999997</v>
      </c>
      <c r="O55" s="36">
        <f t="shared" si="56"/>
        <v>20896.210327614899</v>
      </c>
      <c r="P55" s="99">
        <f t="shared" si="57"/>
        <v>20896.210327614899</v>
      </c>
      <c r="Q55" s="115">
        <v>0.3</v>
      </c>
      <c r="R55" s="36">
        <f t="shared" si="58"/>
        <v>21171.43903507082</v>
      </c>
      <c r="S55" s="99">
        <f t="shared" si="59"/>
        <v>21171.43903507082</v>
      </c>
      <c r="T55" s="101">
        <f t="shared" si="60"/>
        <v>0.59609999999999996</v>
      </c>
      <c r="U55" s="99">
        <f t="shared" si="61"/>
        <v>38828.56096492918</v>
      </c>
      <c r="V55" s="100">
        <f t="shared" ref="V55:V60" si="74">IFERROR(((($H55*(1+D55+E55))-(O55+R55)-J55)/($F55-1)),"-")</f>
        <v>425.08218199949198</v>
      </c>
      <c r="W55" s="100">
        <f t="shared" ref="W55:W60" si="75">IFERROR((V55*(1+($F55-1)*0.1252%)),"-")</f>
        <v>463.93299310551754</v>
      </c>
      <c r="X55" s="99">
        <f t="shared" ref="X55:X60" si="76">IFERROR(V55*G55,"-")</f>
        <v>425.08218199949198</v>
      </c>
      <c r="Y55" s="55">
        <v>28</v>
      </c>
      <c r="AA55" s="97"/>
      <c r="AB55" s="97"/>
      <c r="AC55" s="97"/>
      <c r="AD55" s="98"/>
    </row>
    <row r="56" spans="2:30" x14ac:dyDescent="0.3">
      <c r="B56" s="78">
        <f t="shared" si="50"/>
        <v>2.4324324324324323E-3</v>
      </c>
      <c r="C56" s="110">
        <v>752</v>
      </c>
      <c r="D56" s="111">
        <v>0.18</v>
      </c>
      <c r="E56" s="111">
        <v>3.5000000000000003E-2</v>
      </c>
      <c r="F56" s="110">
        <v>74</v>
      </c>
      <c r="G56" s="112">
        <v>1</v>
      </c>
      <c r="H56" s="113">
        <v>100000</v>
      </c>
      <c r="I56" s="99">
        <f t="shared" si="51"/>
        <v>100000</v>
      </c>
      <c r="J56" s="100">
        <f t="shared" si="71"/>
        <v>1641.8918918918921</v>
      </c>
      <c r="K56" s="100">
        <f t="shared" si="72"/>
        <v>1694.2583918918922</v>
      </c>
      <c r="L56" s="99">
        <f t="shared" si="73"/>
        <v>1641.8918918918921</v>
      </c>
      <c r="M56" s="35">
        <f t="shared" si="55"/>
        <v>1694.2583918918922</v>
      </c>
      <c r="N56" s="114">
        <v>0.2</v>
      </c>
      <c r="O56" s="36">
        <f t="shared" si="56"/>
        <v>23142.868580846651</v>
      </c>
      <c r="P56" s="99">
        <f t="shared" si="57"/>
        <v>23142.868580846651</v>
      </c>
      <c r="Q56" s="115">
        <v>0.3</v>
      </c>
      <c r="R56" s="36">
        <f t="shared" si="58"/>
        <v>34714.302871269967</v>
      </c>
      <c r="S56" s="99">
        <f t="shared" si="59"/>
        <v>34714.302871269967</v>
      </c>
      <c r="T56" s="101">
        <f t="shared" si="60"/>
        <v>0.5</v>
      </c>
      <c r="U56" s="99">
        <f t="shared" si="61"/>
        <v>65285.697128730033</v>
      </c>
      <c r="V56" s="100">
        <f t="shared" si="74"/>
        <v>849.32789939714348</v>
      </c>
      <c r="W56" s="100">
        <f t="shared" si="75"/>
        <v>926.95307209044483</v>
      </c>
      <c r="X56" s="99">
        <f t="shared" si="76"/>
        <v>849.32789939714348</v>
      </c>
      <c r="Y56" s="55">
        <v>20</v>
      </c>
      <c r="AA56" s="97"/>
      <c r="AB56" s="97"/>
      <c r="AC56" s="97"/>
      <c r="AD56" s="98"/>
    </row>
    <row r="57" spans="2:30" x14ac:dyDescent="0.3">
      <c r="B57" s="78">
        <f t="shared" si="50"/>
        <v>2.4324324324324323E-3</v>
      </c>
      <c r="C57" s="110">
        <v>753</v>
      </c>
      <c r="D57" s="111">
        <v>0.18</v>
      </c>
      <c r="E57" s="111">
        <v>3.5000000000000003E-2</v>
      </c>
      <c r="F57" s="110">
        <v>74</v>
      </c>
      <c r="G57" s="112">
        <v>1</v>
      </c>
      <c r="H57" s="113">
        <v>180000</v>
      </c>
      <c r="I57" s="99">
        <f t="shared" si="51"/>
        <v>180000</v>
      </c>
      <c r="J57" s="100">
        <f t="shared" si="71"/>
        <v>2955.4054054054054</v>
      </c>
      <c r="K57" s="100">
        <f t="shared" si="72"/>
        <v>3049.6651054054055</v>
      </c>
      <c r="L57" s="99">
        <f t="shared" si="73"/>
        <v>2955.4054054054054</v>
      </c>
      <c r="M57" s="35">
        <f t="shared" si="55"/>
        <v>3049.6651054054055</v>
      </c>
      <c r="N57" s="114">
        <v>0.36720000000000003</v>
      </c>
      <c r="O57" s="36">
        <f t="shared" si="56"/>
        <v>76482.55208598201</v>
      </c>
      <c r="P57" s="99">
        <f t="shared" si="57"/>
        <v>76482.55208598201</v>
      </c>
      <c r="Q57" s="115">
        <v>0.3</v>
      </c>
      <c r="R57" s="36">
        <f t="shared" si="58"/>
        <v>62485.745168285946</v>
      </c>
      <c r="S57" s="99">
        <f t="shared" si="59"/>
        <v>62485.745168285946</v>
      </c>
      <c r="T57" s="101">
        <f t="shared" si="60"/>
        <v>0.66720000000000002</v>
      </c>
      <c r="U57" s="99">
        <f t="shared" si="61"/>
        <v>117514.25483171406</v>
      </c>
      <c r="V57" s="100">
        <f t="shared" si="74"/>
        <v>1051.7301005524193</v>
      </c>
      <c r="W57" s="100">
        <f t="shared" si="75"/>
        <v>1147.8540248225083</v>
      </c>
      <c r="X57" s="99">
        <f t="shared" si="76"/>
        <v>1051.7301005524193</v>
      </c>
      <c r="Y57" s="55">
        <v>5</v>
      </c>
      <c r="AA57" s="97"/>
      <c r="AB57" s="97"/>
      <c r="AC57" s="97"/>
      <c r="AD57" s="98"/>
    </row>
    <row r="58" spans="2:30" x14ac:dyDescent="0.3">
      <c r="B58" s="78">
        <f t="shared" si="50"/>
        <v>2.631578947368421E-3</v>
      </c>
      <c r="C58" s="110">
        <v>754</v>
      </c>
      <c r="D58" s="111">
        <v>0.2</v>
      </c>
      <c r="E58" s="111">
        <v>3.5000000000000003E-2</v>
      </c>
      <c r="F58" s="110">
        <v>76</v>
      </c>
      <c r="G58" s="112">
        <v>1</v>
      </c>
      <c r="H58" s="113">
        <v>36000</v>
      </c>
      <c r="I58" s="99">
        <f t="shared" si="51"/>
        <v>36000</v>
      </c>
      <c r="J58" s="100">
        <f t="shared" si="71"/>
        <v>585</v>
      </c>
      <c r="K58" s="100">
        <f t="shared" si="72"/>
        <v>604.16226000000006</v>
      </c>
      <c r="L58" s="99">
        <f t="shared" si="73"/>
        <v>585</v>
      </c>
      <c r="M58" s="35">
        <f t="shared" si="55"/>
        <v>604.16226000000006</v>
      </c>
      <c r="N58" s="114">
        <v>0.26500000000000001</v>
      </c>
      <c r="O58" s="36">
        <f t="shared" si="56"/>
        <v>11220.862688587535</v>
      </c>
      <c r="P58" s="99">
        <f t="shared" si="57"/>
        <v>11220.862688587535</v>
      </c>
      <c r="Q58" s="115">
        <v>0.3</v>
      </c>
      <c r="R58" s="36">
        <f t="shared" si="58"/>
        <v>12702.863421042493</v>
      </c>
      <c r="S58" s="99">
        <f t="shared" si="59"/>
        <v>12702.863421042493</v>
      </c>
      <c r="T58" s="101">
        <f t="shared" si="60"/>
        <v>0.56499999999999995</v>
      </c>
      <c r="U58" s="99">
        <f t="shared" si="61"/>
        <v>23297.136578957507</v>
      </c>
      <c r="V58" s="100">
        <f t="shared" si="74"/>
        <v>266.01698520493284</v>
      </c>
      <c r="W58" s="100">
        <f t="shared" si="75"/>
        <v>290.99598011567605</v>
      </c>
      <c r="X58" s="99">
        <f t="shared" si="76"/>
        <v>266.01698520493284</v>
      </c>
      <c r="Y58" s="55">
        <v>27</v>
      </c>
      <c r="AA58" s="97"/>
      <c r="AB58" s="97"/>
      <c r="AC58" s="97"/>
      <c r="AD58" s="98"/>
    </row>
    <row r="59" spans="2:30" x14ac:dyDescent="0.3">
      <c r="B59" s="78">
        <f t="shared" si="50"/>
        <v>2.631578947368421E-3</v>
      </c>
      <c r="C59" s="110">
        <v>755</v>
      </c>
      <c r="D59" s="111">
        <v>0.2</v>
      </c>
      <c r="E59" s="111">
        <v>3.5000000000000003E-2</v>
      </c>
      <c r="F59" s="110">
        <v>76</v>
      </c>
      <c r="G59" s="112">
        <v>1</v>
      </c>
      <c r="H59" s="113">
        <v>60000</v>
      </c>
      <c r="I59" s="99">
        <f t="shared" si="51"/>
        <v>60000</v>
      </c>
      <c r="J59" s="100">
        <f t="shared" si="71"/>
        <v>975</v>
      </c>
      <c r="K59" s="100">
        <f t="shared" si="72"/>
        <v>1006.9371</v>
      </c>
      <c r="L59" s="99">
        <f t="shared" si="73"/>
        <v>975</v>
      </c>
      <c r="M59" s="35">
        <f t="shared" si="55"/>
        <v>1006.9371</v>
      </c>
      <c r="N59" s="114">
        <v>0.33119999999999999</v>
      </c>
      <c r="O59" s="36">
        <f t="shared" si="56"/>
        <v>23373.268694718186</v>
      </c>
      <c r="P59" s="99">
        <f t="shared" si="57"/>
        <v>23373.268694718186</v>
      </c>
      <c r="Q59" s="115">
        <v>0.3</v>
      </c>
      <c r="R59" s="36">
        <f t="shared" si="58"/>
        <v>21171.43903507082</v>
      </c>
      <c r="S59" s="99">
        <f t="shared" si="59"/>
        <v>21171.43903507082</v>
      </c>
      <c r="T59" s="101">
        <f t="shared" si="60"/>
        <v>0.63119999999999998</v>
      </c>
      <c r="U59" s="99">
        <f t="shared" si="61"/>
        <v>38828.56096492918</v>
      </c>
      <c r="V59" s="100">
        <f t="shared" si="74"/>
        <v>381.07056360281308</v>
      </c>
      <c r="W59" s="100">
        <f t="shared" si="75"/>
        <v>416.85308952511724</v>
      </c>
      <c r="X59" s="99">
        <f t="shared" si="76"/>
        <v>381.07056360281308</v>
      </c>
      <c r="Y59" s="55">
        <v>33</v>
      </c>
      <c r="AA59" s="97"/>
      <c r="AB59" s="97"/>
      <c r="AC59" s="97"/>
      <c r="AD59" s="98"/>
    </row>
    <row r="60" spans="2:30" x14ac:dyDescent="0.3">
      <c r="B60" s="78">
        <f t="shared" si="50"/>
        <v>2.3684210526315787E-3</v>
      </c>
      <c r="C60" s="110">
        <v>756</v>
      </c>
      <c r="D60" s="111">
        <v>0.18</v>
      </c>
      <c r="E60" s="111">
        <v>3.5000000000000003E-2</v>
      </c>
      <c r="F60" s="110">
        <v>76</v>
      </c>
      <c r="G60" s="112">
        <v>1</v>
      </c>
      <c r="H60" s="113">
        <v>100000</v>
      </c>
      <c r="I60" s="99">
        <f t="shared" si="51"/>
        <v>100000</v>
      </c>
      <c r="J60" s="100">
        <f t="shared" si="71"/>
        <v>1598.6842105263161</v>
      </c>
      <c r="K60" s="100">
        <f t="shared" si="72"/>
        <v>1651.0507105263162</v>
      </c>
      <c r="L60" s="99">
        <f t="shared" si="73"/>
        <v>1598.6842105263161</v>
      </c>
      <c r="M60" s="35">
        <f t="shared" si="55"/>
        <v>1651.0507105263162</v>
      </c>
      <c r="N60" s="114">
        <v>0.25</v>
      </c>
      <c r="O60" s="36">
        <f t="shared" si="56"/>
        <v>28928.585726058311</v>
      </c>
      <c r="P60" s="99">
        <f t="shared" si="57"/>
        <v>28928.585726058311</v>
      </c>
      <c r="Q60" s="115">
        <v>0.3</v>
      </c>
      <c r="R60" s="36">
        <f t="shared" si="58"/>
        <v>34714.302871269967</v>
      </c>
      <c r="S60" s="99">
        <f t="shared" si="59"/>
        <v>34714.302871269967</v>
      </c>
      <c r="T60" s="101">
        <f t="shared" si="60"/>
        <v>0.55000000000000004</v>
      </c>
      <c r="U60" s="99">
        <f t="shared" si="61"/>
        <v>65285.697128730033</v>
      </c>
      <c r="V60" s="100">
        <f t="shared" si="74"/>
        <v>750.11236256193865</v>
      </c>
      <c r="W60" s="100">
        <f t="shared" si="75"/>
        <v>820.54791340650479</v>
      </c>
      <c r="X60" s="99">
        <f t="shared" si="76"/>
        <v>750.11236256193865</v>
      </c>
      <c r="Y60" s="55">
        <v>19</v>
      </c>
      <c r="AA60" s="97"/>
      <c r="AB60" s="97"/>
      <c r="AC60" s="97"/>
      <c r="AD60" s="98"/>
    </row>
    <row r="61" spans="2:30" x14ac:dyDescent="0.3">
      <c r="B61" s="78">
        <f t="shared" si="0"/>
        <v>2.3376623376623377E-3</v>
      </c>
      <c r="C61" s="110">
        <v>757</v>
      </c>
      <c r="D61" s="111">
        <v>0.18</v>
      </c>
      <c r="E61" s="111">
        <v>3.5000000000000003E-2</v>
      </c>
      <c r="F61" s="110">
        <v>77</v>
      </c>
      <c r="G61" s="112">
        <v>1</v>
      </c>
      <c r="H61" s="113">
        <v>180000</v>
      </c>
      <c r="I61" s="99">
        <f t="shared" si="1"/>
        <v>180000</v>
      </c>
      <c r="J61" s="100">
        <f t="shared" si="2"/>
        <v>2840.2597402597403</v>
      </c>
      <c r="K61" s="100">
        <f t="shared" si="3"/>
        <v>2934.5194402597403</v>
      </c>
      <c r="L61" s="99">
        <f t="shared" si="4"/>
        <v>2840.2597402597403</v>
      </c>
      <c r="M61" s="35">
        <f t="shared" si="5"/>
        <v>2934.5194402597403</v>
      </c>
      <c r="N61" s="114">
        <v>0.34489999999999998</v>
      </c>
      <c r="O61" s="36">
        <f t="shared" si="6"/>
        <v>71837.778361806078</v>
      </c>
      <c r="P61" s="99">
        <f t="shared" si="7"/>
        <v>71837.778361806078</v>
      </c>
      <c r="Q61" s="115">
        <v>0.3</v>
      </c>
      <c r="R61" s="36">
        <f t="shared" si="8"/>
        <v>62485.745168285946</v>
      </c>
      <c r="S61" s="99">
        <f t="shared" si="9"/>
        <v>62485.745168285946</v>
      </c>
      <c r="T61" s="101">
        <f t="shared" si="10"/>
        <v>0.64490000000000003</v>
      </c>
      <c r="U61" s="99">
        <f t="shared" si="11"/>
        <v>117514.25483171406</v>
      </c>
      <c r="V61" s="100">
        <f t="shared" si="12"/>
        <v>1072.8449569690551</v>
      </c>
      <c r="W61" s="100">
        <f t="shared" si="13"/>
        <v>1174.9283003145745</v>
      </c>
      <c r="X61" s="99">
        <f t="shared" si="14"/>
        <v>1072.8449569690551</v>
      </c>
      <c r="Y61" s="55">
        <v>14</v>
      </c>
      <c r="AA61" s="97"/>
      <c r="AB61" s="97"/>
      <c r="AC61" s="97"/>
      <c r="AD61" s="98"/>
    </row>
    <row r="62" spans="2:30" x14ac:dyDescent="0.3">
      <c r="B62" s="78">
        <f t="shared" si="0"/>
        <v>2.3076923076923075E-3</v>
      </c>
      <c r="C62" s="110">
        <v>758</v>
      </c>
      <c r="D62" s="111">
        <v>0.18</v>
      </c>
      <c r="E62" s="111">
        <v>3.5000000000000003E-2</v>
      </c>
      <c r="F62" s="110">
        <v>78</v>
      </c>
      <c r="G62" s="112">
        <v>1</v>
      </c>
      <c r="H62" s="113">
        <v>100000</v>
      </c>
      <c r="I62" s="99">
        <f t="shared" si="1"/>
        <v>100000</v>
      </c>
      <c r="J62" s="100">
        <f>IFERROR(((H62*(1+SUM(D62:E62)))/F62),"-")</f>
        <v>1557.6923076923078</v>
      </c>
      <c r="K62" s="100">
        <f>IFERROR((J62*(1+F62*0.0431%)),"-")</f>
        <v>1610.0588076923077</v>
      </c>
      <c r="L62" s="99">
        <f>IFERROR(J62*G62,"-")</f>
        <v>1557.6923076923078</v>
      </c>
      <c r="M62" s="35">
        <f t="shared" si="5"/>
        <v>1610.0588076923077</v>
      </c>
      <c r="N62" s="114">
        <v>0.28460000000000002</v>
      </c>
      <c r="O62" s="36">
        <f t="shared" si="6"/>
        <v>32932.301990544787</v>
      </c>
      <c r="P62" s="99">
        <f t="shared" si="7"/>
        <v>32932.301990544787</v>
      </c>
      <c r="Q62" s="115">
        <v>0.3</v>
      </c>
      <c r="R62" s="36">
        <f t="shared" si="8"/>
        <v>34714.302871269967</v>
      </c>
      <c r="S62" s="99">
        <f t="shared" si="9"/>
        <v>34714.302871269967</v>
      </c>
      <c r="T62" s="101">
        <f t="shared" si="10"/>
        <v>0.58460000000000001</v>
      </c>
      <c r="U62" s="99">
        <f t="shared" si="11"/>
        <v>65285.697128730033</v>
      </c>
      <c r="V62" s="100">
        <f>IFERROR(((($H62*(1+D62+E62))-(O62+R62)-J62)/($F62-1)),"-")</f>
        <v>679.1649718245834</v>
      </c>
      <c r="W62" s="100">
        <f>IFERROR((V62*(1+($F62-1)*0.1252%)),"-")</f>
        <v>744.63919176836055</v>
      </c>
      <c r="X62" s="99">
        <f>IFERROR(V62*G62,"-")</f>
        <v>679.1649718245834</v>
      </c>
      <c r="Y62" s="55">
        <v>19</v>
      </c>
      <c r="AA62" s="97" t="e">
        <f>#REF!</f>
        <v>#REF!</v>
      </c>
      <c r="AB62" s="97" t="e">
        <f>#REF!</f>
        <v>#REF!</v>
      </c>
      <c r="AC62" s="97">
        <f>AVERAGE(F62:F73)</f>
        <v>74.333333333333329</v>
      </c>
      <c r="AD62" s="98" t="e">
        <f>#REF!</f>
        <v>#REF!</v>
      </c>
    </row>
    <row r="63" spans="2:30" x14ac:dyDescent="0.3">
      <c r="B63" s="78">
        <f t="shared" si="0"/>
        <v>2.5641025641025641E-3</v>
      </c>
      <c r="C63" s="110">
        <v>759</v>
      </c>
      <c r="D63" s="111">
        <v>0.2</v>
      </c>
      <c r="E63" s="111">
        <v>3.5000000000000003E-2</v>
      </c>
      <c r="F63" s="110">
        <v>78</v>
      </c>
      <c r="G63" s="112">
        <v>1</v>
      </c>
      <c r="H63" s="113">
        <v>36000</v>
      </c>
      <c r="I63" s="99">
        <f t="shared" si="1"/>
        <v>36000</v>
      </c>
      <c r="J63" s="100">
        <f t="shared" ref="J63:J68" si="77">IFERROR(((H63*(1+SUM(D63:E63)))/F63),"-")</f>
        <v>570</v>
      </c>
      <c r="K63" s="100">
        <f t="shared" ref="K63:K68" si="78">IFERROR((J63*(1+F63*0.0431%)),"-")</f>
        <v>589.16225999999995</v>
      </c>
      <c r="L63" s="99">
        <f t="shared" ref="L63:L68" si="79">IFERROR(J63*G63,"-")</f>
        <v>570</v>
      </c>
      <c r="M63" s="35">
        <f t="shared" si="5"/>
        <v>589.16225999999995</v>
      </c>
      <c r="N63" s="114">
        <v>0.27529999999999999</v>
      </c>
      <c r="O63" s="36">
        <f t="shared" si="6"/>
        <v>11656.994332709994</v>
      </c>
      <c r="P63" s="99">
        <f t="shared" si="7"/>
        <v>11656.994332709994</v>
      </c>
      <c r="Q63" s="115">
        <v>0.3</v>
      </c>
      <c r="R63" s="36">
        <f t="shared" si="8"/>
        <v>12702.863421042493</v>
      </c>
      <c r="S63" s="99">
        <f t="shared" si="9"/>
        <v>12702.863421042493</v>
      </c>
      <c r="T63" s="101">
        <f t="shared" si="10"/>
        <v>0.57529999999999992</v>
      </c>
      <c r="U63" s="99">
        <f t="shared" si="11"/>
        <v>23297.136578957507</v>
      </c>
      <c r="V63" s="100">
        <f t="shared" ref="V63:V68" si="80">IFERROR(((($H63*(1+D63+E63))-(O63+R63)-J63)/($F63-1)),"-")</f>
        <v>253.63821099022735</v>
      </c>
      <c r="W63" s="100">
        <f t="shared" ref="W63:W68" si="81">IFERROR((V63*(1+($F63-1)*0.1252%)),"-")</f>
        <v>278.08994908252919</v>
      </c>
      <c r="X63" s="99">
        <f t="shared" ref="X63:X68" si="82">IFERROR(V63*G63,"-")</f>
        <v>253.63821099022735</v>
      </c>
      <c r="Y63" s="55">
        <v>14</v>
      </c>
      <c r="AA63" s="97"/>
      <c r="AB63" s="97"/>
      <c r="AC63" s="97"/>
      <c r="AD63" s="98"/>
    </row>
    <row r="64" spans="2:30" x14ac:dyDescent="0.3">
      <c r="B64" s="78">
        <f t="shared" si="0"/>
        <v>2.5641025641025641E-3</v>
      </c>
      <c r="C64" s="110">
        <v>760</v>
      </c>
      <c r="D64" s="111">
        <v>0.2</v>
      </c>
      <c r="E64" s="111">
        <v>3.5000000000000003E-2</v>
      </c>
      <c r="F64" s="110">
        <v>78</v>
      </c>
      <c r="G64" s="112">
        <v>1</v>
      </c>
      <c r="H64" s="113">
        <v>60000</v>
      </c>
      <c r="I64" s="99">
        <f t="shared" si="1"/>
        <v>60000</v>
      </c>
      <c r="J64" s="100">
        <f t="shared" si="77"/>
        <v>950</v>
      </c>
      <c r="K64" s="100">
        <f t="shared" si="78"/>
        <v>981.93709999999987</v>
      </c>
      <c r="L64" s="99">
        <f t="shared" si="79"/>
        <v>950</v>
      </c>
      <c r="M64" s="35">
        <f t="shared" si="5"/>
        <v>981.93709999999987</v>
      </c>
      <c r="N64" s="114">
        <v>0.30590000000000001</v>
      </c>
      <c r="O64" s="36">
        <f t="shared" si="6"/>
        <v>21587.810669427214</v>
      </c>
      <c r="P64" s="99">
        <f t="shared" si="7"/>
        <v>21587.810669427214</v>
      </c>
      <c r="Q64" s="115">
        <v>0.3</v>
      </c>
      <c r="R64" s="36">
        <f t="shared" si="8"/>
        <v>21171.43903507082</v>
      </c>
      <c r="S64" s="99">
        <f t="shared" si="9"/>
        <v>21171.43903507082</v>
      </c>
      <c r="T64" s="101">
        <f t="shared" si="10"/>
        <v>0.60589999999999999</v>
      </c>
      <c r="U64" s="99">
        <f t="shared" si="11"/>
        <v>38828.56096492918</v>
      </c>
      <c r="V64" s="100">
        <f t="shared" si="80"/>
        <v>394.68506877275263</v>
      </c>
      <c r="W64" s="100">
        <f t="shared" si="81"/>
        <v>432.73428814272103</v>
      </c>
      <c r="X64" s="99">
        <f t="shared" si="82"/>
        <v>394.68506877275263</v>
      </c>
      <c r="Y64" s="55">
        <v>16</v>
      </c>
      <c r="AA64" s="97"/>
      <c r="AB64" s="97"/>
      <c r="AC64" s="97"/>
      <c r="AD64" s="98"/>
    </row>
    <row r="65" spans="1:31" x14ac:dyDescent="0.3">
      <c r="B65" s="78">
        <f t="shared" si="0"/>
        <v>3.0357142857142861E-3</v>
      </c>
      <c r="C65" s="110">
        <v>761</v>
      </c>
      <c r="D65" s="111">
        <v>0.17</v>
      </c>
      <c r="E65" s="111">
        <v>3.5000000000000003E-2</v>
      </c>
      <c r="F65" s="110">
        <v>56</v>
      </c>
      <c r="G65" s="112">
        <v>1</v>
      </c>
      <c r="H65" s="113">
        <v>36000</v>
      </c>
      <c r="I65" s="99">
        <f t="shared" si="1"/>
        <v>36000</v>
      </c>
      <c r="J65" s="100">
        <f t="shared" si="77"/>
        <v>774.64285714285711</v>
      </c>
      <c r="K65" s="100">
        <f t="shared" si="78"/>
        <v>793.3396371428571</v>
      </c>
      <c r="L65" s="99">
        <f t="shared" si="79"/>
        <v>774.64285714285711</v>
      </c>
      <c r="M65" s="35">
        <f t="shared" si="5"/>
        <v>793.3396371428571</v>
      </c>
      <c r="N65" s="114">
        <v>0.3</v>
      </c>
      <c r="O65" s="36">
        <f t="shared" si="6"/>
        <v>12394.291839964539</v>
      </c>
      <c r="P65" s="99">
        <f t="shared" si="7"/>
        <v>12394.291839964539</v>
      </c>
      <c r="Q65" s="115">
        <v>0.3</v>
      </c>
      <c r="R65" s="36">
        <f t="shared" si="8"/>
        <v>12394.291839964539</v>
      </c>
      <c r="S65" s="99">
        <f t="shared" si="9"/>
        <v>12394.291839964539</v>
      </c>
      <c r="T65" s="101">
        <f t="shared" si="10"/>
        <v>0.6</v>
      </c>
      <c r="U65" s="99">
        <f t="shared" si="11"/>
        <v>23605.708160035461</v>
      </c>
      <c r="V65" s="100">
        <f t="shared" si="80"/>
        <v>323.94133568960103</v>
      </c>
      <c r="W65" s="100">
        <f t="shared" si="81"/>
        <v>346.24793606518693</v>
      </c>
      <c r="X65" s="99">
        <f t="shared" si="82"/>
        <v>323.94133568960103</v>
      </c>
      <c r="Y65" s="55">
        <v>3</v>
      </c>
      <c r="AA65" s="97"/>
      <c r="AB65" s="97"/>
      <c r="AC65" s="97"/>
      <c r="AD65" s="98"/>
    </row>
    <row r="66" spans="1:31" x14ac:dyDescent="0.3">
      <c r="B66" s="78">
        <f t="shared" si="0"/>
        <v>3.0357142857142861E-3</v>
      </c>
      <c r="C66" s="110">
        <v>762</v>
      </c>
      <c r="D66" s="111">
        <v>0.17</v>
      </c>
      <c r="E66" s="111">
        <v>3.5000000000000003E-2</v>
      </c>
      <c r="F66" s="110">
        <v>56</v>
      </c>
      <c r="G66" s="112">
        <v>1</v>
      </c>
      <c r="H66" s="113">
        <v>60000</v>
      </c>
      <c r="I66" s="99">
        <f t="shared" si="1"/>
        <v>60000</v>
      </c>
      <c r="J66" s="100">
        <f t="shared" si="77"/>
        <v>1291.0714285714287</v>
      </c>
      <c r="K66" s="100">
        <f t="shared" si="78"/>
        <v>1322.2327285714287</v>
      </c>
      <c r="L66" s="99">
        <f t="shared" si="79"/>
        <v>1291.0714285714287</v>
      </c>
      <c r="M66" s="35">
        <f t="shared" si="5"/>
        <v>1322.2327285714287</v>
      </c>
      <c r="N66" s="114">
        <v>0.30020000000000002</v>
      </c>
      <c r="O66" s="36">
        <f t="shared" si="6"/>
        <v>20670.924501985301</v>
      </c>
      <c r="P66" s="99">
        <f t="shared" si="7"/>
        <v>20670.924501985301</v>
      </c>
      <c r="Q66" s="115">
        <v>0.3</v>
      </c>
      <c r="R66" s="36">
        <f t="shared" si="8"/>
        <v>20657.153066607563</v>
      </c>
      <c r="S66" s="99">
        <f t="shared" si="9"/>
        <v>20657.153066607563</v>
      </c>
      <c r="T66" s="101">
        <f t="shared" si="10"/>
        <v>0.60020000000000007</v>
      </c>
      <c r="U66" s="99">
        <f t="shared" si="11"/>
        <v>39342.846933392437</v>
      </c>
      <c r="V66" s="100">
        <f t="shared" si="80"/>
        <v>539.65183641519434</v>
      </c>
      <c r="W66" s="100">
        <f t="shared" si="81"/>
        <v>576.81226187074458</v>
      </c>
      <c r="X66" s="99">
        <f t="shared" si="82"/>
        <v>539.65183641519434</v>
      </c>
      <c r="Y66" s="55">
        <v>3</v>
      </c>
      <c r="AA66" s="97"/>
      <c r="AB66" s="97"/>
      <c r="AC66" s="97"/>
      <c r="AD66" s="98"/>
    </row>
    <row r="67" spans="1:31" x14ac:dyDescent="0.3">
      <c r="B67" s="78">
        <f t="shared" si="0"/>
        <v>3.0357142857142861E-3</v>
      </c>
      <c r="C67" s="110">
        <v>763</v>
      </c>
      <c r="D67" s="111">
        <v>0.17</v>
      </c>
      <c r="E67" s="111">
        <v>3.5000000000000003E-2</v>
      </c>
      <c r="F67" s="110">
        <v>56</v>
      </c>
      <c r="G67" s="112">
        <v>1</v>
      </c>
      <c r="H67" s="113">
        <v>100000</v>
      </c>
      <c r="I67" s="99">
        <f t="shared" si="1"/>
        <v>100000</v>
      </c>
      <c r="J67" s="100">
        <f t="shared" si="77"/>
        <v>2151.7857142857142</v>
      </c>
      <c r="K67" s="100">
        <f t="shared" si="78"/>
        <v>2203.7212142857143</v>
      </c>
      <c r="L67" s="99">
        <f t="shared" si="79"/>
        <v>2151.7857142857142</v>
      </c>
      <c r="M67" s="35">
        <f t="shared" si="5"/>
        <v>2203.7212142857143</v>
      </c>
      <c r="N67" s="114">
        <v>0.4</v>
      </c>
      <c r="O67" s="36">
        <f t="shared" si="6"/>
        <v>45904.784592461256</v>
      </c>
      <c r="P67" s="99">
        <f t="shared" si="7"/>
        <v>45904.784592461256</v>
      </c>
      <c r="Q67" s="115">
        <v>0.3</v>
      </c>
      <c r="R67" s="36">
        <f t="shared" si="8"/>
        <v>34428.588444345936</v>
      </c>
      <c r="S67" s="99">
        <f t="shared" si="9"/>
        <v>34428.588444345936</v>
      </c>
      <c r="T67" s="101">
        <f t="shared" si="10"/>
        <v>0.7</v>
      </c>
      <c r="U67" s="99">
        <f t="shared" si="11"/>
        <v>65571.411555654064</v>
      </c>
      <c r="V67" s="100">
        <f t="shared" si="80"/>
        <v>691.17893179831037</v>
      </c>
      <c r="W67" s="100">
        <f t="shared" si="81"/>
        <v>738.77351304194201</v>
      </c>
      <c r="X67" s="99">
        <f t="shared" si="82"/>
        <v>691.17893179831037</v>
      </c>
      <c r="Y67" s="55">
        <v>2</v>
      </c>
      <c r="AA67" s="97"/>
      <c r="AB67" s="97"/>
      <c r="AC67" s="97"/>
      <c r="AD67" s="98"/>
    </row>
    <row r="68" spans="1:31" x14ac:dyDescent="0.3">
      <c r="B68" s="78">
        <f t="shared" si="0"/>
        <v>2.3076923076923075E-3</v>
      </c>
      <c r="C68" s="110">
        <v>766</v>
      </c>
      <c r="D68" s="111">
        <v>0.18</v>
      </c>
      <c r="E68" s="111">
        <v>3.5000000000000003E-2</v>
      </c>
      <c r="F68" s="110">
        <v>78</v>
      </c>
      <c r="G68" s="112">
        <v>1</v>
      </c>
      <c r="H68" s="113">
        <v>100000</v>
      </c>
      <c r="I68" s="99">
        <f t="shared" si="1"/>
        <v>100000</v>
      </c>
      <c r="J68" s="100">
        <f t="shared" si="77"/>
        <v>1557.6923076923078</v>
      </c>
      <c r="K68" s="100">
        <f t="shared" si="78"/>
        <v>1610.0588076923077</v>
      </c>
      <c r="L68" s="99">
        <f t="shared" si="79"/>
        <v>1557.6923076923078</v>
      </c>
      <c r="M68" s="35">
        <f t="shared" si="5"/>
        <v>1610.0588076923077</v>
      </c>
      <c r="N68" s="114">
        <v>0.34760000000000002</v>
      </c>
      <c r="O68" s="36">
        <f t="shared" si="6"/>
        <v>40222.305593511475</v>
      </c>
      <c r="P68" s="99">
        <f t="shared" si="7"/>
        <v>40222.305593511475</v>
      </c>
      <c r="Q68" s="115">
        <v>0.3</v>
      </c>
      <c r="R68" s="36">
        <f t="shared" si="8"/>
        <v>34714.302871269967</v>
      </c>
      <c r="S68" s="99">
        <f t="shared" si="9"/>
        <v>34714.302871269967</v>
      </c>
      <c r="T68" s="101">
        <f t="shared" si="10"/>
        <v>0.64759999999999995</v>
      </c>
      <c r="U68" s="99">
        <f t="shared" si="11"/>
        <v>65285.697128730033</v>
      </c>
      <c r="V68" s="100">
        <f t="shared" si="80"/>
        <v>584.4896003574836</v>
      </c>
      <c r="W68" s="100">
        <f t="shared" si="81"/>
        <v>640.83673579034644</v>
      </c>
      <c r="X68" s="99">
        <f t="shared" si="82"/>
        <v>584.4896003574836</v>
      </c>
      <c r="Y68" s="55">
        <v>11</v>
      </c>
      <c r="AA68" s="97"/>
      <c r="AB68" s="97"/>
      <c r="AC68" s="97"/>
      <c r="AD68" s="98"/>
    </row>
    <row r="69" spans="1:31" x14ac:dyDescent="0.3">
      <c r="B69" s="78">
        <f t="shared" si="0"/>
        <v>2.5641025641025641E-3</v>
      </c>
      <c r="C69" s="110">
        <v>767</v>
      </c>
      <c r="D69" s="111">
        <v>0.2</v>
      </c>
      <c r="E69" s="111">
        <v>3.5000000000000003E-2</v>
      </c>
      <c r="F69" s="110">
        <v>78</v>
      </c>
      <c r="G69" s="112">
        <v>1</v>
      </c>
      <c r="H69" s="113">
        <v>36000</v>
      </c>
      <c r="I69" s="99">
        <f t="shared" si="1"/>
        <v>36000</v>
      </c>
      <c r="J69" s="100">
        <f>IFERROR(((H69*(1+SUM(D69:E69)))/F69),"-")</f>
        <v>570</v>
      </c>
      <c r="K69" s="100">
        <f>IFERROR((J69*(1+F69*0.0431%)),"-")</f>
        <v>589.16225999999995</v>
      </c>
      <c r="L69" s="99">
        <f>IFERROR(J69*G69,"-")</f>
        <v>570</v>
      </c>
      <c r="M69" s="35">
        <f t="shared" si="5"/>
        <v>589.16225999999995</v>
      </c>
      <c r="N69" s="114">
        <v>0.29480000000000001</v>
      </c>
      <c r="O69" s="36">
        <f t="shared" si="6"/>
        <v>12482.680455077756</v>
      </c>
      <c r="P69" s="99">
        <f t="shared" si="7"/>
        <v>12482.680455077756</v>
      </c>
      <c r="Q69" s="115">
        <v>0.3</v>
      </c>
      <c r="R69" s="36">
        <f t="shared" si="8"/>
        <v>12702.863421042493</v>
      </c>
      <c r="S69" s="99">
        <f t="shared" si="9"/>
        <v>12702.863421042493</v>
      </c>
      <c r="T69" s="101">
        <f t="shared" si="10"/>
        <v>0.5948</v>
      </c>
      <c r="U69" s="99">
        <f t="shared" si="11"/>
        <v>23297.136578957507</v>
      </c>
      <c r="V69" s="100">
        <f>IFERROR(((($H69*(1+D69+E69))-(O69+R69)-J69)/($F69-1)),"-")</f>
        <v>242.91501459584083</v>
      </c>
      <c r="W69" s="100">
        <f>IFERROR((V69*(1+($F69-1)*0.1252%)),"-")</f>
        <v>266.33299366293824</v>
      </c>
      <c r="X69" s="99">
        <f>IFERROR(V69*G69,"-")</f>
        <v>242.91501459584083</v>
      </c>
      <c r="Y69" s="55">
        <v>7</v>
      </c>
      <c r="AA69" s="97" t="e">
        <f>#REF!</f>
        <v>#REF!</v>
      </c>
      <c r="AB69" s="97" t="e">
        <f>#REF!</f>
        <v>#REF!</v>
      </c>
      <c r="AC69" s="97">
        <f>AVERAGE(F69:F73)</f>
        <v>82.4</v>
      </c>
      <c r="AD69" s="98" t="e">
        <f>#REF!</f>
        <v>#REF!</v>
      </c>
    </row>
    <row r="70" spans="1:31" x14ac:dyDescent="0.3">
      <c r="B70" s="78">
        <f t="shared" ref="B70" si="83">D70/F70</f>
        <v>2.5641025641025641E-3</v>
      </c>
      <c r="C70" s="110">
        <v>768</v>
      </c>
      <c r="D70" s="111">
        <v>0.2</v>
      </c>
      <c r="E70" s="111">
        <v>3.5000000000000003E-2</v>
      </c>
      <c r="F70" s="110">
        <v>78</v>
      </c>
      <c r="G70" s="112">
        <v>1</v>
      </c>
      <c r="H70" s="113">
        <v>60000</v>
      </c>
      <c r="I70" s="99">
        <f t="shared" ref="I70" si="84">H70*G70</f>
        <v>60000</v>
      </c>
      <c r="J70" s="100">
        <f t="shared" ref="J70" si="85">IFERROR(((H70*(1+SUM(D70:E70)))/F70),"-")</f>
        <v>950</v>
      </c>
      <c r="K70" s="100">
        <f t="shared" ref="K70" si="86">IFERROR((J70*(1+F70*0.0431%)),"-")</f>
        <v>981.93709999999987</v>
      </c>
      <c r="L70" s="99">
        <f t="shared" ref="L70" si="87">IFERROR(J70*G70,"-")</f>
        <v>950</v>
      </c>
      <c r="M70" s="35">
        <f t="shared" ref="M70" si="88">K70*G70</f>
        <v>981.93709999999987</v>
      </c>
      <c r="N70" s="114">
        <v>0.33500000000000002</v>
      </c>
      <c r="O70" s="36">
        <f t="shared" ref="O70" si="89">((N70*($H70*(1+D70+E70)))*$Q$1)</f>
        <v>23641.440255829086</v>
      </c>
      <c r="P70" s="99">
        <f t="shared" ref="P70" si="90">O70*G70</f>
        <v>23641.440255829086</v>
      </c>
      <c r="Q70" s="115">
        <v>0.3</v>
      </c>
      <c r="R70" s="36">
        <f t="shared" ref="R70" si="91">((Q70*($H70*(1+D70+E70)))*$Q$1)</f>
        <v>21171.43903507082</v>
      </c>
      <c r="S70" s="99">
        <f t="shared" ref="S70" si="92">R70*G70</f>
        <v>21171.43903507082</v>
      </c>
      <c r="T70" s="101">
        <f t="shared" ref="T70" si="93">(N70+Q70)</f>
        <v>0.63500000000000001</v>
      </c>
      <c r="U70" s="99">
        <f t="shared" ref="U70" si="94">(I70)-S70</f>
        <v>38828.56096492918</v>
      </c>
      <c r="V70" s="100">
        <f t="shared" ref="V70" si="95">IFERROR(((($H70*(1+D70+E70))-(O70+R70)-J70)/($F70-1)),"-")</f>
        <v>368.01455466363745</v>
      </c>
      <c r="W70" s="100">
        <f t="shared" ref="W70" si="96">IFERROR((V70*(1+($F70-1)*0.1252%)),"-")</f>
        <v>403.49262979143072</v>
      </c>
      <c r="X70" s="99">
        <f t="shared" ref="X70" si="97">IFERROR(V70*G70,"-")</f>
        <v>368.01455466363745</v>
      </c>
      <c r="Y70" s="55">
        <v>4</v>
      </c>
      <c r="AA70" s="97"/>
      <c r="AB70" s="97"/>
      <c r="AC70" s="97"/>
      <c r="AD70" s="98"/>
    </row>
    <row r="71" spans="1:31" x14ac:dyDescent="0.3">
      <c r="B71" s="78">
        <f t="shared" si="0"/>
        <v>1.4479166666666668E-3</v>
      </c>
      <c r="C71" s="110">
        <v>769</v>
      </c>
      <c r="D71" s="111">
        <v>0.13900000000000001</v>
      </c>
      <c r="E71" s="111">
        <v>3.5000000000000003E-2</v>
      </c>
      <c r="F71" s="110">
        <v>96</v>
      </c>
      <c r="G71" s="112">
        <v>1</v>
      </c>
      <c r="H71" s="113">
        <v>300000</v>
      </c>
      <c r="I71" s="99">
        <f t="shared" si="1"/>
        <v>300000</v>
      </c>
      <c r="J71" s="100">
        <f t="shared" ref="J71:J73" si="98">IFERROR(((H71*(1+SUM(D71:E71)))/F71),"-")</f>
        <v>3668.75</v>
      </c>
      <c r="K71" s="100">
        <f t="shared" ref="K71:K73" si="99">IFERROR((J71*(1+F71*0.0431%)),"-")</f>
        <v>3820.5482000000002</v>
      </c>
      <c r="L71" s="99">
        <f t="shared" ref="L71:L73" si="100">IFERROR(J71*G71,"-")</f>
        <v>3668.75</v>
      </c>
      <c r="M71" s="35">
        <f t="shared" si="5"/>
        <v>3820.5482000000002</v>
      </c>
      <c r="N71" s="114">
        <v>0.35499999999999998</v>
      </c>
      <c r="O71" s="36">
        <f t="shared" si="6"/>
        <v>119077.20170912912</v>
      </c>
      <c r="P71" s="99">
        <f t="shared" si="7"/>
        <v>119077.20170912912</v>
      </c>
      <c r="Q71" s="115">
        <v>0.3</v>
      </c>
      <c r="R71" s="36">
        <f t="shared" si="8"/>
        <v>100628.62116264433</v>
      </c>
      <c r="S71" s="99">
        <f t="shared" si="9"/>
        <v>100628.62116264433</v>
      </c>
      <c r="T71" s="101">
        <f t="shared" si="10"/>
        <v>0.65500000000000003</v>
      </c>
      <c r="U71" s="99">
        <f t="shared" si="11"/>
        <v>199371.37883735567</v>
      </c>
      <c r="V71" s="100">
        <f t="shared" ref="V71:V73" si="101">IFERROR(((($H71*(1+D71+E71))-(O71+R71)-J71)/($F71-1)),"-")</f>
        <v>1356.0571276655426</v>
      </c>
      <c r="W71" s="100">
        <f t="shared" ref="W71:W73" si="102">IFERROR((V71*(1+($F71-1)*0.1252%)),"-")</f>
        <v>1517.3465624300823</v>
      </c>
      <c r="X71" s="99">
        <f t="shared" ref="X71:X73" si="103">IFERROR(V71*G71,"-")</f>
        <v>1356.0571276655426</v>
      </c>
      <c r="Y71" s="55">
        <v>5</v>
      </c>
      <c r="AA71" s="97"/>
      <c r="AB71" s="97"/>
      <c r="AC71" s="97"/>
      <c r="AD71" s="98"/>
    </row>
    <row r="72" spans="1:31" x14ac:dyDescent="0.3">
      <c r="B72" s="78">
        <f t="shared" si="0"/>
        <v>2.2499999999999998E-3</v>
      </c>
      <c r="C72" s="110">
        <v>770</v>
      </c>
      <c r="D72" s="111">
        <v>0.18</v>
      </c>
      <c r="E72" s="111">
        <v>3.5000000000000003E-2</v>
      </c>
      <c r="F72" s="110">
        <v>80</v>
      </c>
      <c r="G72" s="112">
        <v>1</v>
      </c>
      <c r="H72" s="113">
        <v>180000</v>
      </c>
      <c r="I72" s="99">
        <f t="shared" si="1"/>
        <v>180000</v>
      </c>
      <c r="J72" s="100">
        <f t="shared" si="98"/>
        <v>2733.75</v>
      </c>
      <c r="K72" s="100">
        <f t="shared" si="99"/>
        <v>2828.0097000000001</v>
      </c>
      <c r="L72" s="99">
        <f t="shared" si="100"/>
        <v>2733.75</v>
      </c>
      <c r="M72" s="35">
        <f t="shared" si="5"/>
        <v>2828.0097000000001</v>
      </c>
      <c r="N72" s="114">
        <v>0.34</v>
      </c>
      <c r="O72" s="36">
        <f t="shared" si="6"/>
        <v>70817.17785739075</v>
      </c>
      <c r="P72" s="99">
        <f t="shared" si="7"/>
        <v>70817.17785739075</v>
      </c>
      <c r="Q72" s="115">
        <v>0.3</v>
      </c>
      <c r="R72" s="36">
        <f t="shared" si="8"/>
        <v>62485.745168285946</v>
      </c>
      <c r="S72" s="99">
        <f t="shared" si="9"/>
        <v>62485.745168285946</v>
      </c>
      <c r="T72" s="101">
        <f t="shared" si="10"/>
        <v>0.64</v>
      </c>
      <c r="U72" s="99">
        <f t="shared" si="11"/>
        <v>117514.25483171406</v>
      </c>
      <c r="V72" s="100">
        <f t="shared" si="101"/>
        <v>1046.3712275230796</v>
      </c>
      <c r="W72" s="100">
        <f t="shared" si="102"/>
        <v>1149.8657128949324</v>
      </c>
      <c r="X72" s="99">
        <f t="shared" si="103"/>
        <v>1046.3712275230796</v>
      </c>
      <c r="Y72" s="55">
        <v>4</v>
      </c>
      <c r="AA72" s="97"/>
      <c r="AB72" s="97"/>
      <c r="AC72" s="97"/>
      <c r="AD72" s="98"/>
    </row>
    <row r="73" spans="1:31" x14ac:dyDescent="0.3">
      <c r="B73" s="78">
        <f t="shared" si="0"/>
        <v>2.2499999999999998E-3</v>
      </c>
      <c r="C73" s="110">
        <v>771</v>
      </c>
      <c r="D73" s="111">
        <v>0.18</v>
      </c>
      <c r="E73" s="111">
        <v>3.5000000000000003E-2</v>
      </c>
      <c r="F73" s="110">
        <v>80</v>
      </c>
      <c r="G73" s="112">
        <v>1</v>
      </c>
      <c r="H73" s="113">
        <v>100000</v>
      </c>
      <c r="I73" s="99">
        <f t="shared" si="1"/>
        <v>100000</v>
      </c>
      <c r="J73" s="100">
        <f t="shared" si="98"/>
        <v>1518.7500000000002</v>
      </c>
      <c r="K73" s="100">
        <f t="shared" si="99"/>
        <v>1571.1165000000003</v>
      </c>
      <c r="L73" s="99">
        <f t="shared" si="100"/>
        <v>1518.7500000000002</v>
      </c>
      <c r="M73" s="35">
        <f t="shared" si="5"/>
        <v>1571.1165000000003</v>
      </c>
      <c r="N73" s="114">
        <v>0.3</v>
      </c>
      <c r="O73" s="36">
        <f t="shared" si="6"/>
        <v>34714.302871269967</v>
      </c>
      <c r="P73" s="99">
        <f t="shared" si="7"/>
        <v>34714.302871269967</v>
      </c>
      <c r="Q73" s="115">
        <v>0.3</v>
      </c>
      <c r="R73" s="36">
        <f t="shared" si="8"/>
        <v>34714.302871269967</v>
      </c>
      <c r="S73" s="99">
        <f t="shared" si="9"/>
        <v>34714.302871269967</v>
      </c>
      <c r="T73" s="101">
        <f t="shared" si="10"/>
        <v>0.6</v>
      </c>
      <c r="U73" s="99">
        <f t="shared" si="11"/>
        <v>65285.697128730033</v>
      </c>
      <c r="V73" s="100">
        <f t="shared" si="101"/>
        <v>639.90688933493732</v>
      </c>
      <c r="W73" s="100">
        <f t="shared" si="102"/>
        <v>703.1987999452773</v>
      </c>
      <c r="X73" s="99">
        <f t="shared" si="103"/>
        <v>639.90688933493732</v>
      </c>
      <c r="Y73" s="55">
        <v>6</v>
      </c>
      <c r="AA73" s="97"/>
      <c r="AB73" s="97"/>
      <c r="AC73" s="97"/>
      <c r="AD73" s="98"/>
    </row>
    <row r="74" spans="1:31" x14ac:dyDescent="0.3">
      <c r="B74" s="78"/>
      <c r="C74" s="32"/>
      <c r="D74" s="33"/>
      <c r="E74" s="33"/>
      <c r="F74" s="32"/>
      <c r="G74" s="34"/>
      <c r="H74" s="35"/>
      <c r="I74" s="35"/>
      <c r="J74" s="36"/>
      <c r="K74" s="36"/>
      <c r="L74" s="35"/>
      <c r="M74" s="35"/>
      <c r="N74" s="87"/>
      <c r="O74" s="36"/>
      <c r="P74" s="35"/>
      <c r="Q74" s="37"/>
      <c r="R74" s="36"/>
      <c r="S74" s="35"/>
      <c r="T74" s="87"/>
      <c r="U74" s="35"/>
      <c r="V74" s="36"/>
      <c r="W74" s="36"/>
      <c r="X74" s="35"/>
    </row>
    <row r="75" spans="1:31" s="108" customFormat="1" ht="52.5" customHeight="1" x14ac:dyDescent="0.3">
      <c r="A75" s="105"/>
      <c r="B75" s="106"/>
      <c r="C75" s="39" t="s">
        <v>43</v>
      </c>
      <c r="D75" s="76" t="e">
        <f>SUMPRODUCT(#REF!,#REF!)/SUM(#REF!)</f>
        <v>#REF!</v>
      </c>
      <c r="E75" s="107"/>
      <c r="F75" s="39" t="s">
        <v>22</v>
      </c>
      <c r="G75" s="40">
        <f t="shared" ref="G75:M75" si="104">SUM(G9:G74)</f>
        <v>65</v>
      </c>
      <c r="H75" s="41">
        <f t="shared" si="104"/>
        <v>7061050.7000000011</v>
      </c>
      <c r="I75" s="41">
        <f t="shared" si="104"/>
        <v>7061050.7000000011</v>
      </c>
      <c r="J75" s="42">
        <f t="shared" si="104"/>
        <v>140718.30457962723</v>
      </c>
      <c r="K75" s="42">
        <f t="shared" si="104"/>
        <v>144388.35678687424</v>
      </c>
      <c r="L75" s="41">
        <f t="shared" si="104"/>
        <v>140718.30457962723</v>
      </c>
      <c r="M75" s="41">
        <f t="shared" si="104"/>
        <v>144388.35678687424</v>
      </c>
      <c r="N75" s="43">
        <f>IFERROR(SUMPRODUCT(H9:H74,N9:N74)/H75,"-")</f>
        <v>0.23855067254226056</v>
      </c>
      <c r="O75" s="42">
        <f>SUM(O9:O74)</f>
        <v>1932222.8388904477</v>
      </c>
      <c r="P75" s="41">
        <f>SUM(P9:P74)</f>
        <v>1932222.8388904477</v>
      </c>
      <c r="Q75" s="43">
        <f>IFERROR(SUMPRODUCT(H9:H74,Q9:Q74)/H75,"-")</f>
        <v>0.29579217580182499</v>
      </c>
      <c r="R75" s="42">
        <f>SUM(R9:R74)</f>
        <v>2398818.4720535264</v>
      </c>
      <c r="S75" s="41">
        <f>SUM(S9:S74)</f>
        <v>2398818.4720535264</v>
      </c>
      <c r="T75" s="43">
        <f>IFERROR(Q75+N75,"-")</f>
        <v>0.53434284834408552</v>
      </c>
      <c r="U75" s="41">
        <f>SUM(U9:U74)</f>
        <v>4662232.2279464724</v>
      </c>
      <c r="V75" s="42">
        <f>SUM(V9:V74)</f>
        <v>72749.245465268497</v>
      </c>
      <c r="W75" s="42">
        <f>SUM(W9:W74)</f>
        <v>77811.635752556991</v>
      </c>
      <c r="X75" s="41">
        <f>SUM(X9:X74)</f>
        <v>72749.245465268497</v>
      </c>
      <c r="AA75" s="109"/>
      <c r="AB75" s="109"/>
      <c r="AC75" s="109"/>
      <c r="AD75" s="109"/>
      <c r="AE75" s="109"/>
    </row>
    <row r="76" spans="1:31" x14ac:dyDescent="0.3">
      <c r="B76" s="75"/>
      <c r="D76" s="75"/>
      <c r="H76" s="44"/>
      <c r="I76" s="44"/>
      <c r="J76" s="44"/>
      <c r="K76" s="44"/>
      <c r="L76" s="44"/>
      <c r="M76" s="44"/>
      <c r="N76" s="7"/>
      <c r="O76" s="44"/>
      <c r="P76" s="44"/>
      <c r="Q76" s="7"/>
      <c r="R76" s="44"/>
      <c r="S76" s="44"/>
      <c r="U76" s="44"/>
      <c r="V76" s="44"/>
      <c r="W76" s="44"/>
    </row>
    <row r="77" spans="1:31" ht="21.6" thickBot="1" x14ac:dyDescent="0.45">
      <c r="B77" s="31"/>
      <c r="C77" s="45" t="s">
        <v>30</v>
      </c>
      <c r="H77" s="65"/>
      <c r="I77" s="65"/>
      <c r="J77" s="65"/>
      <c r="N77" s="44"/>
    </row>
    <row r="78" spans="1:31" x14ac:dyDescent="0.3">
      <c r="C78" s="17"/>
      <c r="D78" s="17"/>
      <c r="E78" s="17"/>
      <c r="F78" s="17"/>
      <c r="G78" s="20"/>
      <c r="H78" s="20"/>
      <c r="I78" s="20"/>
      <c r="J78" s="20"/>
      <c r="K78" s="46"/>
      <c r="L78" s="20"/>
      <c r="M78" s="20"/>
      <c r="N78" s="21"/>
      <c r="O78" s="22"/>
      <c r="P78" s="22"/>
      <c r="Q78" s="23"/>
      <c r="R78" s="24"/>
      <c r="S78" s="24"/>
      <c r="T78" s="25"/>
      <c r="U78" s="25"/>
      <c r="V78" s="25"/>
      <c r="W78" s="25"/>
      <c r="X78" s="25"/>
      <c r="Z78" s="26"/>
    </row>
    <row r="79" spans="1:31" x14ac:dyDescent="0.3">
      <c r="C79" s="123" t="s">
        <v>31</v>
      </c>
      <c r="D79" s="123"/>
      <c r="E79" s="137">
        <f>I75</f>
        <v>7061050.7000000011</v>
      </c>
      <c r="F79" s="137"/>
      <c r="H79" s="13"/>
      <c r="I79" s="89"/>
      <c r="L79" s="49"/>
      <c r="N79" s="44"/>
      <c r="P79" s="44"/>
      <c r="Z79" s="50"/>
    </row>
    <row r="80" spans="1:31" x14ac:dyDescent="0.3">
      <c r="C80" s="130" t="s">
        <v>4</v>
      </c>
      <c r="D80" s="130"/>
      <c r="E80" s="131">
        <f>L75</f>
        <v>140718.30457962723</v>
      </c>
      <c r="F80" s="131"/>
      <c r="G80" s="50"/>
      <c r="H80" s="13"/>
      <c r="L80" s="49"/>
      <c r="N80"/>
      <c r="P80" s="44"/>
    </row>
    <row r="81" spans="1:24" ht="12.75" customHeight="1" x14ac:dyDescent="0.3">
      <c r="H81" s="13"/>
    </row>
    <row r="82" spans="1:24" ht="15.75" customHeight="1" x14ac:dyDescent="0.3">
      <c r="C82" s="123" t="s">
        <v>32</v>
      </c>
      <c r="D82" s="123"/>
      <c r="E82" s="132">
        <f>P75+S75</f>
        <v>4331041.3109439742</v>
      </c>
      <c r="F82" s="132"/>
      <c r="H82" s="39" t="s">
        <v>54</v>
      </c>
      <c r="I82" s="64"/>
      <c r="J82" s="64"/>
    </row>
    <row r="83" spans="1:24" ht="15.6" x14ac:dyDescent="0.3">
      <c r="C83" s="121" t="s">
        <v>53</v>
      </c>
      <c r="D83" s="121"/>
      <c r="E83" s="122">
        <f>P75</f>
        <v>1932222.8388904477</v>
      </c>
      <c r="F83" s="122"/>
      <c r="G83" s="53"/>
      <c r="H83" s="40">
        <f>AVERAGE(F9:F73)</f>
        <v>62.369230769230768</v>
      </c>
      <c r="I83" s="64"/>
      <c r="J83" s="64"/>
      <c r="L83" s="54"/>
      <c r="M83" s="54"/>
      <c r="N83" s="54"/>
    </row>
    <row r="84" spans="1:24" x14ac:dyDescent="0.3">
      <c r="C84" s="121" t="s">
        <v>34</v>
      </c>
      <c r="D84" s="121"/>
      <c r="E84" s="122">
        <f>S75</f>
        <v>2398818.4720535264</v>
      </c>
      <c r="F84" s="122"/>
      <c r="G84" s="88"/>
      <c r="H84" s="44"/>
      <c r="M84"/>
      <c r="S84"/>
    </row>
    <row r="85" spans="1:24" ht="6.9" customHeight="1" x14ac:dyDescent="0.3">
      <c r="C85" s="51"/>
      <c r="D85" s="51"/>
      <c r="E85" s="51"/>
      <c r="F85" s="51"/>
      <c r="G85" s="51"/>
      <c r="I85" s="1"/>
      <c r="L85"/>
      <c r="M85"/>
    </row>
    <row r="86" spans="1:24" ht="15" customHeight="1" x14ac:dyDescent="0.3">
      <c r="C86" s="123" t="s">
        <v>35</v>
      </c>
      <c r="D86" s="123"/>
      <c r="E86" s="124">
        <f>U75</f>
        <v>4662232.2279464724</v>
      </c>
      <c r="F86" s="125"/>
      <c r="G86" s="51"/>
      <c r="H86" s="65"/>
      <c r="I86" s="13"/>
    </row>
    <row r="87" spans="1:24" x14ac:dyDescent="0.3">
      <c r="C87" s="121" t="s">
        <v>7</v>
      </c>
      <c r="D87" s="121"/>
      <c r="E87" s="122">
        <f>X75</f>
        <v>72749.245465268497</v>
      </c>
      <c r="F87" s="122"/>
      <c r="G87" s="51"/>
      <c r="H87" s="13"/>
      <c r="I87" s="1"/>
    </row>
    <row r="88" spans="1:24" x14ac:dyDescent="0.3">
      <c r="I88" s="55"/>
    </row>
    <row r="89" spans="1:24" hidden="1" x14ac:dyDescent="0.3">
      <c r="A89" s="2"/>
      <c r="C89" s="84" t="s">
        <v>48</v>
      </c>
      <c r="N89" s="44"/>
      <c r="S89" s="57"/>
      <c r="X89" s="57"/>
    </row>
    <row r="90" spans="1:24" hidden="1" x14ac:dyDescent="0.3">
      <c r="A90" s="2"/>
    </row>
    <row r="91" spans="1:24" hidden="1" x14ac:dyDescent="0.3">
      <c r="A91" s="2"/>
    </row>
    <row r="92" spans="1:24" hidden="1" x14ac:dyDescent="0.3">
      <c r="A92" s="2"/>
    </row>
    <row r="93" spans="1:24" hidden="1" x14ac:dyDescent="0.3">
      <c r="A93" s="2"/>
    </row>
    <row r="94" spans="1:24" hidden="1" x14ac:dyDescent="0.3">
      <c r="C94" s="118" t="s">
        <v>55</v>
      </c>
      <c r="D94" s="116">
        <f>E86-E83</f>
        <v>2730009.3890560246</v>
      </c>
    </row>
    <row r="95" spans="1:24" hidden="1" x14ac:dyDescent="0.3">
      <c r="C95" s="118" t="s">
        <v>57</v>
      </c>
      <c r="D95" s="117">
        <f>AVERAGE(D9:D73:E9:E73)*2</f>
        <v>0.21492307692307683</v>
      </c>
    </row>
    <row r="96" spans="1:24" hidden="1" x14ac:dyDescent="0.3">
      <c r="C96" s="118" t="s">
        <v>56</v>
      </c>
      <c r="D96" s="116">
        <f>E79*D95</f>
        <v>1517582.7427538456</v>
      </c>
    </row>
    <row r="97" spans="3:4" x14ac:dyDescent="0.3">
      <c r="C97" s="118" t="s">
        <v>59</v>
      </c>
      <c r="D97" s="119">
        <f>(D96/D94)/H83</f>
        <v>8.9128757222671183E-3</v>
      </c>
    </row>
    <row r="98" spans="3:4" x14ac:dyDescent="0.3">
      <c r="C98" s="118" t="s">
        <v>60</v>
      </c>
      <c r="D98" s="119">
        <f>D97*12</f>
        <v>0.10695450866720542</v>
      </c>
    </row>
    <row r="99" spans="3:4" x14ac:dyDescent="0.3"/>
    <row r="100" spans="3:4" x14ac:dyDescent="0.3"/>
    <row r="101" spans="3:4" x14ac:dyDescent="0.3"/>
    <row r="102" spans="3:4" x14ac:dyDescent="0.3"/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C87:D87"/>
    <mergeCell ref="E87:F87"/>
    <mergeCell ref="C83:D83"/>
    <mergeCell ref="E83:F83"/>
    <mergeCell ref="C84:D84"/>
    <mergeCell ref="E84:F84"/>
    <mergeCell ref="C86:D86"/>
    <mergeCell ref="E86:F86"/>
    <mergeCell ref="H7:I7"/>
    <mergeCell ref="U7:U8"/>
    <mergeCell ref="C80:D80"/>
    <mergeCell ref="E80:F80"/>
    <mergeCell ref="C82:D82"/>
    <mergeCell ref="E82:F82"/>
    <mergeCell ref="V7:V8"/>
    <mergeCell ref="W7:W8"/>
    <mergeCell ref="X7:X8"/>
    <mergeCell ref="C79:D79"/>
    <mergeCell ref="E79:F7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874-308B-4FF3-83B5-10C1E377D308}">
  <dimension ref="A1:AE339"/>
  <sheetViews>
    <sheetView topLeftCell="A19" workbookViewId="0">
      <selection activeCell="C44" sqref="C44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6" si="0">D9/F9</f>
        <v>4.4736842105263163E-3</v>
      </c>
      <c r="C9" s="110">
        <v>705</v>
      </c>
      <c r="D9" s="111">
        <v>0.17</v>
      </c>
      <c r="E9" s="111">
        <v>3.5000000000000003E-2</v>
      </c>
      <c r="F9" s="110">
        <v>38</v>
      </c>
      <c r="G9" s="112">
        <v>1</v>
      </c>
      <c r="H9" s="113">
        <v>63367.5</v>
      </c>
      <c r="I9" s="99">
        <f t="shared" ref="I9:I36" si="1">H9*G9</f>
        <v>63367.5</v>
      </c>
      <c r="J9" s="100">
        <f t="shared" ref="J9" si="2">IFERROR(((H9*(1+SUM(D9:E9)))/F9),"-")</f>
        <v>2009.4167763157898</v>
      </c>
      <c r="K9" s="100">
        <f t="shared" ref="K9:K14" si="3">IFERROR((J9*(1+F9*0.0431%)),"-")</f>
        <v>2042.3270042782897</v>
      </c>
      <c r="L9" s="99">
        <f t="shared" ref="L9:L14" si="4">IFERROR(J9*G9,"-")</f>
        <v>2009.4167763157898</v>
      </c>
      <c r="M9" s="35">
        <f t="shared" ref="M9:M36" si="5">K9*G9</f>
        <v>2042.3270042782897</v>
      </c>
      <c r="N9" s="114">
        <v>0</v>
      </c>
      <c r="O9" s="36">
        <f t="shared" ref="O9:O36" si="6">((N9*($H9*(1+D9+E9)))*$Q$1)</f>
        <v>0</v>
      </c>
      <c r="P9" s="99">
        <f t="shared" ref="P9:P36" si="7">O9*G9</f>
        <v>0</v>
      </c>
      <c r="Q9" s="115">
        <v>0.3</v>
      </c>
      <c r="R9" s="36">
        <f t="shared" ref="R9:R36" si="8">((Q9*($H9*(1+D9+E9)))*$Q$1)</f>
        <v>21816.535782470914</v>
      </c>
      <c r="S9" s="99">
        <f t="shared" ref="S9:S36" si="9">R9*G9</f>
        <v>21816.535782470914</v>
      </c>
      <c r="T9" s="101">
        <f t="shared" ref="T9:T36" si="10">(N9+Q9)</f>
        <v>0.3</v>
      </c>
      <c r="U9" s="99">
        <f t="shared" ref="U9:U36" si="11">(I9)-S9</f>
        <v>41550.964217529086</v>
      </c>
      <c r="V9" s="100">
        <f t="shared" ref="V9:V14" si="12">IFERROR(((($H9*(1+D9+E9))-(O9+R9)-J9)/($F9-1)),"-")</f>
        <v>1419.7806740868457</v>
      </c>
      <c r="W9" s="100">
        <f t="shared" ref="W9:W14" si="13">IFERROR((V9*(1+($F9-1)*0.1252%)),"-")</f>
        <v>1485.5505940332448</v>
      </c>
      <c r="X9" s="99">
        <f t="shared" ref="X9:X14" si="14">IFERROR(V9*G9,"-")</f>
        <v>1419.7806740868457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4.4736842105263163E-3</v>
      </c>
      <c r="C10" s="110">
        <v>706</v>
      </c>
      <c r="D10" s="111">
        <v>0.17</v>
      </c>
      <c r="E10" s="111">
        <v>3.5000000000000003E-2</v>
      </c>
      <c r="F10" s="110">
        <v>38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3248.8702631578949</v>
      </c>
      <c r="K10" s="100">
        <f t="shared" si="3"/>
        <v>3302.0802603278948</v>
      </c>
      <c r="L10" s="99">
        <f t="shared" si="4"/>
        <v>3248.8702631578949</v>
      </c>
      <c r="M10" s="35">
        <f t="shared" si="5"/>
        <v>3302.0802603278948</v>
      </c>
      <c r="N10" s="114">
        <v>0</v>
      </c>
      <c r="O10" s="36">
        <f t="shared" si="6"/>
        <v>0</v>
      </c>
      <c r="P10" s="99">
        <f t="shared" si="7"/>
        <v>0</v>
      </c>
      <c r="Q10" s="115">
        <v>0.3</v>
      </c>
      <c r="R10" s="36">
        <f t="shared" si="8"/>
        <v>35273.466004770184</v>
      </c>
      <c r="S10" s="99">
        <f t="shared" si="9"/>
        <v>35273.466004770184</v>
      </c>
      <c r="T10" s="101">
        <f t="shared" si="10"/>
        <v>0.3</v>
      </c>
      <c r="U10" s="99">
        <f t="shared" si="11"/>
        <v>67180.533995229809</v>
      </c>
      <c r="V10" s="100">
        <f t="shared" si="12"/>
        <v>2295.5333441100511</v>
      </c>
      <c r="W10" s="100">
        <f t="shared" si="13"/>
        <v>2401.8716307426052</v>
      </c>
      <c r="X10" s="99">
        <f t="shared" si="14"/>
        <v>2295.5333441100511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4.3589743589743596E-3</v>
      </c>
      <c r="C11" s="110">
        <v>707</v>
      </c>
      <c r="D11" s="111">
        <v>0.17</v>
      </c>
      <c r="E11" s="111">
        <v>3.5000000000000003E-2</v>
      </c>
      <c r="F11" s="110">
        <v>39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6006.1525641025646</v>
      </c>
      <c r="K11" s="100">
        <f t="shared" si="3"/>
        <v>6107.1099825525653</v>
      </c>
      <c r="L11" s="99">
        <f t="shared" si="4"/>
        <v>6006.1525641025646</v>
      </c>
      <c r="M11" s="35">
        <f t="shared" si="5"/>
        <v>6107.1099825525653</v>
      </c>
      <c r="N11" s="114">
        <v>0</v>
      </c>
      <c r="O11" s="36">
        <f t="shared" si="6"/>
        <v>0</v>
      </c>
      <c r="P11" s="99">
        <f t="shared" si="7"/>
        <v>0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</v>
      </c>
      <c r="U11" s="99">
        <f t="shared" si="11"/>
        <v>127464.26692303593</v>
      </c>
      <c r="V11" s="100">
        <f t="shared" si="12"/>
        <v>4244.949062077194</v>
      </c>
      <c r="W11" s="100">
        <f t="shared" si="13"/>
        <v>4446.9067586545789</v>
      </c>
      <c r="X11" s="99">
        <f t="shared" si="14"/>
        <v>4244.949062077194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4.3589743589743596E-3</v>
      </c>
      <c r="C12" s="110">
        <v>708</v>
      </c>
      <c r="D12" s="111">
        <v>0.17</v>
      </c>
      <c r="E12" s="111">
        <v>3.5000000000000003E-2</v>
      </c>
      <c r="F12" s="110">
        <v>39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3165.5658974358976</v>
      </c>
      <c r="K12" s="100">
        <f t="shared" si="3"/>
        <v>3218.775894605898</v>
      </c>
      <c r="L12" s="99">
        <f t="shared" si="4"/>
        <v>3165.5658974358976</v>
      </c>
      <c r="M12" s="35">
        <f t="shared" si="5"/>
        <v>3218.775894605898</v>
      </c>
      <c r="N12" s="114">
        <v>0</v>
      </c>
      <c r="O12" s="36">
        <f t="shared" si="6"/>
        <v>0</v>
      </c>
      <c r="P12" s="99">
        <f t="shared" si="7"/>
        <v>0</v>
      </c>
      <c r="Q12" s="115">
        <v>0.3</v>
      </c>
      <c r="R12" s="36">
        <f t="shared" si="8"/>
        <v>35273.466004770184</v>
      </c>
      <c r="S12" s="99">
        <f t="shared" si="9"/>
        <v>35273.466004770184</v>
      </c>
      <c r="T12" s="101">
        <f t="shared" si="10"/>
        <v>0.3</v>
      </c>
      <c r="U12" s="99">
        <f t="shared" si="11"/>
        <v>67180.533995229809</v>
      </c>
      <c r="V12" s="100">
        <f t="shared" si="12"/>
        <v>2237.3167920472079</v>
      </c>
      <c r="W12" s="100">
        <f t="shared" si="13"/>
        <v>2343.7593757456461</v>
      </c>
      <c r="X12" s="99">
        <f t="shared" si="14"/>
        <v>2237.3167920472079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4.2500000000000003E-3</v>
      </c>
      <c r="C13" s="110">
        <v>710</v>
      </c>
      <c r="D13" s="111">
        <v>0.17</v>
      </c>
      <c r="E13" s="111">
        <v>3.5000000000000003E-2</v>
      </c>
      <c r="F13" s="110">
        <v>40</v>
      </c>
      <c r="G13" s="112">
        <v>1</v>
      </c>
      <c r="H13" s="113">
        <v>63367.5</v>
      </c>
      <c r="I13" s="99">
        <f t="shared" si="1"/>
        <v>63367.5</v>
      </c>
      <c r="J13" s="100">
        <f t="shared" si="15"/>
        <v>1908.9459375000001</v>
      </c>
      <c r="K13" s="100">
        <f t="shared" si="3"/>
        <v>1941.8561654625</v>
      </c>
      <c r="L13" s="99">
        <f t="shared" si="4"/>
        <v>1908.9459375000001</v>
      </c>
      <c r="M13" s="35">
        <f t="shared" si="5"/>
        <v>1941.8561654625</v>
      </c>
      <c r="N13" s="114">
        <v>0.16203299999999998</v>
      </c>
      <c r="O13" s="36">
        <f t="shared" si="6"/>
        <v>11783.329141470364</v>
      </c>
      <c r="P13" s="99">
        <f t="shared" si="7"/>
        <v>11783.329141470364</v>
      </c>
      <c r="Q13" s="115">
        <v>0.3</v>
      </c>
      <c r="R13" s="36">
        <f t="shared" si="8"/>
        <v>21816.535782470914</v>
      </c>
      <c r="S13" s="99">
        <f t="shared" si="9"/>
        <v>21816.535782470914</v>
      </c>
      <c r="T13" s="101">
        <f t="shared" si="10"/>
        <v>0.46203299999999997</v>
      </c>
      <c r="U13" s="99">
        <f t="shared" si="11"/>
        <v>41550.964217529086</v>
      </c>
      <c r="V13" s="100">
        <f t="shared" si="12"/>
        <v>1047.4109394502234</v>
      </c>
      <c r="W13" s="100">
        <f t="shared" si="13"/>
        <v>1098.553920801699</v>
      </c>
      <c r="X13" s="99">
        <f t="shared" si="14"/>
        <v>1047.4109394502234</v>
      </c>
      <c r="Y13" s="55">
        <v>70</v>
      </c>
      <c r="AA13" s="97"/>
      <c r="AB13" s="97"/>
      <c r="AC13" s="97"/>
      <c r="AD13" s="98"/>
    </row>
    <row r="14" spans="1:31" x14ac:dyDescent="0.3">
      <c r="B14" s="78">
        <f t="shared" si="0"/>
        <v>4.1463414634146344E-3</v>
      </c>
      <c r="C14" s="110">
        <v>711</v>
      </c>
      <c r="D14" s="111">
        <v>0.17</v>
      </c>
      <c r="E14" s="111">
        <v>3.5000000000000003E-2</v>
      </c>
      <c r="F14" s="110">
        <v>41</v>
      </c>
      <c r="G14" s="112">
        <v>1</v>
      </c>
      <c r="H14" s="113">
        <v>102454</v>
      </c>
      <c r="I14" s="99">
        <f t="shared" si="1"/>
        <v>102454</v>
      </c>
      <c r="J14" s="100">
        <f t="shared" si="15"/>
        <v>3011.1480487804879</v>
      </c>
      <c r="K14" s="100">
        <f t="shared" si="3"/>
        <v>3064.3580459504878</v>
      </c>
      <c r="L14" s="99">
        <f t="shared" si="4"/>
        <v>3011.1480487804879</v>
      </c>
      <c r="M14" s="35">
        <f t="shared" si="5"/>
        <v>3064.3580459504878</v>
      </c>
      <c r="N14" s="114">
        <v>0</v>
      </c>
      <c r="O14" s="36">
        <f t="shared" si="6"/>
        <v>0</v>
      </c>
      <c r="P14" s="99">
        <f t="shared" si="7"/>
        <v>0</v>
      </c>
      <c r="Q14" s="115">
        <v>0.3</v>
      </c>
      <c r="R14" s="36">
        <f t="shared" si="8"/>
        <v>35273.466004770184</v>
      </c>
      <c r="S14" s="99">
        <f t="shared" si="9"/>
        <v>35273.466004770184</v>
      </c>
      <c r="T14" s="101">
        <f t="shared" si="10"/>
        <v>0.3</v>
      </c>
      <c r="U14" s="99">
        <f t="shared" si="11"/>
        <v>67180.533995229809</v>
      </c>
      <c r="V14" s="100">
        <f t="shared" si="12"/>
        <v>2129.3113986612325</v>
      </c>
      <c r="W14" s="100">
        <f t="shared" si="13"/>
        <v>2235.9473135061867</v>
      </c>
      <c r="X14" s="99">
        <f t="shared" si="14"/>
        <v>2129.3113986612325</v>
      </c>
      <c r="Y14" s="55">
        <v>22</v>
      </c>
      <c r="AA14" s="97"/>
      <c r="AB14" s="97"/>
      <c r="AC14" s="97"/>
      <c r="AD14" s="98"/>
    </row>
    <row r="15" spans="1:31" x14ac:dyDescent="0.3">
      <c r="B15" s="78">
        <f t="shared" si="0"/>
        <v>4.1463414634146344E-3</v>
      </c>
      <c r="C15" s="110">
        <v>712</v>
      </c>
      <c r="D15" s="111">
        <v>0.17</v>
      </c>
      <c r="E15" s="111">
        <v>3.5000000000000003E-2</v>
      </c>
      <c r="F15" s="110">
        <v>41</v>
      </c>
      <c r="G15" s="112">
        <v>1</v>
      </c>
      <c r="H15" s="113">
        <v>194390</v>
      </c>
      <c r="I15" s="99">
        <f t="shared" si="1"/>
        <v>194390</v>
      </c>
      <c r="J15" s="100">
        <f>IFERROR(((H15*(1+SUM(D15:E15)))/F15),"-")</f>
        <v>5713.1695121951225</v>
      </c>
      <c r="K15" s="100">
        <f>IFERROR((J15*(1+F15*0.0431%)),"-")</f>
        <v>5814.1269306451222</v>
      </c>
      <c r="L15" s="99">
        <f>IFERROR(J15*G15,"-")</f>
        <v>5713.1695121951225</v>
      </c>
      <c r="M15" s="35">
        <f t="shared" si="5"/>
        <v>5814.1269306451222</v>
      </c>
      <c r="N15" s="114">
        <v>3.0000000000000027E-2</v>
      </c>
      <c r="O15" s="36">
        <f t="shared" si="6"/>
        <v>6692.5733076964134</v>
      </c>
      <c r="P15" s="99">
        <f t="shared" si="7"/>
        <v>6692.5733076964134</v>
      </c>
      <c r="Q15" s="115">
        <v>0.3</v>
      </c>
      <c r="R15" s="36">
        <f t="shared" si="8"/>
        <v>66925.733076964068</v>
      </c>
      <c r="S15" s="99">
        <f t="shared" si="9"/>
        <v>66925.733076964068</v>
      </c>
      <c r="T15" s="101">
        <f t="shared" si="10"/>
        <v>0.33</v>
      </c>
      <c r="U15" s="99">
        <f t="shared" si="11"/>
        <v>127464.26692303593</v>
      </c>
      <c r="V15" s="100">
        <f>IFERROR(((($H15*(1+D15+E15))-(O15+R15)-J15)/($F15-1)),"-")</f>
        <v>3872.7118525786091</v>
      </c>
      <c r="W15" s="100">
        <f>IFERROR((V15*(1+($F15-1)*0.1252%)),"-")</f>
        <v>4066.6572621557452</v>
      </c>
      <c r="X15" s="99">
        <f>IFERROR(V15*G15,"-")</f>
        <v>3872.7118525786091</v>
      </c>
      <c r="Y15" s="55">
        <v>31</v>
      </c>
      <c r="AA15" s="97" t="e">
        <f>#REF!</f>
        <v>#REF!</v>
      </c>
      <c r="AB15" s="97" t="e">
        <f>#REF!</f>
        <v>#REF!</v>
      </c>
      <c r="AC15" s="97">
        <f>AVERAGE(F15:F30)</f>
        <v>49.0625</v>
      </c>
      <c r="AD15" s="98" t="e">
        <f>#REF!</f>
        <v>#REF!</v>
      </c>
    </row>
    <row r="16" spans="1:31" x14ac:dyDescent="0.3">
      <c r="B16" s="78">
        <f t="shared" si="0"/>
        <v>4.0476190476190482E-3</v>
      </c>
      <c r="C16" s="110">
        <v>714</v>
      </c>
      <c r="D16" s="111">
        <v>0.17</v>
      </c>
      <c r="E16" s="111">
        <v>3.5000000000000003E-2</v>
      </c>
      <c r="F16" s="110">
        <v>42</v>
      </c>
      <c r="G16" s="112">
        <v>1</v>
      </c>
      <c r="H16" s="113">
        <v>63367.5</v>
      </c>
      <c r="I16" s="99">
        <f t="shared" si="1"/>
        <v>63367.5</v>
      </c>
      <c r="J16" s="100">
        <f t="shared" ref="J16:J21" si="16">IFERROR(((H16*(1+SUM(D16:E16)))/F16),"-")</f>
        <v>1818.0437500000003</v>
      </c>
      <c r="K16" s="100">
        <f t="shared" ref="K16:K21" si="17">IFERROR((J16*(1+F16*0.0431%)),"-")</f>
        <v>1850.9539779625004</v>
      </c>
      <c r="L16" s="99">
        <f t="shared" ref="L16:L21" si="18">IFERROR(J16*G16,"-")</f>
        <v>1818.0437500000003</v>
      </c>
      <c r="M16" s="35">
        <f t="shared" si="5"/>
        <v>1850.9539779625004</v>
      </c>
      <c r="N16" s="114">
        <v>0.10000000000000003</v>
      </c>
      <c r="O16" s="36">
        <f t="shared" si="6"/>
        <v>7272.1785941569742</v>
      </c>
      <c r="P16" s="99">
        <f t="shared" si="7"/>
        <v>7272.1785941569742</v>
      </c>
      <c r="Q16" s="115">
        <v>0.3</v>
      </c>
      <c r="R16" s="36">
        <f t="shared" si="8"/>
        <v>21816.535782470914</v>
      </c>
      <c r="S16" s="99">
        <f t="shared" si="9"/>
        <v>21816.535782470914</v>
      </c>
      <c r="T16" s="101">
        <f t="shared" si="10"/>
        <v>0.4</v>
      </c>
      <c r="U16" s="99">
        <f t="shared" si="11"/>
        <v>41550.964217529086</v>
      </c>
      <c r="V16" s="100">
        <f t="shared" ref="V16:V21" si="19">IFERROR(((($H16*(1+D16+E16))-(O16+R16)-J16)/($F16-1)),"-")</f>
        <v>1108.5629115456611</v>
      </c>
      <c r="W16" s="100">
        <f t="shared" ref="W16:W21" si="20">IFERROR((V16*(1+($F16-1)*0.1252%)),"-")</f>
        <v>1165.4676629211228</v>
      </c>
      <c r="X16" s="99">
        <f t="shared" ref="X16:X21" si="21">IFERROR(V16*G16,"-")</f>
        <v>1108.5629115456611</v>
      </c>
      <c r="Y16" s="55">
        <v>58</v>
      </c>
      <c r="AA16" s="97"/>
      <c r="AB16" s="97"/>
      <c r="AC16" s="97"/>
      <c r="AD16" s="98"/>
    </row>
    <row r="17" spans="2:30" x14ac:dyDescent="0.3">
      <c r="B17" s="78">
        <f t="shared" si="0"/>
        <v>3.9534883720930237E-3</v>
      </c>
      <c r="C17" s="110">
        <v>715</v>
      </c>
      <c r="D17" s="111">
        <v>0.17</v>
      </c>
      <c r="E17" s="111">
        <v>3.5000000000000003E-2</v>
      </c>
      <c r="F17" s="110">
        <v>43</v>
      </c>
      <c r="G17" s="112">
        <v>1</v>
      </c>
      <c r="H17" s="113">
        <v>102454</v>
      </c>
      <c r="I17" s="99">
        <f t="shared" si="1"/>
        <v>102454</v>
      </c>
      <c r="J17" s="100">
        <f t="shared" si="16"/>
        <v>2871.0946511627908</v>
      </c>
      <c r="K17" s="100">
        <f t="shared" si="17"/>
        <v>2924.3046483327907</v>
      </c>
      <c r="L17" s="99">
        <f t="shared" si="18"/>
        <v>2871.0946511627908</v>
      </c>
      <c r="M17" s="35">
        <f t="shared" si="5"/>
        <v>2924.3046483327907</v>
      </c>
      <c r="N17" s="114">
        <v>0</v>
      </c>
      <c r="O17" s="36">
        <f t="shared" si="6"/>
        <v>0</v>
      </c>
      <c r="P17" s="99">
        <f t="shared" si="7"/>
        <v>0</v>
      </c>
      <c r="Q17" s="115">
        <v>0.3</v>
      </c>
      <c r="R17" s="36">
        <f t="shared" si="8"/>
        <v>35273.466004770184</v>
      </c>
      <c r="S17" s="99">
        <f t="shared" si="9"/>
        <v>35273.466004770184</v>
      </c>
      <c r="T17" s="101">
        <f t="shared" si="10"/>
        <v>0.3</v>
      </c>
      <c r="U17" s="99">
        <f t="shared" si="11"/>
        <v>67180.533995229809</v>
      </c>
      <c r="V17" s="100">
        <f t="shared" si="19"/>
        <v>2031.2502224777859</v>
      </c>
      <c r="W17" s="100">
        <f t="shared" si="20"/>
        <v>2138.0614841765578</v>
      </c>
      <c r="X17" s="99">
        <f t="shared" si="21"/>
        <v>2031.2502224777859</v>
      </c>
      <c r="Y17" s="55">
        <v>24</v>
      </c>
      <c r="AA17" s="97"/>
      <c r="AB17" s="97"/>
      <c r="AC17" s="97"/>
      <c r="AD17" s="98"/>
    </row>
    <row r="18" spans="2:30" x14ac:dyDescent="0.3">
      <c r="B18" s="78">
        <f t="shared" si="0"/>
        <v>3.8636363636363638E-3</v>
      </c>
      <c r="C18" s="110">
        <v>716</v>
      </c>
      <c r="D18" s="111">
        <v>0.17</v>
      </c>
      <c r="E18" s="111">
        <v>3.5000000000000003E-2</v>
      </c>
      <c r="F18" s="110">
        <v>44</v>
      </c>
      <c r="G18" s="112">
        <v>1</v>
      </c>
      <c r="H18" s="113">
        <v>194390</v>
      </c>
      <c r="I18" s="99">
        <f t="shared" si="1"/>
        <v>194390</v>
      </c>
      <c r="J18" s="100">
        <f t="shared" si="16"/>
        <v>5323.6352272727272</v>
      </c>
      <c r="K18" s="100">
        <f t="shared" si="17"/>
        <v>5424.592645722727</v>
      </c>
      <c r="L18" s="99">
        <f t="shared" si="18"/>
        <v>5323.6352272727272</v>
      </c>
      <c r="M18" s="35">
        <f t="shared" si="5"/>
        <v>5424.592645722727</v>
      </c>
      <c r="N18" s="114">
        <v>3.0000000000000027E-2</v>
      </c>
      <c r="O18" s="36">
        <f t="shared" si="6"/>
        <v>6692.5733076964134</v>
      </c>
      <c r="P18" s="99">
        <f t="shared" si="7"/>
        <v>6692.5733076964134</v>
      </c>
      <c r="Q18" s="115">
        <v>0.3</v>
      </c>
      <c r="R18" s="36">
        <f t="shared" si="8"/>
        <v>66925.733076964068</v>
      </c>
      <c r="S18" s="99">
        <f t="shared" si="9"/>
        <v>66925.733076964068</v>
      </c>
      <c r="T18" s="101">
        <f t="shared" si="10"/>
        <v>0.33</v>
      </c>
      <c r="U18" s="99">
        <f t="shared" si="11"/>
        <v>127464.26692303593</v>
      </c>
      <c r="V18" s="100">
        <f t="shared" si="19"/>
        <v>3611.5815904201577</v>
      </c>
      <c r="W18" s="100">
        <f t="shared" si="20"/>
        <v>3806.0146969220173</v>
      </c>
      <c r="X18" s="99">
        <f t="shared" si="21"/>
        <v>3611.5815904201577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3.8636363636363638E-3</v>
      </c>
      <c r="C19" s="110">
        <v>717</v>
      </c>
      <c r="D19" s="111">
        <v>0.17</v>
      </c>
      <c r="E19" s="111">
        <v>3.5000000000000003E-2</v>
      </c>
      <c r="F19" s="110">
        <v>44</v>
      </c>
      <c r="G19" s="112">
        <v>1</v>
      </c>
      <c r="H19" s="113">
        <v>38407.599999999999</v>
      </c>
      <c r="I19" s="99">
        <f t="shared" si="1"/>
        <v>38407.599999999999</v>
      </c>
      <c r="J19" s="100">
        <f t="shared" si="16"/>
        <v>1051.8445000000002</v>
      </c>
      <c r="K19" s="100">
        <f t="shared" si="17"/>
        <v>1071.791679098</v>
      </c>
      <c r="L19" s="99">
        <f t="shared" si="18"/>
        <v>1051.8445000000002</v>
      </c>
      <c r="M19" s="35">
        <f t="shared" si="5"/>
        <v>1071.791679098</v>
      </c>
      <c r="N19" s="114">
        <v>0.18098999999999998</v>
      </c>
      <c r="O19" s="36">
        <f t="shared" si="6"/>
        <v>7977.5532631770238</v>
      </c>
      <c r="P19" s="99">
        <f t="shared" si="7"/>
        <v>7977.5532631770238</v>
      </c>
      <c r="Q19" s="115">
        <v>0.3</v>
      </c>
      <c r="R19" s="36">
        <f t="shared" si="8"/>
        <v>13223.194535350611</v>
      </c>
      <c r="S19" s="99">
        <f t="shared" si="9"/>
        <v>13223.194535350611</v>
      </c>
      <c r="T19" s="101">
        <f t="shared" si="10"/>
        <v>0.48098999999999997</v>
      </c>
      <c r="U19" s="99">
        <f t="shared" si="11"/>
        <v>25184.40546464939</v>
      </c>
      <c r="V19" s="100">
        <f t="shared" si="19"/>
        <v>558.80385352261305</v>
      </c>
      <c r="W19" s="100">
        <f t="shared" si="20"/>
        <v>588.88761778085643</v>
      </c>
      <c r="X19" s="99">
        <f t="shared" si="21"/>
        <v>558.80385352261305</v>
      </c>
      <c r="Y19" s="55">
        <v>56</v>
      </c>
      <c r="AA19" s="97"/>
      <c r="AB19" s="97"/>
      <c r="AC19" s="97"/>
      <c r="AD19" s="98"/>
    </row>
    <row r="20" spans="2:30" x14ac:dyDescent="0.3">
      <c r="B20" s="78">
        <f t="shared" si="0"/>
        <v>3.8636363636363638E-3</v>
      </c>
      <c r="C20" s="110">
        <v>718</v>
      </c>
      <c r="D20" s="111">
        <v>0.17</v>
      </c>
      <c r="E20" s="111">
        <v>3.5000000000000003E-2</v>
      </c>
      <c r="F20" s="110">
        <v>44</v>
      </c>
      <c r="G20" s="112">
        <v>1</v>
      </c>
      <c r="H20" s="113">
        <v>63367.5</v>
      </c>
      <c r="I20" s="99">
        <f t="shared" si="1"/>
        <v>63367.5</v>
      </c>
      <c r="J20" s="100">
        <f t="shared" si="16"/>
        <v>1735.4053977272729</v>
      </c>
      <c r="K20" s="100">
        <f t="shared" si="17"/>
        <v>1768.3156256897728</v>
      </c>
      <c r="L20" s="99">
        <f t="shared" si="18"/>
        <v>1735.4053977272729</v>
      </c>
      <c r="M20" s="35">
        <f t="shared" si="5"/>
        <v>1768.3156256897728</v>
      </c>
      <c r="N20" s="114">
        <v>0.10000000000000003</v>
      </c>
      <c r="O20" s="36">
        <f t="shared" si="6"/>
        <v>7272.1785941569742</v>
      </c>
      <c r="P20" s="99">
        <f t="shared" si="7"/>
        <v>7272.1785941569742</v>
      </c>
      <c r="Q20" s="115">
        <v>0.3</v>
      </c>
      <c r="R20" s="36">
        <f t="shared" si="8"/>
        <v>21816.535782470914</v>
      </c>
      <c r="S20" s="99">
        <f t="shared" si="9"/>
        <v>21816.535782470914</v>
      </c>
      <c r="T20" s="101">
        <f t="shared" si="10"/>
        <v>0.4</v>
      </c>
      <c r="U20" s="99">
        <f t="shared" si="11"/>
        <v>41550.964217529086</v>
      </c>
      <c r="V20" s="100">
        <f t="shared" si="19"/>
        <v>1058.9236680382519</v>
      </c>
      <c r="W20" s="100">
        <f t="shared" si="20"/>
        <v>1115.9318826307592</v>
      </c>
      <c r="X20" s="99">
        <f t="shared" si="21"/>
        <v>1058.9236680382519</v>
      </c>
      <c r="Y20" s="55">
        <v>67</v>
      </c>
      <c r="AA20" s="97"/>
      <c r="AB20" s="97"/>
      <c r="AC20" s="97"/>
      <c r="AD20" s="98"/>
    </row>
    <row r="21" spans="2:30" x14ac:dyDescent="0.3">
      <c r="B21" s="78">
        <f t="shared" si="0"/>
        <v>3.7777777777777779E-3</v>
      </c>
      <c r="C21" s="110">
        <v>719</v>
      </c>
      <c r="D21" s="111">
        <v>0.17</v>
      </c>
      <c r="E21" s="111">
        <v>3.5000000000000003E-2</v>
      </c>
      <c r="F21" s="110">
        <v>45</v>
      </c>
      <c r="G21" s="112">
        <v>1</v>
      </c>
      <c r="H21" s="113">
        <v>102454</v>
      </c>
      <c r="I21" s="99">
        <f t="shared" si="1"/>
        <v>102454</v>
      </c>
      <c r="J21" s="100">
        <f t="shared" si="16"/>
        <v>2743.4904444444446</v>
      </c>
      <c r="K21" s="100">
        <f t="shared" si="17"/>
        <v>2796.7004416144446</v>
      </c>
      <c r="L21" s="99">
        <f t="shared" si="18"/>
        <v>2743.4904444444446</v>
      </c>
      <c r="M21" s="35">
        <f t="shared" si="5"/>
        <v>2796.7004416144446</v>
      </c>
      <c r="N21" s="114">
        <v>0</v>
      </c>
      <c r="O21" s="36">
        <f t="shared" si="6"/>
        <v>0</v>
      </c>
      <c r="P21" s="99">
        <f t="shared" si="7"/>
        <v>0</v>
      </c>
      <c r="Q21" s="115">
        <v>0.3</v>
      </c>
      <c r="R21" s="36">
        <f t="shared" si="8"/>
        <v>35273.466004770184</v>
      </c>
      <c r="S21" s="99">
        <f t="shared" si="9"/>
        <v>35273.466004770184</v>
      </c>
      <c r="T21" s="101">
        <f t="shared" si="10"/>
        <v>0.3</v>
      </c>
      <c r="U21" s="99">
        <f t="shared" si="11"/>
        <v>67180.533995229809</v>
      </c>
      <c r="V21" s="100">
        <f t="shared" si="19"/>
        <v>1941.8207625178488</v>
      </c>
      <c r="W21" s="100">
        <f t="shared" si="20"/>
        <v>2048.7917846834321</v>
      </c>
      <c r="X21" s="99">
        <f t="shared" si="21"/>
        <v>1941.8207625178488</v>
      </c>
      <c r="Y21" s="55">
        <v>23</v>
      </c>
      <c r="AA21" s="97"/>
      <c r="AB21" s="97"/>
      <c r="AC21" s="97"/>
      <c r="AD21" s="98"/>
    </row>
    <row r="22" spans="2:30" x14ac:dyDescent="0.3">
      <c r="B22" s="78">
        <f t="shared" si="0"/>
        <v>3.7777777777777779E-3</v>
      </c>
      <c r="C22" s="110">
        <v>720</v>
      </c>
      <c r="D22" s="111">
        <v>0.17</v>
      </c>
      <c r="E22" s="111">
        <v>3.5000000000000003E-2</v>
      </c>
      <c r="F22" s="110">
        <v>45</v>
      </c>
      <c r="G22" s="112">
        <v>1</v>
      </c>
      <c r="H22" s="113">
        <v>38407.599999999999</v>
      </c>
      <c r="I22" s="99">
        <f t="shared" si="1"/>
        <v>38407.599999999999</v>
      </c>
      <c r="J22" s="100">
        <f>IFERROR(((H22*(1+SUM(D22:E22)))/F22),"-")</f>
        <v>1028.4701777777777</v>
      </c>
      <c r="K22" s="100">
        <f>IFERROR((J22*(1+F22*0.0431%)),"-")</f>
        <v>1048.4173568757778</v>
      </c>
      <c r="L22" s="99">
        <f>IFERROR(J22*G22,"-")</f>
        <v>1028.4701777777777</v>
      </c>
      <c r="M22" s="35">
        <f t="shared" si="5"/>
        <v>1048.4173568757778</v>
      </c>
      <c r="N22" s="114">
        <v>0.15959899999999999</v>
      </c>
      <c r="O22" s="36">
        <f t="shared" si="6"/>
        <v>7034.6954154914074</v>
      </c>
      <c r="P22" s="99">
        <f t="shared" si="7"/>
        <v>7034.6954154914074</v>
      </c>
      <c r="Q22" s="115">
        <v>0.3</v>
      </c>
      <c r="R22" s="36">
        <f t="shared" si="8"/>
        <v>13223.194535350611</v>
      </c>
      <c r="S22" s="99">
        <f t="shared" si="9"/>
        <v>13223.194535350611</v>
      </c>
      <c r="T22" s="101">
        <f t="shared" si="10"/>
        <v>0.45959899999999998</v>
      </c>
      <c r="U22" s="99">
        <f t="shared" si="11"/>
        <v>25184.40546464939</v>
      </c>
      <c r="V22" s="100">
        <f>IFERROR(((($H22*(1+D22+E22))-(O22+R22)-J22)/($F22-1)),"-")</f>
        <v>568.06358798591361</v>
      </c>
      <c r="W22" s="100">
        <f>IFERROR((V22*(1+($F22-1)*0.1252%)),"-")</f>
        <v>599.35707492088159</v>
      </c>
      <c r="X22" s="99">
        <f>IFERROR(V22*G22,"-")</f>
        <v>568.06358798591361</v>
      </c>
      <c r="Y22" s="55">
        <v>68</v>
      </c>
      <c r="AA22" s="97" t="e">
        <f>#REF!</f>
        <v>#REF!</v>
      </c>
      <c r="AB22" s="97" t="e">
        <f>#REF!</f>
        <v>#REF!</v>
      </c>
      <c r="AC22" s="97">
        <f>AVERAGE(F22:F30)</f>
        <v>53.555555555555557</v>
      </c>
      <c r="AD22" s="98" t="e">
        <f>#REF!</f>
        <v>#REF!</v>
      </c>
    </row>
    <row r="23" spans="2:30" x14ac:dyDescent="0.3">
      <c r="B23" s="78">
        <f t="shared" si="0"/>
        <v>3.6956521739130439E-3</v>
      </c>
      <c r="C23" s="110">
        <v>721</v>
      </c>
      <c r="D23" s="111">
        <v>0.17</v>
      </c>
      <c r="E23" s="111">
        <v>3.5000000000000003E-2</v>
      </c>
      <c r="F23" s="110">
        <v>46</v>
      </c>
      <c r="G23" s="112">
        <v>1</v>
      </c>
      <c r="H23" s="113">
        <v>63367.5</v>
      </c>
      <c r="I23" s="99">
        <f t="shared" si="1"/>
        <v>63367.5</v>
      </c>
      <c r="J23" s="100">
        <f t="shared" ref="J23:J28" si="22">IFERROR(((H23*(1+SUM(D23:E23)))/F23),"-")</f>
        <v>1659.9529891304351</v>
      </c>
      <c r="K23" s="100">
        <f t="shared" ref="K23:K29" si="23">IFERROR((J23*(1+F23*0.0431%)),"-")</f>
        <v>1692.863217092935</v>
      </c>
      <c r="L23" s="99">
        <f t="shared" ref="L23:L29" si="24">IFERROR(J23*G23,"-")</f>
        <v>1659.9529891304351</v>
      </c>
      <c r="M23" s="35">
        <f t="shared" si="5"/>
        <v>1692.863217092935</v>
      </c>
      <c r="N23" s="114">
        <v>6.2599000000000016E-2</v>
      </c>
      <c r="O23" s="36">
        <f t="shared" si="6"/>
        <v>4552.3110781563237</v>
      </c>
      <c r="P23" s="99">
        <f t="shared" si="7"/>
        <v>4552.3110781563237</v>
      </c>
      <c r="Q23" s="115">
        <v>0.3</v>
      </c>
      <c r="R23" s="36">
        <f t="shared" si="8"/>
        <v>21816.535782470914</v>
      </c>
      <c r="S23" s="99">
        <f t="shared" si="9"/>
        <v>21816.535782470914</v>
      </c>
      <c r="T23" s="101">
        <f t="shared" si="10"/>
        <v>0.362599</v>
      </c>
      <c r="U23" s="99">
        <f t="shared" si="11"/>
        <v>41550.964217529086</v>
      </c>
      <c r="V23" s="100">
        <f t="shared" ref="V23:V29" si="25">IFERROR(((($H23*(1+D23+E23))-(O23+R23)-J23)/($F23-1)),"-")</f>
        <v>1073.9786144498294</v>
      </c>
      <c r="W23" s="100">
        <f t="shared" ref="W23:W29" si="26">IFERROR((V23*(1+($F23-1)*0.1252%)),"-")</f>
        <v>1134.4865695879328</v>
      </c>
      <c r="X23" s="99">
        <f t="shared" ref="X23:X29" si="27">IFERROR(V23*G23,"-")</f>
        <v>1073.9786144498294</v>
      </c>
      <c r="Y23" s="55">
        <v>66</v>
      </c>
      <c r="AA23" s="97"/>
      <c r="AB23" s="97"/>
      <c r="AC23" s="97"/>
      <c r="AD23" s="98"/>
    </row>
    <row r="24" spans="2:30" x14ac:dyDescent="0.3">
      <c r="B24" s="78">
        <f t="shared" si="0"/>
        <v>3.4693877551020412E-3</v>
      </c>
      <c r="C24" s="110">
        <v>722</v>
      </c>
      <c r="D24" s="111">
        <v>0.17</v>
      </c>
      <c r="E24" s="111">
        <v>3.5000000000000003E-2</v>
      </c>
      <c r="F24" s="110">
        <v>49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944.51342857142868</v>
      </c>
      <c r="K24" s="100">
        <f t="shared" si="23"/>
        <v>964.46060766942878</v>
      </c>
      <c r="L24" s="99">
        <f t="shared" si="24"/>
        <v>944.51342857142868</v>
      </c>
      <c r="M24" s="35">
        <f t="shared" si="5"/>
        <v>964.46060766942878</v>
      </c>
      <c r="N24" s="114">
        <v>0.12</v>
      </c>
      <c r="O24" s="36">
        <f t="shared" si="6"/>
        <v>5289.277814140245</v>
      </c>
      <c r="P24" s="99">
        <f t="shared" si="7"/>
        <v>5289.277814140245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0.42</v>
      </c>
      <c r="U24" s="99">
        <f t="shared" si="11"/>
        <v>25184.40546464939</v>
      </c>
      <c r="V24" s="100">
        <f t="shared" si="25"/>
        <v>558.83692129036899</v>
      </c>
      <c r="W24" s="100">
        <f t="shared" si="26"/>
        <v>592.42078491223492</v>
      </c>
      <c r="X24" s="99">
        <f t="shared" si="27"/>
        <v>558.83692129036899</v>
      </c>
      <c r="Y24" s="55">
        <v>61</v>
      </c>
      <c r="AA24" s="97"/>
      <c r="AB24" s="97"/>
      <c r="AC24" s="97"/>
      <c r="AD24" s="98"/>
    </row>
    <row r="25" spans="2:30" x14ac:dyDescent="0.3">
      <c r="B25" s="78">
        <f t="shared" si="0"/>
        <v>3.4693877551020412E-3</v>
      </c>
      <c r="C25" s="110">
        <v>723</v>
      </c>
      <c r="D25" s="111">
        <v>0.17</v>
      </c>
      <c r="E25" s="111">
        <v>3.5000000000000003E-2</v>
      </c>
      <c r="F25" s="110">
        <v>49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1558.3232142857144</v>
      </c>
      <c r="K25" s="100">
        <f t="shared" si="23"/>
        <v>1591.2334422482145</v>
      </c>
      <c r="L25" s="99">
        <f t="shared" si="24"/>
        <v>1558.3232142857144</v>
      </c>
      <c r="M25" s="35">
        <f t="shared" si="5"/>
        <v>1591.2334422482145</v>
      </c>
      <c r="N25" s="114">
        <v>0.16000000000000003</v>
      </c>
      <c r="O25" s="36">
        <f t="shared" si="6"/>
        <v>11635.485750651156</v>
      </c>
      <c r="P25" s="99">
        <f t="shared" si="7"/>
        <v>11635.485750651156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0.46</v>
      </c>
      <c r="U25" s="99">
        <f t="shared" si="11"/>
        <v>41550.964217529086</v>
      </c>
      <c r="V25" s="100">
        <f t="shared" si="25"/>
        <v>861.40609901233768</v>
      </c>
      <c r="W25" s="100">
        <f t="shared" si="26"/>
        <v>913.17315993858301</v>
      </c>
      <c r="X25" s="99">
        <f t="shared" si="27"/>
        <v>861.40609901233768</v>
      </c>
      <c r="Y25" s="55">
        <v>85</v>
      </c>
      <c r="AA25" s="97"/>
      <c r="AB25" s="97"/>
      <c r="AC25" s="97"/>
      <c r="AD25" s="98"/>
    </row>
    <row r="26" spans="2:30" x14ac:dyDescent="0.3">
      <c r="B26" s="78">
        <f t="shared" si="0"/>
        <v>3.4693877551020412E-3</v>
      </c>
      <c r="C26" s="110">
        <v>724</v>
      </c>
      <c r="D26" s="111">
        <v>0.17</v>
      </c>
      <c r="E26" s="111">
        <v>3.5000000000000003E-2</v>
      </c>
      <c r="F26" s="110">
        <v>49</v>
      </c>
      <c r="G26" s="112">
        <v>1</v>
      </c>
      <c r="H26" s="113">
        <v>102454</v>
      </c>
      <c r="I26" s="99">
        <f t="shared" si="1"/>
        <v>102454</v>
      </c>
      <c r="J26" s="100">
        <f t="shared" si="22"/>
        <v>2519.5320408163266</v>
      </c>
      <c r="K26" s="100">
        <f t="shared" si="23"/>
        <v>2572.742037986327</v>
      </c>
      <c r="L26" s="99">
        <f t="shared" si="24"/>
        <v>2519.5320408163266</v>
      </c>
      <c r="M26" s="35">
        <f t="shared" si="5"/>
        <v>2572.742037986327</v>
      </c>
      <c r="N26" s="114">
        <v>6.8000000000000005E-2</v>
      </c>
      <c r="O26" s="36">
        <f t="shared" si="6"/>
        <v>7995.3189610812424</v>
      </c>
      <c r="P26" s="99">
        <f t="shared" si="7"/>
        <v>7995.3189610812424</v>
      </c>
      <c r="Q26" s="115">
        <v>0.3</v>
      </c>
      <c r="R26" s="36">
        <f t="shared" si="8"/>
        <v>35273.466004770184</v>
      </c>
      <c r="S26" s="99">
        <f t="shared" si="9"/>
        <v>35273.466004770184</v>
      </c>
      <c r="T26" s="101">
        <f t="shared" si="10"/>
        <v>0.36799999999999999</v>
      </c>
      <c r="U26" s="99">
        <f t="shared" si="11"/>
        <v>67180.533995229809</v>
      </c>
      <c r="V26" s="100">
        <f t="shared" si="25"/>
        <v>1618.0990206944214</v>
      </c>
      <c r="W26" s="100">
        <f t="shared" si="26"/>
        <v>1715.3402994420733</v>
      </c>
      <c r="X26" s="99">
        <f t="shared" si="27"/>
        <v>1618.0990206944214</v>
      </c>
      <c r="Y26" s="55">
        <v>26</v>
      </c>
      <c r="AA26" s="97"/>
      <c r="AB26" s="97"/>
      <c r="AC26" s="97"/>
      <c r="AD26" s="98"/>
    </row>
    <row r="27" spans="2:30" x14ac:dyDescent="0.3">
      <c r="B27" s="78">
        <f t="shared" si="0"/>
        <v>3.4693877551020412E-3</v>
      </c>
      <c r="C27" s="110">
        <v>725</v>
      </c>
      <c r="D27" s="111">
        <v>0.17</v>
      </c>
      <c r="E27" s="111">
        <v>3.5000000000000003E-2</v>
      </c>
      <c r="F27" s="110">
        <v>49</v>
      </c>
      <c r="G27" s="112">
        <v>1</v>
      </c>
      <c r="H27" s="113">
        <v>194390</v>
      </c>
      <c r="I27" s="99">
        <f t="shared" si="1"/>
        <v>194390</v>
      </c>
      <c r="J27" s="100">
        <f t="shared" si="22"/>
        <v>4780.4071428571433</v>
      </c>
      <c r="K27" s="100">
        <f t="shared" si="23"/>
        <v>4881.364561307144</v>
      </c>
      <c r="L27" s="99">
        <f t="shared" si="24"/>
        <v>4780.4071428571433</v>
      </c>
      <c r="M27" s="35">
        <f t="shared" si="5"/>
        <v>4881.364561307144</v>
      </c>
      <c r="N27" s="114">
        <v>3.0000000000000027E-2</v>
      </c>
      <c r="O27" s="36">
        <f t="shared" si="6"/>
        <v>6692.5733076964134</v>
      </c>
      <c r="P27" s="99">
        <f t="shared" si="7"/>
        <v>6692.5733076964134</v>
      </c>
      <c r="Q27" s="115">
        <v>0.3</v>
      </c>
      <c r="R27" s="36">
        <f t="shared" si="8"/>
        <v>66925.733076964068</v>
      </c>
      <c r="S27" s="99">
        <f t="shared" si="9"/>
        <v>66925.733076964068</v>
      </c>
      <c r="T27" s="101">
        <f t="shared" si="10"/>
        <v>0.33</v>
      </c>
      <c r="U27" s="99">
        <f t="shared" si="11"/>
        <v>127464.26692303593</v>
      </c>
      <c r="V27" s="100">
        <f t="shared" si="25"/>
        <v>3246.6924265100492</v>
      </c>
      <c r="W27" s="100">
        <f t="shared" si="26"/>
        <v>3441.8056545735967</v>
      </c>
      <c r="X27" s="99">
        <f t="shared" si="27"/>
        <v>3246.6924265100492</v>
      </c>
      <c r="Y27" s="55">
        <v>36</v>
      </c>
      <c r="AA27" s="97"/>
      <c r="AB27" s="97"/>
      <c r="AC27" s="97"/>
      <c r="AD27" s="98"/>
    </row>
    <row r="28" spans="2:30" x14ac:dyDescent="0.3">
      <c r="B28" s="78">
        <f t="shared" si="0"/>
        <v>3.6923076923076922E-3</v>
      </c>
      <c r="C28" s="110">
        <v>726</v>
      </c>
      <c r="D28" s="111">
        <v>0.24</v>
      </c>
      <c r="E28" s="111">
        <v>3.5000000000000003E-2</v>
      </c>
      <c r="F28" s="110">
        <v>65</v>
      </c>
      <c r="G28" s="112">
        <v>1</v>
      </c>
      <c r="H28" s="113">
        <v>38407.599999999999</v>
      </c>
      <c r="I28" s="99">
        <f t="shared" si="1"/>
        <v>38407.599999999999</v>
      </c>
      <c r="J28" s="100">
        <f t="shared" si="22"/>
        <v>753.37984615384607</v>
      </c>
      <c r="K28" s="100">
        <f t="shared" si="23"/>
        <v>774.48578254384597</v>
      </c>
      <c r="L28" s="99">
        <f t="shared" si="24"/>
        <v>753.37984615384607</v>
      </c>
      <c r="M28" s="35">
        <f t="shared" si="5"/>
        <v>774.48578254384597</v>
      </c>
      <c r="N28" s="114">
        <v>0.10100000000000003</v>
      </c>
      <c r="O28" s="36">
        <f t="shared" si="6"/>
        <v>4710.4201280491716</v>
      </c>
      <c r="P28" s="99">
        <f t="shared" si="7"/>
        <v>4710.4201280491716</v>
      </c>
      <c r="Q28" s="115">
        <v>0.3</v>
      </c>
      <c r="R28" s="36">
        <f t="shared" si="8"/>
        <v>13991.346914997534</v>
      </c>
      <c r="S28" s="99">
        <f t="shared" si="9"/>
        <v>13991.346914997534</v>
      </c>
      <c r="T28" s="101">
        <f t="shared" si="10"/>
        <v>0.40100000000000002</v>
      </c>
      <c r="U28" s="99">
        <f t="shared" si="11"/>
        <v>24416.253085002463</v>
      </c>
      <c r="V28" s="100">
        <f t="shared" si="25"/>
        <v>461.16473610624132</v>
      </c>
      <c r="W28" s="100">
        <f t="shared" si="26"/>
        <v>498.11694408096224</v>
      </c>
      <c r="X28" s="99">
        <f t="shared" si="27"/>
        <v>461.16473610624132</v>
      </c>
      <c r="Y28" s="55">
        <v>35</v>
      </c>
      <c r="AA28" s="97"/>
      <c r="AB28" s="97"/>
      <c r="AC28" s="97"/>
      <c r="AD28" s="98"/>
    </row>
    <row r="29" spans="2:30" x14ac:dyDescent="0.3">
      <c r="B29" s="78">
        <f t="shared" si="0"/>
        <v>3.0769230769230769E-3</v>
      </c>
      <c r="C29" s="110">
        <v>727</v>
      </c>
      <c r="D29" s="111">
        <v>0.2</v>
      </c>
      <c r="E29" s="111">
        <v>3.5000000000000003E-2</v>
      </c>
      <c r="F29" s="110">
        <v>65</v>
      </c>
      <c r="G29" s="112">
        <v>1</v>
      </c>
      <c r="H29" s="113">
        <v>63367.5</v>
      </c>
      <c r="I29" s="99">
        <f t="shared" si="1"/>
        <v>63367.5</v>
      </c>
      <c r="J29" s="100">
        <f t="shared" ref="J29" si="28">IFERROR(((H29*(1+SUM(D29:E29)))/F29),"-")</f>
        <v>1203.9825000000001</v>
      </c>
      <c r="K29" s="100">
        <f t="shared" si="23"/>
        <v>1237.7120697374999</v>
      </c>
      <c r="L29" s="99">
        <f t="shared" si="24"/>
        <v>1203.9825000000001</v>
      </c>
      <c r="M29" s="35">
        <f t="shared" si="5"/>
        <v>1237.7120697374999</v>
      </c>
      <c r="N29" s="114">
        <v>0.19</v>
      </c>
      <c r="O29" s="36">
        <f t="shared" si="6"/>
        <v>14161.13449891231</v>
      </c>
      <c r="P29" s="99">
        <f t="shared" si="7"/>
        <v>14161.13449891231</v>
      </c>
      <c r="Q29" s="115">
        <v>0.3</v>
      </c>
      <c r="R29" s="36">
        <f t="shared" si="8"/>
        <v>22359.68605091417</v>
      </c>
      <c r="S29" s="99">
        <f t="shared" si="9"/>
        <v>22359.68605091417</v>
      </c>
      <c r="T29" s="101">
        <f t="shared" si="10"/>
        <v>0.49</v>
      </c>
      <c r="U29" s="99">
        <f t="shared" si="11"/>
        <v>41007.81394908583</v>
      </c>
      <c r="V29" s="100">
        <f t="shared" si="25"/>
        <v>633.3446789089611</v>
      </c>
      <c r="W29" s="100">
        <f t="shared" si="26"/>
        <v>684.09332134057831</v>
      </c>
      <c r="X29" s="99">
        <f t="shared" si="27"/>
        <v>633.3446789089611</v>
      </c>
      <c r="Y29" s="55">
        <v>32</v>
      </c>
      <c r="AA29" s="97"/>
      <c r="AB29" s="97"/>
      <c r="AC29" s="97"/>
      <c r="AD29" s="98"/>
    </row>
    <row r="30" spans="2:30" x14ac:dyDescent="0.3">
      <c r="B30" s="78">
        <f t="shared" si="0"/>
        <v>2.7692307692307691E-3</v>
      </c>
      <c r="C30" s="110">
        <v>728</v>
      </c>
      <c r="D30" s="111">
        <v>0.18</v>
      </c>
      <c r="E30" s="111">
        <v>3.5000000000000003E-2</v>
      </c>
      <c r="F30" s="110">
        <v>65</v>
      </c>
      <c r="G30" s="112">
        <v>1</v>
      </c>
      <c r="H30" s="113">
        <v>102454</v>
      </c>
      <c r="I30" s="99">
        <f t="shared" si="1"/>
        <v>102454</v>
      </c>
      <c r="J30" s="100">
        <f>IFERROR(((H30*(1+SUM(D30:E30)))/F30),"-")</f>
        <v>1915.1016923076925</v>
      </c>
      <c r="K30" s="100">
        <f>IFERROR((J30*(1+F30*0.0431%)),"-")</f>
        <v>1968.7532662176923</v>
      </c>
      <c r="L30" s="99">
        <f>IFERROR(J30*G30,"-")</f>
        <v>1915.1016923076925</v>
      </c>
      <c r="M30" s="35">
        <f t="shared" si="5"/>
        <v>1968.7532662176923</v>
      </c>
      <c r="N30" s="114">
        <v>0.15100000000000002</v>
      </c>
      <c r="O30" s="36">
        <f t="shared" si="6"/>
        <v>17901.649904744572</v>
      </c>
      <c r="P30" s="99">
        <f t="shared" si="7"/>
        <v>17901.649904744572</v>
      </c>
      <c r="Q30" s="115">
        <v>0.3</v>
      </c>
      <c r="R30" s="36">
        <f t="shared" si="8"/>
        <v>35566.191863730935</v>
      </c>
      <c r="S30" s="99">
        <f t="shared" si="9"/>
        <v>35566.191863730935</v>
      </c>
      <c r="T30" s="101">
        <f t="shared" si="10"/>
        <v>0.45100000000000001</v>
      </c>
      <c r="U30" s="99">
        <f t="shared" si="11"/>
        <v>66887.808136269072</v>
      </c>
      <c r="V30" s="100">
        <f>IFERROR(((($H30*(1+D30+E30))-(O30+R30)-J30)/($F30-1)),"-")</f>
        <v>1079.6666646752622</v>
      </c>
      <c r="W30" s="100">
        <f>IFERROR((V30*(1+($F30-1)*0.1252%)),"-")</f>
        <v>1166.1781951823616</v>
      </c>
      <c r="X30" s="99">
        <f>IFERROR(V30*G30,"-")</f>
        <v>1079.6666646752622</v>
      </c>
      <c r="Y30" s="55">
        <v>21</v>
      </c>
      <c r="AA30" s="97" t="e">
        <f>#REF!</f>
        <v>#REF!</v>
      </c>
      <c r="AB30" s="97" t="e">
        <f>#REF!</f>
        <v>#REF!</v>
      </c>
      <c r="AC30" s="97">
        <f>AVERAGE(F30:F36)</f>
        <v>78.714285714285708</v>
      </c>
      <c r="AD30" s="98" t="e">
        <f>#REF!</f>
        <v>#REF!</v>
      </c>
    </row>
    <row r="31" spans="2:30" x14ac:dyDescent="0.3">
      <c r="B31" s="78">
        <f t="shared" si="0"/>
        <v>1.674698795180723E-3</v>
      </c>
      <c r="C31" s="110">
        <v>730</v>
      </c>
      <c r="D31" s="111">
        <v>0.13900000000000001</v>
      </c>
      <c r="E31" s="111">
        <v>3.5000000000000003E-2</v>
      </c>
      <c r="F31" s="110">
        <v>83</v>
      </c>
      <c r="G31" s="112">
        <v>1</v>
      </c>
      <c r="H31" s="113">
        <v>325935.5</v>
      </c>
      <c r="I31" s="99">
        <f t="shared" si="1"/>
        <v>325935.5</v>
      </c>
      <c r="J31" s="100">
        <f t="shared" ref="J31:J36" si="29">IFERROR(((H31*(1+SUM(D31:E31)))/F31),"-")</f>
        <v>4610.2202048192776</v>
      </c>
      <c r="K31" s="100">
        <f t="shared" ref="K31:K36" si="30">IFERROR((J31*(1+F31*0.0431%)),"-")</f>
        <v>4775.1416122062774</v>
      </c>
      <c r="L31" s="99">
        <f t="shared" ref="L31:L36" si="31">IFERROR(J31*G31,"-")</f>
        <v>4610.2202048192776</v>
      </c>
      <c r="M31" s="35">
        <f t="shared" si="5"/>
        <v>4775.1416122062774</v>
      </c>
      <c r="N31" s="114">
        <v>0.27999999999999997</v>
      </c>
      <c r="O31" s="36">
        <f t="shared" si="6"/>
        <v>102039.59096475529</v>
      </c>
      <c r="P31" s="99">
        <f t="shared" si="7"/>
        <v>102039.59096475529</v>
      </c>
      <c r="Q31" s="115">
        <v>0.3</v>
      </c>
      <c r="R31" s="36">
        <f t="shared" si="8"/>
        <v>109328.13317652354</v>
      </c>
      <c r="S31" s="99">
        <f t="shared" si="9"/>
        <v>109328.13317652354</v>
      </c>
      <c r="T31" s="101">
        <f t="shared" si="10"/>
        <v>0.57999999999999996</v>
      </c>
      <c r="U31" s="99">
        <f t="shared" si="11"/>
        <v>216607.36682347645</v>
      </c>
      <c r="V31" s="100">
        <f t="shared" ref="V31:V36" si="32">IFERROR(((($H31*(1+D31+E31))-(O31+R31)-J31)/($F31-1)),"-")</f>
        <v>2032.5650323646571</v>
      </c>
      <c r="W31" s="100">
        <f t="shared" ref="W31:W36" si="33">IFERROR((V31*(1+($F31-1)*0.1252%)),"-")</f>
        <v>2241.2362888473426</v>
      </c>
      <c r="X31" s="99">
        <f t="shared" ref="X31:X36" si="34">IFERROR(V31*G31,"-")</f>
        <v>2032.5650323646571</v>
      </c>
      <c r="Y31" s="55">
        <v>24</v>
      </c>
      <c r="AA31" s="97"/>
      <c r="AB31" s="97"/>
      <c r="AC31" s="97"/>
      <c r="AD31" s="98"/>
    </row>
    <row r="32" spans="2:30" x14ac:dyDescent="0.3">
      <c r="B32" s="78">
        <f t="shared" si="0"/>
        <v>3.582089552238806E-3</v>
      </c>
      <c r="C32" s="110">
        <v>731</v>
      </c>
      <c r="D32" s="111">
        <v>0.24</v>
      </c>
      <c r="E32" s="111">
        <v>3.5000000000000003E-2</v>
      </c>
      <c r="F32" s="110">
        <v>67</v>
      </c>
      <c r="G32" s="112">
        <v>1</v>
      </c>
      <c r="H32" s="113">
        <v>38407.599999999999</v>
      </c>
      <c r="I32" s="99">
        <f t="shared" si="1"/>
        <v>38407.599999999999</v>
      </c>
      <c r="J32" s="100">
        <f t="shared" si="29"/>
        <v>730.89089552238795</v>
      </c>
      <c r="K32" s="100">
        <f t="shared" si="30"/>
        <v>751.99683191238796</v>
      </c>
      <c r="L32" s="99">
        <f t="shared" si="31"/>
        <v>730.89089552238795</v>
      </c>
      <c r="M32" s="35">
        <f t="shared" si="5"/>
        <v>751.99683191238796</v>
      </c>
      <c r="N32" s="114">
        <v>0.2011</v>
      </c>
      <c r="O32" s="36">
        <f t="shared" si="6"/>
        <v>9378.8662153533478</v>
      </c>
      <c r="P32" s="99">
        <f t="shared" si="7"/>
        <v>9378.8662153533478</v>
      </c>
      <c r="Q32" s="115">
        <v>0.3</v>
      </c>
      <c r="R32" s="36">
        <f t="shared" si="8"/>
        <v>13991.346914997534</v>
      </c>
      <c r="S32" s="99">
        <f t="shared" si="9"/>
        <v>13991.346914997534</v>
      </c>
      <c r="T32" s="101">
        <f t="shared" si="10"/>
        <v>0.50109999999999999</v>
      </c>
      <c r="U32" s="99">
        <f t="shared" si="11"/>
        <v>24416.253085002463</v>
      </c>
      <c r="V32" s="100">
        <f t="shared" si="32"/>
        <v>376.79675718373829</v>
      </c>
      <c r="W32" s="100">
        <f t="shared" si="33"/>
        <v>407.93222682334499</v>
      </c>
      <c r="X32" s="99">
        <f t="shared" si="34"/>
        <v>376.79675718373829</v>
      </c>
      <c r="Y32" s="55">
        <v>51</v>
      </c>
      <c r="AA32" s="97"/>
      <c r="AB32" s="97"/>
      <c r="AC32" s="97"/>
      <c r="AD32" s="98"/>
    </row>
    <row r="33" spans="1:31" x14ac:dyDescent="0.3">
      <c r="B33" s="78">
        <f t="shared" si="0"/>
        <v>2.9850746268656717E-3</v>
      </c>
      <c r="C33" s="110">
        <v>732</v>
      </c>
      <c r="D33" s="111">
        <v>0.2</v>
      </c>
      <c r="E33" s="111">
        <v>3.5000000000000003E-2</v>
      </c>
      <c r="F33" s="110">
        <v>67</v>
      </c>
      <c r="G33" s="112">
        <v>1</v>
      </c>
      <c r="H33" s="113">
        <v>63367.5</v>
      </c>
      <c r="I33" s="99">
        <f t="shared" si="1"/>
        <v>63367.5</v>
      </c>
      <c r="J33" s="100">
        <f t="shared" si="29"/>
        <v>1168.0427238805971</v>
      </c>
      <c r="K33" s="100">
        <f t="shared" si="30"/>
        <v>1201.7722936180971</v>
      </c>
      <c r="L33" s="99">
        <f t="shared" si="31"/>
        <v>1168.0427238805971</v>
      </c>
      <c r="M33" s="35">
        <f t="shared" si="5"/>
        <v>1201.7722936180971</v>
      </c>
      <c r="N33" s="114">
        <v>0.15000000000000002</v>
      </c>
      <c r="O33" s="36">
        <f t="shared" si="6"/>
        <v>11179.843025457087</v>
      </c>
      <c r="P33" s="99">
        <f t="shared" si="7"/>
        <v>11179.843025457087</v>
      </c>
      <c r="Q33" s="115">
        <v>0.3</v>
      </c>
      <c r="R33" s="36">
        <f t="shared" si="8"/>
        <v>22359.68605091417</v>
      </c>
      <c r="S33" s="99">
        <f t="shared" si="9"/>
        <v>22359.68605091417</v>
      </c>
      <c r="T33" s="101">
        <f t="shared" si="10"/>
        <v>0.45</v>
      </c>
      <c r="U33" s="99">
        <f t="shared" si="11"/>
        <v>41007.81394908583</v>
      </c>
      <c r="V33" s="100">
        <f t="shared" si="32"/>
        <v>659.86804090527471</v>
      </c>
      <c r="W33" s="100">
        <f t="shared" si="33"/>
        <v>714.39425686135939</v>
      </c>
      <c r="X33" s="99">
        <f t="shared" si="34"/>
        <v>659.86804090527471</v>
      </c>
      <c r="Y33" s="55">
        <v>59</v>
      </c>
      <c r="AA33" s="97"/>
      <c r="AB33" s="97"/>
      <c r="AC33" s="97"/>
      <c r="AD33" s="98"/>
    </row>
    <row r="34" spans="1:31" x14ac:dyDescent="0.3">
      <c r="B34" s="78">
        <f t="shared" si="0"/>
        <v>1.616279069767442E-3</v>
      </c>
      <c r="C34" s="110">
        <v>739</v>
      </c>
      <c r="D34" s="111">
        <v>0.13900000000000001</v>
      </c>
      <c r="E34" s="111">
        <v>3.5000000000000003E-2</v>
      </c>
      <c r="F34" s="110">
        <v>86</v>
      </c>
      <c r="G34" s="112">
        <v>1</v>
      </c>
      <c r="H34" s="113">
        <v>311250</v>
      </c>
      <c r="I34" s="99">
        <f t="shared" si="1"/>
        <v>311250</v>
      </c>
      <c r="J34" s="100">
        <f t="shared" si="29"/>
        <v>4248.9244186046508</v>
      </c>
      <c r="K34" s="100">
        <f t="shared" si="30"/>
        <v>4406.415051104651</v>
      </c>
      <c r="L34" s="99">
        <f t="shared" si="31"/>
        <v>4248.9244186046508</v>
      </c>
      <c r="M34" s="35">
        <f t="shared" si="5"/>
        <v>4406.415051104651</v>
      </c>
      <c r="N34" s="114">
        <v>0.33</v>
      </c>
      <c r="O34" s="36">
        <f t="shared" si="6"/>
        <v>114842.41390186784</v>
      </c>
      <c r="P34" s="99">
        <f t="shared" si="7"/>
        <v>114842.41390186784</v>
      </c>
      <c r="Q34" s="115">
        <v>0.3</v>
      </c>
      <c r="R34" s="36">
        <f t="shared" si="8"/>
        <v>104402.19445624349</v>
      </c>
      <c r="S34" s="99">
        <f t="shared" si="9"/>
        <v>104402.19445624349</v>
      </c>
      <c r="T34" s="101">
        <f t="shared" si="10"/>
        <v>0.63</v>
      </c>
      <c r="U34" s="99">
        <f t="shared" si="11"/>
        <v>206847.80554375652</v>
      </c>
      <c r="V34" s="100">
        <f t="shared" si="32"/>
        <v>1669.5760849798119</v>
      </c>
      <c r="W34" s="100">
        <f t="shared" si="33"/>
        <v>1847.2523719433634</v>
      </c>
      <c r="X34" s="99">
        <f t="shared" si="34"/>
        <v>1669.5760849798119</v>
      </c>
      <c r="Y34" s="55">
        <v>21</v>
      </c>
      <c r="AA34" s="97"/>
      <c r="AB34" s="97"/>
      <c r="AC34" s="97"/>
      <c r="AD34" s="98"/>
    </row>
    <row r="35" spans="1:31" x14ac:dyDescent="0.3">
      <c r="B35" s="78">
        <f t="shared" si="0"/>
        <v>1.5795454545454548E-3</v>
      </c>
      <c r="C35" s="110">
        <v>744</v>
      </c>
      <c r="D35" s="111">
        <v>0.13900000000000001</v>
      </c>
      <c r="E35" s="111">
        <v>3.5000000000000003E-2</v>
      </c>
      <c r="F35" s="110">
        <v>88</v>
      </c>
      <c r="G35" s="112">
        <v>1</v>
      </c>
      <c r="H35" s="113">
        <v>300000</v>
      </c>
      <c r="I35" s="99">
        <f t="shared" si="1"/>
        <v>300000</v>
      </c>
      <c r="J35" s="100">
        <f t="shared" si="29"/>
        <v>4002.2727272727275</v>
      </c>
      <c r="K35" s="100">
        <f t="shared" si="30"/>
        <v>4154.0709272727272</v>
      </c>
      <c r="L35" s="99">
        <f t="shared" si="31"/>
        <v>4002.2727272727275</v>
      </c>
      <c r="M35" s="35">
        <f t="shared" si="5"/>
        <v>4154.0709272727272</v>
      </c>
      <c r="N35" s="114">
        <v>0.27655000000000002</v>
      </c>
      <c r="O35" s="36">
        <f t="shared" si="6"/>
        <v>92762.817275097637</v>
      </c>
      <c r="P35" s="99">
        <f t="shared" si="7"/>
        <v>92762.817275097637</v>
      </c>
      <c r="Q35" s="115">
        <v>0.3</v>
      </c>
      <c r="R35" s="36">
        <f t="shared" si="8"/>
        <v>100628.62116264433</v>
      </c>
      <c r="S35" s="99">
        <f t="shared" si="9"/>
        <v>100628.62116264433</v>
      </c>
      <c r="T35" s="101">
        <f t="shared" si="10"/>
        <v>0.57655000000000001</v>
      </c>
      <c r="U35" s="99">
        <f t="shared" si="11"/>
        <v>199371.37883735567</v>
      </c>
      <c r="V35" s="100">
        <f t="shared" si="32"/>
        <v>1779.3826302871876</v>
      </c>
      <c r="W35" s="100">
        <f t="shared" si="33"/>
        <v>1973.2001039085892</v>
      </c>
      <c r="X35" s="99">
        <f t="shared" si="34"/>
        <v>1779.3826302871876</v>
      </c>
      <c r="Y35" s="55">
        <v>25</v>
      </c>
      <c r="AA35" s="97"/>
      <c r="AB35" s="97"/>
      <c r="AC35" s="97"/>
      <c r="AD35" s="98"/>
    </row>
    <row r="36" spans="1:31" x14ac:dyDescent="0.3">
      <c r="B36" s="78">
        <f t="shared" si="0"/>
        <v>1.4631578947368422E-3</v>
      </c>
      <c r="C36" s="110">
        <v>749</v>
      </c>
      <c r="D36" s="111">
        <v>0.13900000000000001</v>
      </c>
      <c r="E36" s="111">
        <v>3.5000000000000003E-2</v>
      </c>
      <c r="F36" s="110">
        <v>95</v>
      </c>
      <c r="G36" s="112">
        <v>1</v>
      </c>
      <c r="H36" s="113">
        <v>300000</v>
      </c>
      <c r="I36" s="99">
        <f t="shared" si="1"/>
        <v>300000</v>
      </c>
      <c r="J36" s="100">
        <f t="shared" si="29"/>
        <v>3707.3684210526317</v>
      </c>
      <c r="K36" s="100">
        <f t="shared" si="30"/>
        <v>3859.1666210526319</v>
      </c>
      <c r="L36" s="99">
        <f t="shared" si="31"/>
        <v>3707.3684210526317</v>
      </c>
      <c r="M36" s="35">
        <f t="shared" si="5"/>
        <v>3859.1666210526319</v>
      </c>
      <c r="N36" s="114">
        <v>0.35200000000000004</v>
      </c>
      <c r="O36" s="36">
        <f t="shared" si="6"/>
        <v>118070.91549750269</v>
      </c>
      <c r="P36" s="99">
        <f t="shared" si="7"/>
        <v>118070.91549750269</v>
      </c>
      <c r="Q36" s="115">
        <v>0.3</v>
      </c>
      <c r="R36" s="36">
        <f t="shared" si="8"/>
        <v>100628.62116264433</v>
      </c>
      <c r="S36" s="99">
        <f t="shared" si="9"/>
        <v>100628.62116264433</v>
      </c>
      <c r="T36" s="101">
        <f t="shared" si="10"/>
        <v>0.65200000000000002</v>
      </c>
      <c r="U36" s="99">
        <f t="shared" si="11"/>
        <v>199371.37883735567</v>
      </c>
      <c r="V36" s="100">
        <f t="shared" si="32"/>
        <v>1380.7776055191528</v>
      </c>
      <c r="W36" s="100">
        <f t="shared" si="33"/>
        <v>1543.2785603574907</v>
      </c>
      <c r="X36" s="99">
        <f t="shared" si="34"/>
        <v>1380.7776055191528</v>
      </c>
      <c r="Y36" s="55">
        <v>12</v>
      </c>
      <c r="AA36" s="97"/>
      <c r="AB36" s="97"/>
      <c r="AC36" s="97"/>
      <c r="AD36" s="98"/>
    </row>
    <row r="37" spans="1:31" x14ac:dyDescent="0.3">
      <c r="B37" s="78"/>
      <c r="C37" s="32"/>
      <c r="D37" s="33"/>
      <c r="E37" s="33"/>
      <c r="F37" s="32"/>
      <c r="G37" s="34"/>
      <c r="H37" s="35"/>
      <c r="I37" s="35"/>
      <c r="J37" s="36"/>
      <c r="K37" s="36"/>
      <c r="L37" s="35"/>
      <c r="M37" s="35"/>
      <c r="N37" s="87"/>
      <c r="O37" s="36"/>
      <c r="P37" s="35"/>
      <c r="Q37" s="37"/>
      <c r="R37" s="36"/>
      <c r="S37" s="35"/>
      <c r="T37" s="87"/>
      <c r="U37" s="35"/>
      <c r="V37" s="36"/>
      <c r="W37" s="36"/>
      <c r="X37" s="35"/>
    </row>
    <row r="38" spans="1:31" s="108" customFormat="1" ht="52.5" customHeight="1" x14ac:dyDescent="0.3">
      <c r="A38" s="105"/>
      <c r="B38" s="106"/>
      <c r="C38" s="39" t="s">
        <v>43</v>
      </c>
      <c r="D38" s="76" t="e">
        <f>SUMPRODUCT(#REF!,#REF!)/SUM(#REF!)</f>
        <v>#REF!</v>
      </c>
      <c r="E38" s="107"/>
      <c r="F38" s="39" t="s">
        <v>22</v>
      </c>
      <c r="G38" s="40">
        <f t="shared" ref="G38:M38" si="35">SUM(G9:G37)</f>
        <v>28</v>
      </c>
      <c r="H38" s="41">
        <f t="shared" si="35"/>
        <v>3430901.5000000005</v>
      </c>
      <c r="I38" s="41">
        <f t="shared" si="35"/>
        <v>3430901.5000000005</v>
      </c>
      <c r="J38" s="42">
        <f t="shared" si="35"/>
        <v>75438.165393147618</v>
      </c>
      <c r="K38" s="42">
        <f t="shared" si="35"/>
        <v>77207.888981088618</v>
      </c>
      <c r="L38" s="41">
        <f t="shared" si="35"/>
        <v>75438.165393147618</v>
      </c>
      <c r="M38" s="41">
        <f t="shared" si="35"/>
        <v>77207.888981088618</v>
      </c>
      <c r="N38" s="43">
        <f>IFERROR(SUMPRODUCT(H9:H37,N9:N37)/H38,"-")</f>
        <v>0.14875292639453505</v>
      </c>
      <c r="O38" s="42">
        <f>SUM(O9:O37)</f>
        <v>575937.69994731084</v>
      </c>
      <c r="P38" s="41">
        <f>SUM(P9:P37)</f>
        <v>575937.69994731084</v>
      </c>
      <c r="Q38" s="43">
        <f>IFERROR(SUMPRODUCT(H9:H37,Q9:Q37)/H38,"-")</f>
        <v>0.3</v>
      </c>
      <c r="R38" s="42">
        <f>SUM(R9:R37)</f>
        <v>1173168.3543909644</v>
      </c>
      <c r="S38" s="41">
        <f>SUM(S9:S37)</f>
        <v>1173168.3543909644</v>
      </c>
      <c r="T38" s="43">
        <f>IFERROR(Q38+N38,"-")</f>
        <v>0.44875292639453501</v>
      </c>
      <c r="U38" s="41">
        <f>SUM(U9:U37)</f>
        <v>2257733.1456090356</v>
      </c>
      <c r="V38" s="42">
        <f>SUM(V9:V37)</f>
        <v>45558.175972406876</v>
      </c>
      <c r="W38" s="42">
        <f>SUM(W9:W37)</f>
        <v>48414.667797475151</v>
      </c>
      <c r="X38" s="41">
        <f>SUM(X9:X37)</f>
        <v>45558.175972406876</v>
      </c>
      <c r="AA38" s="109"/>
      <c r="AB38" s="109"/>
      <c r="AC38" s="109"/>
      <c r="AD38" s="109"/>
      <c r="AE38" s="109"/>
    </row>
    <row r="39" spans="1:31" x14ac:dyDescent="0.3">
      <c r="B39" s="75"/>
      <c r="D39" s="75"/>
      <c r="H39" s="44"/>
      <c r="I39" s="44"/>
      <c r="J39" s="44"/>
      <c r="K39" s="44"/>
      <c r="L39" s="44"/>
      <c r="M39" s="44"/>
      <c r="N39" s="7"/>
      <c r="O39" s="44"/>
      <c r="P39" s="44"/>
      <c r="Q39" s="7"/>
      <c r="R39" s="44"/>
      <c r="S39" s="44"/>
      <c r="U39" s="44"/>
      <c r="V39" s="44"/>
      <c r="W39" s="44"/>
    </row>
    <row r="40" spans="1:31" ht="21.6" thickBot="1" x14ac:dyDescent="0.45">
      <c r="B40" s="31"/>
      <c r="C40" s="45" t="s">
        <v>30</v>
      </c>
      <c r="H40" s="65"/>
      <c r="I40" s="65"/>
      <c r="J40" s="65"/>
      <c r="N40" s="44"/>
    </row>
    <row r="41" spans="1:31" x14ac:dyDescent="0.3">
      <c r="C41" s="17"/>
      <c r="D41" s="17"/>
      <c r="E41" s="17"/>
      <c r="F41" s="17"/>
      <c r="G41" s="20"/>
      <c r="H41" s="20"/>
      <c r="I41" s="20"/>
      <c r="J41" s="20"/>
      <c r="K41" s="46"/>
      <c r="L41" s="20"/>
      <c r="M41" s="20"/>
      <c r="N41" s="21"/>
      <c r="O41" s="22"/>
      <c r="P41" s="22"/>
      <c r="Q41" s="23"/>
      <c r="R41" s="24"/>
      <c r="S41" s="24"/>
      <c r="T41" s="25"/>
      <c r="U41" s="25"/>
      <c r="V41" s="25"/>
      <c r="W41" s="25"/>
      <c r="X41" s="25"/>
      <c r="Z41" s="26"/>
    </row>
    <row r="42" spans="1:31" x14ac:dyDescent="0.3">
      <c r="C42" s="123" t="s">
        <v>31</v>
      </c>
      <c r="D42" s="123"/>
      <c r="E42" s="137">
        <f>I38</f>
        <v>3430901.5000000005</v>
      </c>
      <c r="F42" s="137"/>
      <c r="H42" s="13"/>
      <c r="I42" s="89"/>
      <c r="L42" s="49"/>
      <c r="N42" s="44"/>
      <c r="P42" s="44"/>
      <c r="Z42" s="50"/>
    </row>
    <row r="43" spans="1:31" x14ac:dyDescent="0.3">
      <c r="C43" s="130" t="s">
        <v>4</v>
      </c>
      <c r="D43" s="130"/>
      <c r="E43" s="131">
        <f>L38</f>
        <v>75438.165393147618</v>
      </c>
      <c r="F43" s="131"/>
      <c r="G43" s="50"/>
      <c r="H43" s="13"/>
      <c r="L43" s="49"/>
      <c r="N43"/>
      <c r="P43" s="44"/>
    </row>
    <row r="44" spans="1:31" ht="12.75" customHeight="1" x14ac:dyDescent="0.3">
      <c r="H44" s="13"/>
    </row>
    <row r="45" spans="1:31" ht="15.75" customHeight="1" x14ac:dyDescent="0.3">
      <c r="C45" s="123" t="s">
        <v>32</v>
      </c>
      <c r="D45" s="123"/>
      <c r="E45" s="132">
        <f>P38+S38</f>
        <v>1749106.0543382752</v>
      </c>
      <c r="F45" s="132"/>
      <c r="H45" s="39" t="s">
        <v>54</v>
      </c>
      <c r="I45" s="64"/>
      <c r="J45" s="64"/>
    </row>
    <row r="46" spans="1:31" ht="15.6" x14ac:dyDescent="0.3">
      <c r="C46" s="121" t="s">
        <v>53</v>
      </c>
      <c r="D46" s="121"/>
      <c r="E46" s="122">
        <f>P38</f>
        <v>575937.69994731084</v>
      </c>
      <c r="F46" s="122"/>
      <c r="G46" s="53"/>
      <c r="H46" s="40">
        <f>AVERAGE(F9:F36)</f>
        <v>53.785714285714285</v>
      </c>
      <c r="I46" s="64"/>
      <c r="J46" s="64"/>
      <c r="L46" s="54"/>
      <c r="M46" s="54"/>
      <c r="N46" s="54"/>
    </row>
    <row r="47" spans="1:31" x14ac:dyDescent="0.3">
      <c r="C47" s="121" t="s">
        <v>34</v>
      </c>
      <c r="D47" s="121"/>
      <c r="E47" s="122">
        <f>S38</f>
        <v>1173168.3543909644</v>
      </c>
      <c r="F47" s="122"/>
      <c r="G47" s="88"/>
      <c r="H47" s="44"/>
      <c r="M47"/>
      <c r="S47"/>
    </row>
    <row r="48" spans="1:31" ht="6.9" customHeight="1" x14ac:dyDescent="0.3">
      <c r="C48" s="51"/>
      <c r="D48" s="51"/>
      <c r="E48" s="51"/>
      <c r="F48" s="51"/>
      <c r="G48" s="51"/>
      <c r="I48" s="1"/>
      <c r="L48"/>
      <c r="M48"/>
    </row>
    <row r="49" spans="1:24" ht="15" customHeight="1" x14ac:dyDescent="0.3">
      <c r="C49" s="123" t="s">
        <v>35</v>
      </c>
      <c r="D49" s="123"/>
      <c r="E49" s="124">
        <f>U38</f>
        <v>2257733.1456090356</v>
      </c>
      <c r="F49" s="125"/>
      <c r="G49" s="51"/>
      <c r="H49" s="65"/>
      <c r="I49" s="13"/>
    </row>
    <row r="50" spans="1:24" x14ac:dyDescent="0.3">
      <c r="C50" s="121" t="s">
        <v>7</v>
      </c>
      <c r="D50" s="121"/>
      <c r="E50" s="122">
        <f>X38</f>
        <v>45558.175972406876</v>
      </c>
      <c r="F50" s="122"/>
      <c r="G50" s="51"/>
      <c r="H50" s="13"/>
      <c r="I50" s="1"/>
    </row>
    <row r="51" spans="1:24" x14ac:dyDescent="0.3">
      <c r="I51" s="55"/>
    </row>
    <row r="52" spans="1:24" hidden="1" x14ac:dyDescent="0.3">
      <c r="A52" s="2"/>
      <c r="C52" s="84" t="s">
        <v>48</v>
      </c>
      <c r="N52" s="44"/>
      <c r="S52" s="57"/>
      <c r="X52" s="57"/>
    </row>
    <row r="53" spans="1:24" hidden="1" x14ac:dyDescent="0.3">
      <c r="A53" s="2"/>
    </row>
    <row r="54" spans="1:24" hidden="1" x14ac:dyDescent="0.3">
      <c r="A54" s="2"/>
    </row>
    <row r="55" spans="1:24" hidden="1" x14ac:dyDescent="0.3">
      <c r="A55" s="2"/>
    </row>
    <row r="56" spans="1:24" hidden="1" x14ac:dyDescent="0.3">
      <c r="A56" s="2"/>
    </row>
    <row r="57" spans="1:24" hidden="1" x14ac:dyDescent="0.3">
      <c r="C57" s="118" t="s">
        <v>55</v>
      </c>
      <c r="D57" s="116">
        <f>E49-E46</f>
        <v>1681795.4456617248</v>
      </c>
    </row>
    <row r="58" spans="1:24" hidden="1" x14ac:dyDescent="0.3">
      <c r="C58" s="118" t="s">
        <v>57</v>
      </c>
      <c r="D58" s="117">
        <f>AVERAGE(D9:D36:E9:E36)*2</f>
        <v>0.20807142857142868</v>
      </c>
    </row>
    <row r="59" spans="1:24" hidden="1" x14ac:dyDescent="0.3">
      <c r="C59" s="118" t="s">
        <v>56</v>
      </c>
      <c r="D59" s="116">
        <f>E42*D58</f>
        <v>713872.57639285759</v>
      </c>
    </row>
    <row r="60" spans="1:24" x14ac:dyDescent="0.3">
      <c r="C60" s="118" t="s">
        <v>59</v>
      </c>
      <c r="D60" s="119">
        <f>(D59/D57)/H46</f>
        <v>7.8918820567828139E-3</v>
      </c>
    </row>
    <row r="61" spans="1:24" x14ac:dyDescent="0.3">
      <c r="C61" s="118" t="s">
        <v>60</v>
      </c>
      <c r="D61" s="119">
        <f>D60*12</f>
        <v>9.4702584681393767E-2</v>
      </c>
    </row>
    <row r="62" spans="1:24" x14ac:dyDescent="0.3"/>
    <row r="63" spans="1:24" x14ac:dyDescent="0.3"/>
    <row r="64" spans="1:2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V7:V8"/>
    <mergeCell ref="W7:W8"/>
    <mergeCell ref="X7:X8"/>
    <mergeCell ref="C42:D42"/>
    <mergeCell ref="E42:F42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43:D43"/>
    <mergeCell ref="E43:F43"/>
    <mergeCell ref="C45:D45"/>
    <mergeCell ref="E45:F45"/>
    <mergeCell ref="C50:D50"/>
    <mergeCell ref="E50:F50"/>
    <mergeCell ref="C46:D46"/>
    <mergeCell ref="E46:F46"/>
    <mergeCell ref="C47:D47"/>
    <mergeCell ref="E47:F47"/>
    <mergeCell ref="C49:D49"/>
    <mergeCell ref="E49:F4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22"/>
  <sheetViews>
    <sheetView showGridLines="0" zoomScale="85" zoomScaleNormal="85" workbookViewId="0">
      <selection activeCell="H20" sqref="H20"/>
    </sheetView>
  </sheetViews>
  <sheetFormatPr defaultColWidth="9.109375" defaultRowHeight="14.4" x14ac:dyDescent="0.3"/>
  <cols>
    <col min="1" max="1" width="1.6640625" style="1" customWidth="1"/>
    <col min="2" max="2" width="3.5546875" style="2" customWidth="1"/>
    <col min="3" max="3" width="15.33203125" style="2" customWidth="1"/>
    <col min="4" max="4" width="15.109375" style="2" customWidth="1"/>
    <col min="5" max="5" width="10.6640625" style="2" customWidth="1"/>
    <col min="6" max="6" width="9.5546875" style="2" customWidth="1"/>
    <col min="7" max="7" width="10.33203125" style="2" customWidth="1"/>
    <col min="8" max="8" width="19.6640625" style="2" customWidth="1"/>
    <col min="9" max="9" width="16.6640625" style="2" customWidth="1"/>
    <col min="10" max="10" width="16" style="2" customWidth="1"/>
    <col min="11" max="11" width="17.33203125" style="2" hidden="1" customWidth="1"/>
    <col min="12" max="12" width="16" style="2" customWidth="1"/>
    <col min="13" max="13" width="16" style="2" hidden="1" customWidth="1"/>
    <col min="14" max="14" width="13.33203125" style="2" customWidth="1"/>
    <col min="15" max="15" width="27.109375" style="2" hidden="1" customWidth="1"/>
    <col min="16" max="16" width="14.33203125" style="2" customWidth="1"/>
    <col min="17" max="17" width="13.88671875" style="2" customWidth="1"/>
    <col min="18" max="18" width="17.5546875" style="2" hidden="1" customWidth="1"/>
    <col min="19" max="19" width="15.44140625" style="2" customWidth="1"/>
    <col min="20" max="20" width="10.88671875" style="2" customWidth="1"/>
    <col min="21" max="21" width="16.33203125" style="2" customWidth="1"/>
    <col min="22" max="23" width="16.33203125" style="2" hidden="1" customWidth="1"/>
    <col min="24" max="24" width="20.44140625" style="2" customWidth="1"/>
    <col min="25" max="25" width="16" style="2" customWidth="1"/>
    <col min="26" max="16384" width="9.109375" style="2"/>
  </cols>
  <sheetData>
    <row r="1" spans="1:26" x14ac:dyDescent="0.3">
      <c r="C1" s="3" t="s">
        <v>0</v>
      </c>
      <c r="D1" s="4" t="s">
        <v>44</v>
      </c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26" x14ac:dyDescent="0.3">
      <c r="C2" s="3" t="s">
        <v>1</v>
      </c>
      <c r="D2" s="4" t="s">
        <v>46</v>
      </c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26" x14ac:dyDescent="0.3">
      <c r="C3" s="3" t="s">
        <v>2</v>
      </c>
      <c r="D3" s="4" t="s">
        <v>45</v>
      </c>
      <c r="E3" s="5"/>
      <c r="F3" s="5"/>
      <c r="G3" s="5"/>
      <c r="I3" s="6"/>
      <c r="J3" s="13"/>
      <c r="K3" s="8"/>
      <c r="L3" s="8"/>
      <c r="M3" s="8"/>
      <c r="N3" s="9"/>
      <c r="O3" s="10"/>
      <c r="R3" s="12"/>
      <c r="S3" s="12"/>
    </row>
    <row r="4" spans="1:26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26" ht="15" thickBot="1" x14ac:dyDescent="0.35">
      <c r="C5" s="14" t="s">
        <v>41</v>
      </c>
      <c r="D5" s="15">
        <f ca="1">D4+3</f>
        <v>45444</v>
      </c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26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26" ht="15" customHeight="1" x14ac:dyDescent="0.3">
      <c r="C7" s="150" t="s">
        <v>8</v>
      </c>
      <c r="D7" s="150" t="s">
        <v>9</v>
      </c>
      <c r="E7" s="150" t="s">
        <v>10</v>
      </c>
      <c r="F7" s="150" t="s">
        <v>11</v>
      </c>
      <c r="G7" s="150" t="s">
        <v>12</v>
      </c>
      <c r="H7" s="147" t="s">
        <v>13</v>
      </c>
      <c r="I7" s="148"/>
      <c r="J7" s="143" t="s">
        <v>14</v>
      </c>
      <c r="K7" s="27"/>
      <c r="L7" s="143" t="s">
        <v>15</v>
      </c>
      <c r="M7" s="27"/>
      <c r="N7" s="147" t="s">
        <v>16</v>
      </c>
      <c r="O7" s="148"/>
      <c r="P7" s="149"/>
      <c r="Q7" s="147" t="s">
        <v>17</v>
      </c>
      <c r="R7" s="148"/>
      <c r="S7" s="149"/>
      <c r="T7" s="150" t="s">
        <v>18</v>
      </c>
      <c r="U7" s="150" t="s">
        <v>19</v>
      </c>
      <c r="X7" s="143" t="s">
        <v>20</v>
      </c>
    </row>
    <row r="8" spans="1:26" s="26" customFormat="1" ht="34.5" customHeight="1" x14ac:dyDescent="0.3">
      <c r="A8" s="28"/>
      <c r="C8" s="152"/>
      <c r="D8" s="152"/>
      <c r="E8" s="152"/>
      <c r="F8" s="152"/>
      <c r="G8" s="152"/>
      <c r="H8" s="81" t="s">
        <v>21</v>
      </c>
      <c r="I8" s="81" t="s">
        <v>22</v>
      </c>
      <c r="J8" s="144"/>
      <c r="K8" s="29" t="s">
        <v>23</v>
      </c>
      <c r="L8" s="144"/>
      <c r="M8" s="30" t="s">
        <v>24</v>
      </c>
      <c r="N8" s="81" t="s">
        <v>25</v>
      </c>
      <c r="O8" s="81" t="s">
        <v>26</v>
      </c>
      <c r="P8" s="81" t="s">
        <v>27</v>
      </c>
      <c r="Q8" s="81" t="s">
        <v>25</v>
      </c>
      <c r="R8" s="81" t="s">
        <v>26</v>
      </c>
      <c r="S8" s="81" t="s">
        <v>27</v>
      </c>
      <c r="T8" s="151"/>
      <c r="U8" s="151"/>
      <c r="V8" s="81" t="s">
        <v>28</v>
      </c>
      <c r="W8" s="81" t="s">
        <v>29</v>
      </c>
      <c r="X8" s="144"/>
    </row>
    <row r="9" spans="1:26" x14ac:dyDescent="0.3">
      <c r="B9" s="78">
        <f>D9/F9</f>
        <v>1.1904761904761906E-3</v>
      </c>
      <c r="C9" s="32">
        <v>3065</v>
      </c>
      <c r="D9" s="33">
        <v>0.2</v>
      </c>
      <c r="E9" s="33">
        <v>0.05</v>
      </c>
      <c r="F9" s="32">
        <f>VLOOKUP(C9,Tabela!$A$1:$B$304,2,0)-1</f>
        <v>168</v>
      </c>
      <c r="G9" s="34">
        <v>10</v>
      </c>
      <c r="H9" s="35">
        <v>250000</v>
      </c>
      <c r="I9" s="35">
        <f t="shared" ref="I9:I15" si="0">H9*G9</f>
        <v>2500000</v>
      </c>
      <c r="J9" s="36">
        <f t="shared" ref="J9:J15" si="1">((H9*(1+SUM(D9:E9)))/F9)</f>
        <v>1860.1190476190477</v>
      </c>
      <c r="K9" s="36">
        <f t="shared" ref="K9:K15" si="2">(J9*(1+F9*0.0431%))</f>
        <v>1994.8065476190477</v>
      </c>
      <c r="L9" s="35">
        <f t="shared" ref="L9:L15" si="3">J9*G9</f>
        <v>18601.190476190477</v>
      </c>
      <c r="M9" s="35">
        <f t="shared" ref="M9:M15" si="4">K9*G9</f>
        <v>19948.065476190477</v>
      </c>
      <c r="N9" s="37">
        <v>0.35</v>
      </c>
      <c r="O9" s="36">
        <f t="shared" ref="O9:O15" si="5">((N9*($H9*(1+D9+E9)))*$Q$1)</f>
        <v>104166.71814938693</v>
      </c>
      <c r="P9" s="35">
        <f t="shared" ref="P9:P15" si="6">O9*G9</f>
        <v>1041667.1814938693</v>
      </c>
      <c r="Q9" s="37">
        <v>0.15</v>
      </c>
      <c r="R9" s="36">
        <f t="shared" ref="R9:R15" si="7">((Q9*($H9*(1+D9+E9)))*$Q$1)</f>
        <v>44642.879206880112</v>
      </c>
      <c r="S9" s="35">
        <f t="shared" ref="S9:S15" si="8">R9*G9</f>
        <v>446428.79206880112</v>
      </c>
      <c r="T9" s="37">
        <f t="shared" ref="T9:T15" si="9">(N9+Q9)</f>
        <v>0.5</v>
      </c>
      <c r="U9" s="35">
        <f t="shared" ref="U9:U15" si="10">(I9)-S9</f>
        <v>2053571.2079311989</v>
      </c>
      <c r="V9" s="36">
        <f t="shared" ref="V9:V15" si="11">((($H9*(1+D9+E9))-(O9+R9)-J9)/($F9-1))</f>
        <v>969.0436143479875</v>
      </c>
      <c r="W9" s="36">
        <f t="shared" ref="W9:W15" si="12">(V9*(1+($F9-1)*0.1252%))</f>
        <v>1171.6551294103222</v>
      </c>
      <c r="X9" s="35">
        <f t="shared" ref="X9:X15" si="13">V9*G9</f>
        <v>9690.4361434798757</v>
      </c>
    </row>
    <row r="10" spans="1:26" x14ac:dyDescent="0.3">
      <c r="B10" s="78">
        <f>D10/F10</f>
        <v>1.2048192771084338E-3</v>
      </c>
      <c r="C10" s="32">
        <v>3063</v>
      </c>
      <c r="D10" s="33">
        <v>0.2</v>
      </c>
      <c r="E10" s="33">
        <v>0.05</v>
      </c>
      <c r="F10" s="32">
        <f>VLOOKUP(C10,Tabela!$A$1:$B$304,2,0)-1</f>
        <v>166</v>
      </c>
      <c r="G10" s="34">
        <v>10</v>
      </c>
      <c r="H10" s="35">
        <v>250000</v>
      </c>
      <c r="I10" s="35">
        <f t="shared" si="0"/>
        <v>2500000</v>
      </c>
      <c r="J10" s="36">
        <f t="shared" si="1"/>
        <v>1882.5301204819277</v>
      </c>
      <c r="K10" s="36">
        <f t="shared" si="2"/>
        <v>2017.217620481928</v>
      </c>
      <c r="L10" s="35">
        <f t="shared" si="3"/>
        <v>18825.301204819276</v>
      </c>
      <c r="M10" s="35">
        <f t="shared" si="4"/>
        <v>20172.17620481928</v>
      </c>
      <c r="N10" s="37">
        <v>0.35</v>
      </c>
      <c r="O10" s="36">
        <f t="shared" si="5"/>
        <v>104166.71814938693</v>
      </c>
      <c r="P10" s="35">
        <f t="shared" si="6"/>
        <v>1041667.1814938693</v>
      </c>
      <c r="Q10" s="37">
        <v>0.15</v>
      </c>
      <c r="R10" s="36">
        <f t="shared" si="7"/>
        <v>44642.879206880112</v>
      </c>
      <c r="S10" s="35">
        <f t="shared" si="8"/>
        <v>446428.79206880112</v>
      </c>
      <c r="T10" s="37">
        <f t="shared" si="9"/>
        <v>0.5</v>
      </c>
      <c r="U10" s="35">
        <f t="shared" si="10"/>
        <v>2053571.2079311989</v>
      </c>
      <c r="V10" s="36">
        <f t="shared" si="11"/>
        <v>980.65377286818796</v>
      </c>
      <c r="W10" s="36">
        <f t="shared" si="12"/>
        <v>1183.2372292672983</v>
      </c>
      <c r="X10" s="35">
        <f t="shared" si="13"/>
        <v>9806.5377286818803</v>
      </c>
    </row>
    <row r="11" spans="1:26" x14ac:dyDescent="0.3">
      <c r="B11" s="78">
        <f>D11/F11</f>
        <v>1.3986013986013986E-3</v>
      </c>
      <c r="C11" s="79">
        <v>3040</v>
      </c>
      <c r="D11" s="33">
        <v>0.2</v>
      </c>
      <c r="E11" s="33">
        <v>0.05</v>
      </c>
      <c r="F11" s="32">
        <f>VLOOKUP(C11,Tabela!$A$1:$B$304,2,0)-1</f>
        <v>143</v>
      </c>
      <c r="G11" s="34">
        <v>10</v>
      </c>
      <c r="H11" s="35">
        <v>542008.21</v>
      </c>
      <c r="I11" s="35">
        <f t="shared" si="0"/>
        <v>5420082.0999999996</v>
      </c>
      <c r="J11" s="36">
        <f t="shared" si="1"/>
        <v>4737.8340034965031</v>
      </c>
      <c r="K11" s="36">
        <f t="shared" si="2"/>
        <v>5029.8409266340032</v>
      </c>
      <c r="L11" s="35">
        <f t="shared" si="3"/>
        <v>47378.340034965033</v>
      </c>
      <c r="M11" s="35">
        <f t="shared" si="4"/>
        <v>50298.40926634003</v>
      </c>
      <c r="N11" s="37">
        <v>0.4</v>
      </c>
      <c r="O11" s="36">
        <f t="shared" si="5"/>
        <v>258099.27518045128</v>
      </c>
      <c r="P11" s="35">
        <f t="shared" si="6"/>
        <v>2580992.7518045129</v>
      </c>
      <c r="Q11" s="37">
        <v>0.2</v>
      </c>
      <c r="R11" s="36">
        <f t="shared" si="7"/>
        <v>129049.63759022564</v>
      </c>
      <c r="S11" s="35">
        <f t="shared" si="8"/>
        <v>1290496.3759022565</v>
      </c>
      <c r="T11" s="37">
        <f t="shared" si="9"/>
        <v>0.60000000000000009</v>
      </c>
      <c r="U11" s="35">
        <f t="shared" si="10"/>
        <v>4129585.7240977432</v>
      </c>
      <c r="V11" s="36">
        <f t="shared" si="11"/>
        <v>2011.4332093368066</v>
      </c>
      <c r="W11" s="36">
        <f t="shared" si="12"/>
        <v>2369.0338510255415</v>
      </c>
      <c r="X11" s="35">
        <f t="shared" si="13"/>
        <v>20114.332093368066</v>
      </c>
    </row>
    <row r="12" spans="1:26" x14ac:dyDescent="0.3">
      <c r="B12" s="78">
        <f>D12/F12</f>
        <v>1.2195121951219512E-3</v>
      </c>
      <c r="C12" s="79">
        <v>3061</v>
      </c>
      <c r="D12" s="33">
        <v>0.2</v>
      </c>
      <c r="E12" s="33">
        <v>0.05</v>
      </c>
      <c r="F12" s="32">
        <f>VLOOKUP(C12,Tabela!$A$1:$B$304,2,0)-1</f>
        <v>164</v>
      </c>
      <c r="G12" s="34">
        <v>10</v>
      </c>
      <c r="H12" s="35">
        <v>542008.21</v>
      </c>
      <c r="I12" s="35">
        <f t="shared" si="0"/>
        <v>5420082.0999999996</v>
      </c>
      <c r="J12" s="36">
        <f t="shared" si="1"/>
        <v>4131.1601371951219</v>
      </c>
      <c r="K12" s="36">
        <f t="shared" si="2"/>
        <v>4423.167060332622</v>
      </c>
      <c r="L12" s="35">
        <f t="shared" si="3"/>
        <v>41311.601371951219</v>
      </c>
      <c r="M12" s="35">
        <f t="shared" si="4"/>
        <v>44231.670603326216</v>
      </c>
      <c r="N12" s="37">
        <v>0.4</v>
      </c>
      <c r="O12" s="36">
        <f t="shared" si="5"/>
        <v>258099.27518045128</v>
      </c>
      <c r="P12" s="35">
        <f t="shared" si="6"/>
        <v>2580992.7518045129</v>
      </c>
      <c r="Q12" s="37">
        <v>0.2</v>
      </c>
      <c r="R12" s="36">
        <f t="shared" si="7"/>
        <v>129049.63759022564</v>
      </c>
      <c r="S12" s="35">
        <f t="shared" si="8"/>
        <v>1290496.3759022565</v>
      </c>
      <c r="T12" s="37">
        <f t="shared" si="9"/>
        <v>0.60000000000000009</v>
      </c>
      <c r="U12" s="35">
        <f t="shared" si="10"/>
        <v>4129585.7240977432</v>
      </c>
      <c r="V12" s="36">
        <f t="shared" si="11"/>
        <v>1756.0134330805395</v>
      </c>
      <c r="W12" s="36">
        <f t="shared" si="12"/>
        <v>2114.3736304498834</v>
      </c>
      <c r="X12" s="35">
        <f t="shared" si="13"/>
        <v>17560.134330805395</v>
      </c>
    </row>
    <row r="13" spans="1:26" x14ac:dyDescent="0.3">
      <c r="A13" s="48"/>
      <c r="B13" s="78">
        <f>D13/F13</f>
        <v>1.3698630136986301E-3</v>
      </c>
      <c r="C13" s="79">
        <v>3048</v>
      </c>
      <c r="D13" s="33">
        <v>0.2</v>
      </c>
      <c r="E13" s="33">
        <v>0.05</v>
      </c>
      <c r="F13" s="32">
        <f>VLOOKUP(C13,Tabela!$A$1:$B$304,2,0)-1</f>
        <v>146</v>
      </c>
      <c r="G13" s="34">
        <v>10</v>
      </c>
      <c r="H13" s="35">
        <v>539528.39</v>
      </c>
      <c r="I13" s="35">
        <f t="shared" si="0"/>
        <v>5395283.9000000004</v>
      </c>
      <c r="J13" s="36">
        <f t="shared" si="1"/>
        <v>4619.2499143835621</v>
      </c>
      <c r="K13" s="36">
        <f t="shared" si="2"/>
        <v>4909.9208344960625</v>
      </c>
      <c r="L13" s="35">
        <f t="shared" si="3"/>
        <v>46192.499143835623</v>
      </c>
      <c r="M13" s="35">
        <f t="shared" si="4"/>
        <v>49099.208344960629</v>
      </c>
      <c r="N13" s="37">
        <v>0.4</v>
      </c>
      <c r="O13" s="36">
        <f t="shared" si="5"/>
        <v>256918.40793016006</v>
      </c>
      <c r="P13" s="35">
        <f t="shared" si="6"/>
        <v>2569184.0793016003</v>
      </c>
      <c r="Q13" s="37">
        <v>0.2</v>
      </c>
      <c r="R13" s="36">
        <f t="shared" si="7"/>
        <v>128459.20396508003</v>
      </c>
      <c r="S13" s="35">
        <f t="shared" si="8"/>
        <v>1284592.0396508002</v>
      </c>
      <c r="T13" s="37">
        <f t="shared" si="9"/>
        <v>0.60000000000000009</v>
      </c>
      <c r="U13" s="35">
        <f t="shared" si="10"/>
        <v>4110691.8603492002</v>
      </c>
      <c r="V13" s="36">
        <f t="shared" si="11"/>
        <v>1961.4732806232855</v>
      </c>
      <c r="W13" s="36">
        <f t="shared" si="12"/>
        <v>2317.5591399876366</v>
      </c>
      <c r="X13" s="35">
        <f t="shared" si="13"/>
        <v>19614.732806232856</v>
      </c>
    </row>
    <row r="14" spans="1:26" x14ac:dyDescent="0.3">
      <c r="A14" s="48"/>
      <c r="B14" s="78"/>
      <c r="C14" s="79">
        <v>3060</v>
      </c>
      <c r="D14" s="33">
        <v>0.2</v>
      </c>
      <c r="E14" s="33">
        <v>0.05</v>
      </c>
      <c r="F14" s="32">
        <f>VLOOKUP(C14,Tabela!$A$1:$B$304,2,0)-1</f>
        <v>156</v>
      </c>
      <c r="G14" s="34">
        <v>10</v>
      </c>
      <c r="H14" s="35">
        <v>519840.5</v>
      </c>
      <c r="I14" s="35">
        <f t="shared" si="0"/>
        <v>5198405</v>
      </c>
      <c r="J14" s="36">
        <f t="shared" si="1"/>
        <v>4165.3886217948721</v>
      </c>
      <c r="K14" s="36">
        <f t="shared" si="2"/>
        <v>4445.4526911698722</v>
      </c>
      <c r="L14" s="35">
        <f t="shared" si="3"/>
        <v>41653.886217948719</v>
      </c>
      <c r="M14" s="35">
        <f t="shared" si="4"/>
        <v>44454.526911698718</v>
      </c>
      <c r="N14" s="37">
        <v>0.4</v>
      </c>
      <c r="O14" s="36">
        <f t="shared" si="5"/>
        <v>247543.21758233773</v>
      </c>
      <c r="P14" s="35">
        <f t="shared" si="6"/>
        <v>2475432.1758233774</v>
      </c>
      <c r="Q14" s="37">
        <v>0.2</v>
      </c>
      <c r="R14" s="36">
        <f t="shared" si="7"/>
        <v>123771.60879116887</v>
      </c>
      <c r="S14" s="35">
        <f t="shared" si="8"/>
        <v>1237716.0879116887</v>
      </c>
      <c r="T14" s="37">
        <f t="shared" si="9"/>
        <v>0.60000000000000009</v>
      </c>
      <c r="U14" s="35">
        <f t="shared" si="10"/>
        <v>3960688.9120883113</v>
      </c>
      <c r="V14" s="36">
        <f t="shared" si="11"/>
        <v>1769.8090968045069</v>
      </c>
      <c r="W14" s="36">
        <f t="shared" si="12"/>
        <v>2113.2582501303891</v>
      </c>
      <c r="X14" s="35">
        <f t="shared" si="13"/>
        <v>17698.090968045068</v>
      </c>
    </row>
    <row r="15" spans="1:26" x14ac:dyDescent="0.3">
      <c r="B15" s="31"/>
      <c r="C15" s="32">
        <v>3064</v>
      </c>
      <c r="D15" s="33">
        <v>0.2</v>
      </c>
      <c r="E15" s="33">
        <v>0.05</v>
      </c>
      <c r="F15" s="32">
        <f>VLOOKUP(C15,Tabela!$A$1:$B$304,2,0)-1</f>
        <v>168</v>
      </c>
      <c r="G15" s="34">
        <v>10</v>
      </c>
      <c r="H15" s="35">
        <v>600000</v>
      </c>
      <c r="I15" s="35">
        <f t="shared" si="0"/>
        <v>6000000</v>
      </c>
      <c r="J15" s="36">
        <f t="shared" si="1"/>
        <v>4464.2857142857147</v>
      </c>
      <c r="K15" s="36">
        <f t="shared" si="2"/>
        <v>4787.5357142857147</v>
      </c>
      <c r="L15" s="35">
        <f t="shared" si="3"/>
        <v>44642.857142857145</v>
      </c>
      <c r="M15" s="35">
        <f t="shared" si="4"/>
        <v>47875.357142857145</v>
      </c>
      <c r="N15" s="37">
        <v>0.4</v>
      </c>
      <c r="O15" s="36">
        <f t="shared" si="5"/>
        <v>285714.42692403274</v>
      </c>
      <c r="P15" s="35">
        <f t="shared" si="6"/>
        <v>2857144.2692403272</v>
      </c>
      <c r="Q15" s="37">
        <v>0.2</v>
      </c>
      <c r="R15" s="36">
        <f t="shared" si="7"/>
        <v>142857.21346201637</v>
      </c>
      <c r="S15" s="35">
        <f t="shared" si="8"/>
        <v>1428572.1346201636</v>
      </c>
      <c r="T15" s="37">
        <f t="shared" si="9"/>
        <v>0.60000000000000009</v>
      </c>
      <c r="U15" s="35">
        <f t="shared" si="10"/>
        <v>4571427.8653798364</v>
      </c>
      <c r="V15" s="36">
        <f t="shared" si="11"/>
        <v>1897.9884664650608</v>
      </c>
      <c r="W15" s="36">
        <f t="shared" si="12"/>
        <v>2294.8274869874417</v>
      </c>
      <c r="X15" s="35">
        <f t="shared" si="13"/>
        <v>18979.884664650606</v>
      </c>
    </row>
    <row r="16" spans="1:26" ht="15" customHeight="1" x14ac:dyDescent="0.3">
      <c r="B16" s="75"/>
      <c r="C16" s="39" t="s">
        <v>43</v>
      </c>
      <c r="D16" s="76">
        <f>SUMPRODUCT(B9:B13,G9:G13)/SUM(G9:G13)</f>
        <v>1.276654415001321E-3</v>
      </c>
      <c r="E16" s="38"/>
      <c r="F16" s="39" t="s">
        <v>22</v>
      </c>
      <c r="G16" s="40">
        <f t="shared" ref="G16:M16" si="14">SUM(G9:G15)</f>
        <v>70</v>
      </c>
      <c r="H16" s="41">
        <f t="shared" si="14"/>
        <v>3243385.31</v>
      </c>
      <c r="I16" s="41">
        <f t="shared" si="14"/>
        <v>32433853.100000001</v>
      </c>
      <c r="J16" s="42">
        <f t="shared" si="14"/>
        <v>25860.56755925675</v>
      </c>
      <c r="K16" s="42">
        <f t="shared" si="14"/>
        <v>27607.94139501925</v>
      </c>
      <c r="L16" s="41">
        <f t="shared" si="14"/>
        <v>258605.67559256748</v>
      </c>
      <c r="M16" s="41">
        <f t="shared" si="14"/>
        <v>276079.41395019251</v>
      </c>
      <c r="N16" s="43">
        <f>SUMPRODUCT(H9:H15,N9:N15)/H16</f>
        <v>0.39229200430706768</v>
      </c>
      <c r="O16" s="42">
        <f>SUM(O9:O15)</f>
        <v>1514708.0390962069</v>
      </c>
      <c r="P16" s="41">
        <f>SUM(P9:P15)</f>
        <v>15147080.39096207</v>
      </c>
      <c r="Q16" s="43">
        <f>SUMPRODUCT(H9:H15,Q9:Q15)/H16</f>
        <v>0.19229200430706767</v>
      </c>
      <c r="R16" s="42">
        <f>SUM(R9:R15)</f>
        <v>742473.05981247686</v>
      </c>
      <c r="S16" s="41">
        <f>SUM(S9:S15)</f>
        <v>7424730.5981247677</v>
      </c>
      <c r="T16" s="43">
        <f>Q16+N16</f>
        <v>0.5845840086141354</v>
      </c>
      <c r="U16" s="41">
        <f>SUM(U9:U15)</f>
        <v>25009122.501875233</v>
      </c>
      <c r="V16" s="42">
        <f>SUM(V9:V15)</f>
        <v>11346.414873526373</v>
      </c>
      <c r="W16" s="42">
        <f>SUM(W9:W15)</f>
        <v>13563.944717258513</v>
      </c>
      <c r="X16" s="41">
        <f>SUM(X9:X15)</f>
        <v>113464.14873526376</v>
      </c>
    </row>
    <row r="17" spans="1:26" x14ac:dyDescent="0.3">
      <c r="B17" s="75"/>
      <c r="H17" s="44"/>
      <c r="I17" s="44"/>
      <c r="J17" s="44"/>
      <c r="K17" s="44"/>
      <c r="L17" s="44"/>
      <c r="M17" s="44"/>
      <c r="N17" s="7"/>
      <c r="O17" s="44"/>
      <c r="P17" s="44"/>
      <c r="Q17" s="7"/>
      <c r="R17" s="44"/>
      <c r="S17" s="44"/>
      <c r="U17" s="44"/>
      <c r="V17" s="44"/>
      <c r="W17" s="44"/>
    </row>
    <row r="18" spans="1:26" ht="21.6" thickBot="1" x14ac:dyDescent="0.45">
      <c r="B18" s="31"/>
      <c r="C18" s="45" t="s">
        <v>30</v>
      </c>
      <c r="N18" s="44"/>
    </row>
    <row r="19" spans="1:26" x14ac:dyDescent="0.3">
      <c r="C19" s="17"/>
      <c r="D19" s="17"/>
      <c r="E19" s="17"/>
      <c r="F19" s="17"/>
      <c r="G19" s="17"/>
      <c r="H19" s="20"/>
      <c r="I19" s="20"/>
      <c r="J19" s="20"/>
      <c r="K19" s="46"/>
      <c r="L19" s="20"/>
      <c r="M19" s="20"/>
      <c r="N19" s="21"/>
      <c r="O19" s="22"/>
      <c r="P19" s="22"/>
      <c r="Q19" s="23"/>
      <c r="R19" s="24"/>
      <c r="S19" s="24"/>
      <c r="T19" s="25"/>
      <c r="U19" s="25"/>
      <c r="V19" s="25"/>
      <c r="W19" s="25"/>
      <c r="X19" s="25"/>
      <c r="Z19" s="26"/>
    </row>
    <row r="20" spans="1:26" x14ac:dyDescent="0.3">
      <c r="C20" s="123" t="s">
        <v>31</v>
      </c>
      <c r="D20" s="123"/>
      <c r="E20" s="137">
        <f>I16</f>
        <v>32433853.100000001</v>
      </c>
      <c r="F20" s="137"/>
      <c r="G20" s="47"/>
      <c r="H20" s="74"/>
      <c r="I20" s="49"/>
      <c r="L20" s="49"/>
      <c r="N20" s="44"/>
      <c r="P20" s="44"/>
      <c r="Z20" s="50"/>
    </row>
    <row r="21" spans="1:26" x14ac:dyDescent="0.3">
      <c r="C21" s="145" t="s">
        <v>4</v>
      </c>
      <c r="D21" s="145"/>
      <c r="E21" s="146">
        <f>L16</f>
        <v>258605.67559256748</v>
      </c>
      <c r="F21" s="146"/>
      <c r="G21" s="51"/>
      <c r="H21" s="74"/>
      <c r="L21" s="49"/>
      <c r="N21"/>
      <c r="P21" s="44"/>
    </row>
    <row r="22" spans="1:26" ht="16.5" customHeight="1" x14ac:dyDescent="0.3">
      <c r="C22" s="52"/>
      <c r="D22" s="52"/>
      <c r="E22" s="51"/>
      <c r="F22" s="51"/>
      <c r="G22" s="51"/>
      <c r="H22" s="74"/>
    </row>
    <row r="23" spans="1:26" ht="15.75" customHeight="1" x14ac:dyDescent="0.3">
      <c r="C23" s="123" t="s">
        <v>32</v>
      </c>
      <c r="D23" s="123"/>
      <c r="E23" s="132">
        <f>P16+S16</f>
        <v>22571810.989086837</v>
      </c>
      <c r="F23" s="132"/>
      <c r="G23" s="53"/>
      <c r="H23" s="74"/>
      <c r="I23" s="64"/>
      <c r="J23" s="64"/>
    </row>
    <row r="24" spans="1:26" ht="15.6" x14ac:dyDescent="0.3">
      <c r="C24" s="140" t="s">
        <v>33</v>
      </c>
      <c r="D24" s="140"/>
      <c r="E24" s="141">
        <f>P16</f>
        <v>15147080.39096207</v>
      </c>
      <c r="F24" s="141"/>
      <c r="G24" s="53"/>
      <c r="H24" s="74">
        <f>E24/E27</f>
        <v>0.60566220945282312</v>
      </c>
      <c r="I24" s="83">
        <f>E20*(1+D9+E9)</f>
        <v>40542316.375</v>
      </c>
      <c r="J24" s="64"/>
      <c r="L24" s="54"/>
      <c r="M24" s="54"/>
      <c r="N24" s="54"/>
    </row>
    <row r="25" spans="1:26" x14ac:dyDescent="0.3">
      <c r="C25" s="140" t="s">
        <v>34</v>
      </c>
      <c r="D25" s="140"/>
      <c r="E25" s="141">
        <f>S16</f>
        <v>7424730.5981247677</v>
      </c>
      <c r="F25" s="141"/>
      <c r="G25" s="53"/>
      <c r="I25" s="49">
        <f>I24-E24-E25-E21</f>
        <v>17711899.710320592</v>
      </c>
      <c r="M25"/>
      <c r="S25"/>
    </row>
    <row r="26" spans="1:26" ht="6.9" customHeight="1" x14ac:dyDescent="0.3">
      <c r="C26" s="51"/>
      <c r="D26" s="51"/>
      <c r="E26" s="51"/>
      <c r="F26" s="51"/>
      <c r="G26" s="51"/>
      <c r="I26" s="1"/>
      <c r="L26"/>
      <c r="M26"/>
    </row>
    <row r="27" spans="1:26" ht="15" customHeight="1" x14ac:dyDescent="0.3">
      <c r="C27" s="123" t="s">
        <v>35</v>
      </c>
      <c r="D27" s="123"/>
      <c r="E27" s="124">
        <f>U16</f>
        <v>25009122.501875233</v>
      </c>
      <c r="F27" s="125"/>
      <c r="G27" s="51"/>
      <c r="H27" s="82"/>
      <c r="I27" s="13"/>
    </row>
    <row r="28" spans="1:26" x14ac:dyDescent="0.3">
      <c r="C28" s="140" t="s">
        <v>36</v>
      </c>
      <c r="D28" s="140"/>
      <c r="E28" s="141">
        <f>X16</f>
        <v>113464.14873526376</v>
      </c>
      <c r="F28" s="141"/>
      <c r="G28" s="51"/>
      <c r="H28" s="65"/>
      <c r="I28" s="13"/>
    </row>
    <row r="29" spans="1:26" ht="6.75" customHeight="1" x14ac:dyDescent="0.3">
      <c r="I29" s="55"/>
    </row>
    <row r="30" spans="1:26" x14ac:dyDescent="0.3">
      <c r="A30" s="2"/>
      <c r="C30" s="56" t="s">
        <v>37</v>
      </c>
      <c r="N30" s="44"/>
      <c r="S30" s="57"/>
      <c r="X30" s="57"/>
    </row>
    <row r="31" spans="1:26" ht="5.25" hidden="1" customHeight="1" x14ac:dyDescent="0.3">
      <c r="A31" s="2"/>
    </row>
    <row r="33" spans="3:26" ht="21.6" thickBot="1" x14ac:dyDescent="0.45">
      <c r="C33" s="45" t="s">
        <v>38</v>
      </c>
      <c r="N33" s="44"/>
    </row>
    <row r="34" spans="3:26" x14ac:dyDescent="0.3">
      <c r="C34" s="17"/>
      <c r="D34" s="17"/>
      <c r="E34" s="17"/>
      <c r="F34" s="17"/>
      <c r="G34" s="17"/>
      <c r="H34" s="20"/>
      <c r="I34" s="20"/>
      <c r="J34" s="21"/>
      <c r="K34" s="46"/>
      <c r="L34" s="20"/>
      <c r="M34" s="20"/>
      <c r="N34" s="21"/>
      <c r="O34" s="22"/>
      <c r="P34" s="22"/>
      <c r="Q34" s="23"/>
      <c r="R34" s="24"/>
      <c r="S34" s="24"/>
      <c r="T34" s="25"/>
      <c r="U34" s="25"/>
      <c r="V34" s="25"/>
      <c r="W34" s="25"/>
      <c r="X34" s="25"/>
      <c r="Z34" s="26"/>
    </row>
    <row r="59" spans="3:24" ht="25.5" customHeight="1" thickBot="1" x14ac:dyDescent="0.35">
      <c r="C59" s="56" t="s">
        <v>39</v>
      </c>
    </row>
    <row r="60" spans="3:24" x14ac:dyDescent="0.3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9"/>
      <c r="R60" s="59"/>
      <c r="S60" s="59"/>
      <c r="T60" s="59"/>
      <c r="U60" s="25"/>
      <c r="V60" s="25"/>
      <c r="W60" s="25"/>
      <c r="X60" s="25"/>
    </row>
    <row r="61" spans="3:24" ht="15.6" x14ac:dyDescent="0.3">
      <c r="D61" s="60"/>
      <c r="E61" s="60"/>
      <c r="F61" s="142" t="s">
        <v>40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61"/>
    </row>
    <row r="62" spans="3:24" x14ac:dyDescent="0.3">
      <c r="D62" s="61"/>
      <c r="E62" s="61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61"/>
    </row>
    <row r="63" spans="3:24" x14ac:dyDescent="0.3">
      <c r="D63" s="61"/>
      <c r="E63" s="61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61"/>
    </row>
    <row r="64" spans="3:24" ht="21" customHeight="1" x14ac:dyDescent="0.3">
      <c r="C64" s="61"/>
      <c r="D64" s="61"/>
      <c r="E64" s="61"/>
      <c r="F64" s="61"/>
      <c r="Q64" s="61"/>
      <c r="R64" s="61"/>
      <c r="S64" s="61"/>
      <c r="T64" s="61"/>
      <c r="X64" s="62"/>
    </row>
    <row r="65" spans="3:24" x14ac:dyDescent="0.3">
      <c r="C65" s="61"/>
      <c r="D65" s="61"/>
      <c r="E65" s="61"/>
      <c r="F65" s="61"/>
      <c r="X65" s="62"/>
    </row>
    <row r="66" spans="3:24" ht="21.6" thickBot="1" x14ac:dyDescent="0.45">
      <c r="C66" s="45" t="s">
        <v>38</v>
      </c>
      <c r="N66" s="44"/>
    </row>
    <row r="67" spans="3:24" x14ac:dyDescent="0.3">
      <c r="C67" s="17"/>
      <c r="D67" s="17"/>
      <c r="E67" s="17"/>
      <c r="F67" s="17"/>
      <c r="G67" s="17"/>
      <c r="H67" s="20"/>
      <c r="I67" s="20"/>
      <c r="J67" s="20"/>
      <c r="K67" s="46"/>
      <c r="L67" s="20"/>
      <c r="M67" s="20"/>
      <c r="N67" s="21"/>
      <c r="O67" s="22"/>
      <c r="P67" s="22"/>
      <c r="Q67" s="23"/>
      <c r="R67" s="24"/>
      <c r="S67" s="24"/>
      <c r="T67" s="25"/>
      <c r="U67" s="25"/>
      <c r="V67" s="25"/>
      <c r="W67" s="25"/>
      <c r="X67" s="25"/>
    </row>
    <row r="68" spans="3:24" x14ac:dyDescent="0.3">
      <c r="C68" s="80" t="s">
        <v>47</v>
      </c>
    </row>
    <row r="117" spans="3:24" ht="15" thickBot="1" x14ac:dyDescent="0.35">
      <c r="C117" s="56" t="s">
        <v>39</v>
      </c>
    </row>
    <row r="118" spans="3:24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59"/>
      <c r="S118" s="59"/>
      <c r="T118" s="59"/>
      <c r="U118" s="25"/>
      <c r="V118" s="25"/>
      <c r="W118" s="25"/>
      <c r="X118" s="25"/>
    </row>
    <row r="119" spans="3:24" ht="15.6" x14ac:dyDescent="0.3">
      <c r="D119" s="60"/>
      <c r="E119" s="60"/>
      <c r="F119" s="142" t="s">
        <v>40</v>
      </c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61"/>
    </row>
    <row r="120" spans="3:24" x14ac:dyDescent="0.3">
      <c r="D120" s="61"/>
      <c r="E120" s="61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61"/>
    </row>
    <row r="121" spans="3:24" x14ac:dyDescent="0.3">
      <c r="D121" s="61"/>
      <c r="E121" s="61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61"/>
    </row>
    <row r="122" spans="3:24" ht="21" customHeight="1" x14ac:dyDescent="0.3">
      <c r="C122" s="61"/>
      <c r="D122" s="61"/>
      <c r="E122" s="61"/>
      <c r="F122" s="61"/>
      <c r="Q122" s="61"/>
      <c r="R122" s="61"/>
      <c r="S122" s="61"/>
      <c r="T122" s="61"/>
      <c r="X122" s="63"/>
    </row>
  </sheetData>
  <mergeCells count="29">
    <mergeCell ref="C23:D23"/>
    <mergeCell ref="E23:F23"/>
    <mergeCell ref="J7:J8"/>
    <mergeCell ref="L7:L8"/>
    <mergeCell ref="N7:P7"/>
    <mergeCell ref="C7:C8"/>
    <mergeCell ref="D7:D8"/>
    <mergeCell ref="E7:E8"/>
    <mergeCell ref="F7:F8"/>
    <mergeCell ref="G7:G8"/>
    <mergeCell ref="H7:I7"/>
    <mergeCell ref="X7:X8"/>
    <mergeCell ref="C20:D20"/>
    <mergeCell ref="E20:F20"/>
    <mergeCell ref="C21:D21"/>
    <mergeCell ref="E21:F21"/>
    <mergeCell ref="Q7:S7"/>
    <mergeCell ref="T7:T8"/>
    <mergeCell ref="U7:U8"/>
    <mergeCell ref="C28:D28"/>
    <mergeCell ref="E28:F28"/>
    <mergeCell ref="F61:S63"/>
    <mergeCell ref="F119:S121"/>
    <mergeCell ref="C24:D24"/>
    <mergeCell ref="E24:F24"/>
    <mergeCell ref="C25:D25"/>
    <mergeCell ref="E25:F25"/>
    <mergeCell ref="C27:D27"/>
    <mergeCell ref="E27:F27"/>
  </mergeCells>
  <pageMargins left="0.23622047244094491" right="0.23622047244094491" top="0.59055118110236227" bottom="0.59055118110236227" header="0.31496062992125984" footer="0.31496062992125984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Tabela</vt:lpstr>
      <vt:lpstr>Imovel Geral</vt:lpstr>
      <vt:lpstr>IMOVEL ATÉ 55% LANCE</vt:lpstr>
      <vt:lpstr>IMOVEL ACIMA DE 5 CONTEMP.</vt:lpstr>
      <vt:lpstr>GRUPOS TOP LIMITADO A 60%</vt:lpstr>
      <vt:lpstr>PESADOS</vt:lpstr>
      <vt:lpstr>AUTOS GERAL</vt:lpstr>
      <vt:lpstr>AUTOS TOP</vt:lpstr>
      <vt:lpstr>10MM (3)</vt:lpstr>
      <vt:lpstr>'10MM (3)'!Area_de_impressao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Magno de Luna (E)</dc:creator>
  <cp:lastModifiedBy>citysistemas@hotmail.com</cp:lastModifiedBy>
  <cp:lastPrinted>2020-05-21T23:05:52Z</cp:lastPrinted>
  <dcterms:created xsi:type="dcterms:W3CDTF">2019-06-28T14:12:54Z</dcterms:created>
  <dcterms:modified xsi:type="dcterms:W3CDTF">2024-05-29T13:53:22Z</dcterms:modified>
</cp:coreProperties>
</file>