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577" documentId="11_75B547CA062413EDA35A25EDDDE4A3358C8ADEC7" xr6:coauthVersionLast="46" xr6:coauthVersionMax="46" xr10:uidLastSave="{6520136C-71F8-4C9A-968F-C8C30DD0ED44}"/>
  <bookViews>
    <workbookView xWindow="-120" yWindow="-120" windowWidth="20730" windowHeight="11160" xr2:uid="{00000000-000D-0000-FFFF-FFFF00000000}"/>
  </bookViews>
  <sheets>
    <sheet name="All" sheetId="9" r:id="rId1"/>
    <sheet name="Rejection_indexe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0" l="1"/>
  <c r="C13" i="10"/>
  <c r="C14" i="10"/>
  <c r="N14" i="10"/>
  <c r="N13" i="10"/>
  <c r="N12" i="10"/>
  <c r="D13" i="10"/>
  <c r="D14" i="10"/>
  <c r="B13" i="10"/>
  <c r="B14" i="10"/>
  <c r="C12" i="10"/>
  <c r="B12" i="10"/>
  <c r="S9" i="10"/>
  <c r="S8" i="10"/>
  <c r="R6" i="10"/>
  <c r="Q6" i="10"/>
  <c r="M14" i="10" s="1"/>
  <c r="P6" i="10"/>
  <c r="O6" i="10"/>
  <c r="N6" i="10"/>
  <c r="M6" i="10"/>
  <c r="R5" i="10"/>
  <c r="Q5" i="10"/>
  <c r="P5" i="10"/>
  <c r="O5" i="10"/>
  <c r="L13" i="10" s="1"/>
  <c r="N5" i="10"/>
  <c r="M5" i="10"/>
  <c r="R4" i="10"/>
  <c r="Q4" i="10"/>
  <c r="P4" i="10"/>
  <c r="O4" i="10"/>
  <c r="M4" i="10"/>
  <c r="I9" i="10"/>
  <c r="G9" i="10"/>
  <c r="E9" i="10"/>
  <c r="C9" i="10"/>
  <c r="I8" i="10"/>
  <c r="G8" i="10"/>
  <c r="E8" i="10"/>
  <c r="C8" i="10"/>
  <c r="F38" i="9"/>
  <c r="E38" i="9"/>
  <c r="D38" i="9"/>
  <c r="C38" i="9"/>
  <c r="F37" i="9"/>
  <c r="E37" i="9"/>
  <c r="D37" i="9"/>
  <c r="C37" i="9"/>
  <c r="S23" i="9"/>
  <c r="T23" i="9"/>
  <c r="S24" i="9"/>
  <c r="T24" i="9"/>
  <c r="S22" i="9"/>
  <c r="T22" i="9"/>
  <c r="E23" i="9"/>
  <c r="O14" i="10" l="1"/>
  <c r="M12" i="10"/>
  <c r="O12" i="10" s="1"/>
  <c r="L14" i="10"/>
  <c r="E14" i="10"/>
  <c r="M13" i="10"/>
  <c r="O13" i="10" s="1"/>
  <c r="O15" i="10" s="1"/>
  <c r="F14" i="10"/>
  <c r="F12" i="10"/>
  <c r="P14" i="10"/>
  <c r="E12" i="10"/>
  <c r="P12" i="10"/>
  <c r="P13" i="10"/>
  <c r="F13" i="10"/>
  <c r="N4" i="10"/>
  <c r="M8" i="10" s="1"/>
  <c r="E13" i="10"/>
  <c r="E16" i="10" s="1"/>
  <c r="O8" i="10"/>
  <c r="O9" i="10"/>
  <c r="L12" i="10"/>
  <c r="Q9" i="10"/>
  <c r="Q8" i="10"/>
  <c r="J29" i="9"/>
  <c r="J15" i="9"/>
  <c r="I15" i="9"/>
  <c r="H15" i="9"/>
  <c r="G15" i="9"/>
  <c r="F15" i="9"/>
  <c r="E15" i="9"/>
  <c r="D15" i="9"/>
  <c r="C15" i="9"/>
  <c r="J14" i="9"/>
  <c r="I14" i="9"/>
  <c r="H14" i="9"/>
  <c r="G14" i="9"/>
  <c r="F14" i="9"/>
  <c r="E14" i="9"/>
  <c r="D14" i="9"/>
  <c r="C14" i="9"/>
  <c r="J13" i="9"/>
  <c r="I13" i="9"/>
  <c r="H13" i="9"/>
  <c r="G13" i="9"/>
  <c r="F13" i="9"/>
  <c r="E13" i="9"/>
  <c r="D13" i="9"/>
  <c r="C13" i="9"/>
  <c r="R15" i="9"/>
  <c r="R24" i="9" s="1"/>
  <c r="Q15" i="9"/>
  <c r="Q24" i="9" s="1"/>
  <c r="P15" i="9"/>
  <c r="P24" i="9" s="1"/>
  <c r="O15" i="9"/>
  <c r="N15" i="9"/>
  <c r="N24" i="9" s="1"/>
  <c r="M15" i="9"/>
  <c r="M24" i="9" s="1"/>
  <c r="S18" i="9"/>
  <c r="R14" i="9"/>
  <c r="R23" i="9" s="1"/>
  <c r="Q14" i="9"/>
  <c r="Q23" i="9" s="1"/>
  <c r="P14" i="9"/>
  <c r="O14" i="9"/>
  <c r="O23" i="9" s="1"/>
  <c r="N14" i="9"/>
  <c r="N23" i="9" s="1"/>
  <c r="M14" i="9"/>
  <c r="M23" i="9" s="1"/>
  <c r="R13" i="9"/>
  <c r="R22" i="9" s="1"/>
  <c r="Q26" i="9" s="1"/>
  <c r="Q13" i="9"/>
  <c r="Q22" i="9" s="1"/>
  <c r="P13" i="9"/>
  <c r="P22" i="9" s="1"/>
  <c r="O13" i="9"/>
  <c r="O22" i="9" s="1"/>
  <c r="M13" i="9"/>
  <c r="S27" i="9"/>
  <c r="S26" i="9"/>
  <c r="I27" i="9"/>
  <c r="G27" i="9"/>
  <c r="E27" i="9"/>
  <c r="C27" i="9"/>
  <c r="I26" i="9"/>
  <c r="G26" i="9"/>
  <c r="E26" i="9"/>
  <c r="C26" i="9"/>
  <c r="S17" i="9"/>
  <c r="S9" i="9"/>
  <c r="Q9" i="9"/>
  <c r="O9" i="9"/>
  <c r="M9" i="9"/>
  <c r="S8" i="9"/>
  <c r="Q8" i="9"/>
  <c r="O8" i="9"/>
  <c r="M8" i="9"/>
  <c r="O16" i="10" l="1"/>
  <c r="P16" i="10"/>
  <c r="M9" i="10"/>
  <c r="P15" i="10"/>
  <c r="F15" i="10"/>
  <c r="F16" i="10"/>
  <c r="E15" i="10"/>
  <c r="Q27" i="9"/>
  <c r="O17" i="9"/>
  <c r="O24" i="9"/>
  <c r="N13" i="9"/>
  <c r="M22" i="9"/>
  <c r="O18" i="9"/>
  <c r="P23" i="9"/>
  <c r="Q17" i="9"/>
  <c r="Q18" i="9"/>
  <c r="I18" i="9"/>
  <c r="G18" i="9"/>
  <c r="E18" i="9"/>
  <c r="C18" i="9"/>
  <c r="I17" i="9"/>
  <c r="G17" i="9"/>
  <c r="E17" i="9"/>
  <c r="C17" i="9"/>
  <c r="I9" i="9"/>
  <c r="I8" i="9"/>
  <c r="G9" i="9"/>
  <c r="G8" i="9"/>
  <c r="E9" i="9"/>
  <c r="E8" i="9"/>
  <c r="C9" i="9"/>
  <c r="C8" i="9"/>
  <c r="O26" i="9" l="1"/>
  <c r="O27" i="9"/>
  <c r="N22" i="9"/>
  <c r="M26" i="9" s="1"/>
  <c r="M18" i="9"/>
  <c r="M17" i="9"/>
  <c r="M27" i="9" l="1"/>
</calcChain>
</file>

<file path=xl/sharedStrings.xml><?xml version="1.0" encoding="utf-8"?>
<sst xmlns="http://schemas.openxmlformats.org/spreadsheetml/2006/main" count="132" uniqueCount="41">
  <si>
    <t>Média</t>
  </si>
  <si>
    <t>DP</t>
  </si>
  <si>
    <t>Lactose (g/L)</t>
  </si>
  <si>
    <t>CW</t>
  </si>
  <si>
    <t>WPC</t>
  </si>
  <si>
    <t>Initial WPP</t>
  </si>
  <si>
    <t>Final WPP</t>
  </si>
  <si>
    <t>Soluble protein (g of BSA/L) - Bradford</t>
  </si>
  <si>
    <t>Total solids (%)</t>
  </si>
  <si>
    <t>Total protein (%) - Kjeldahl</t>
  </si>
  <si>
    <t>Ash (%)</t>
  </si>
  <si>
    <t>Soluble protein (as % of total protein)</t>
  </si>
  <si>
    <t>*blank</t>
  </si>
  <si>
    <t>Fat (%)</t>
  </si>
  <si>
    <t>Init WPP</t>
  </si>
  <si>
    <t>Fin WPP</t>
  </si>
  <si>
    <t>Init Rejec</t>
  </si>
  <si>
    <t>Fin Rejec</t>
  </si>
  <si>
    <t>Mean</t>
  </si>
  <si>
    <t>SD</t>
  </si>
  <si>
    <t>Stat</t>
  </si>
  <si>
    <t>a</t>
  </si>
  <si>
    <t>- 1 -</t>
  </si>
  <si>
    <t>- 2 -</t>
  </si>
  <si>
    <t>---</t>
  </si>
  <si>
    <t>t =</t>
  </si>
  <si>
    <t>p (unilateral) =</t>
  </si>
  <si>
    <t>p (bilateral) =</t>
  </si>
  <si>
    <t>-3.0590 a  7.5124</t>
  </si>
  <si>
    <t>-6.5397 a  10.9930</t>
  </si>
  <si>
    <t>n size =</t>
  </si>
  <si>
    <t>Mean =</t>
  </si>
  <si>
    <t>Variance =</t>
  </si>
  <si>
    <t>Degrees of freedom =</t>
  </si>
  <si>
    <t>Power (0.05)</t>
  </si>
  <si>
    <t>Power (0.01)</t>
  </si>
  <si>
    <t>Difference between mean =</t>
  </si>
  <si>
    <t>IC 95% (Dif. Between mean v.) =</t>
  </si>
  <si>
    <t>IC 99% (Dif. Between mean v.) =</t>
  </si>
  <si>
    <t>-0.1388 a  0.0388</t>
  </si>
  <si>
    <t>-0.1972 a  0.0972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</si>
</sst>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dashDot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2" fontId="0" fillId="8" borderId="0" xfId="0" applyNumberFormat="1" applyFill="1"/>
    <xf numFmtId="16" fontId="2" fillId="8" borderId="0" xfId="0" applyNumberFormat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0" fillId="4" borderId="0" xfId="0" applyFill="1" applyAlignment="1">
      <alignment horizontal="center"/>
    </xf>
    <xf numFmtId="16" fontId="2" fillId="4" borderId="0" xfId="0" applyNumberFormat="1" applyFont="1" applyFill="1" applyAlignment="1">
      <alignment horizontal="right"/>
    </xf>
    <xf numFmtId="164" fontId="0" fillId="4" borderId="0" xfId="0" applyNumberForma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1" fillId="4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16" fontId="2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1" fillId="3" borderId="0" xfId="0" applyFont="1" applyFill="1" applyAlignment="1">
      <alignment horizontal="right"/>
    </xf>
    <xf numFmtId="0" fontId="0" fillId="11" borderId="0" xfId="0" applyFill="1" applyAlignment="1">
      <alignment horizontal="center"/>
    </xf>
    <xf numFmtId="16" fontId="2" fillId="11" borderId="0" xfId="0" applyNumberFormat="1" applyFont="1" applyFill="1" applyAlignment="1">
      <alignment horizontal="right"/>
    </xf>
    <xf numFmtId="164" fontId="0" fillId="11" borderId="0" xfId="0" applyNumberFormat="1" applyFill="1" applyAlignment="1">
      <alignment horizontal="center"/>
    </xf>
    <xf numFmtId="0" fontId="0" fillId="11" borderId="0" xfId="0" applyFill="1"/>
    <xf numFmtId="2" fontId="0" fillId="11" borderId="0" xfId="0" applyNumberFormat="1" applyFill="1"/>
    <xf numFmtId="0" fontId="1" fillId="11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16" fontId="2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1" fillId="2" borderId="0" xfId="0" applyFont="1" applyFill="1" applyAlignment="1">
      <alignment horizontal="right"/>
    </xf>
    <xf numFmtId="0" fontId="0" fillId="6" borderId="0" xfId="0" applyFill="1" applyAlignment="1">
      <alignment horizontal="center"/>
    </xf>
    <xf numFmtId="16" fontId="2" fillId="6" borderId="0" xfId="0" applyNumberFormat="1" applyFont="1" applyFill="1" applyAlignment="1">
      <alignment horizontal="right"/>
    </xf>
    <xf numFmtId="0" fontId="0" fillId="6" borderId="0" xfId="0" applyFill="1"/>
    <xf numFmtId="0" fontId="1" fillId="6" borderId="0" xfId="0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1" fillId="6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0" fontId="0" fillId="6" borderId="0" xfId="1" applyNumberFormat="1" applyFont="1" applyFill="1" applyAlignment="1">
      <alignment horizontal="center"/>
    </xf>
    <xf numFmtId="10" fontId="0" fillId="6" borderId="0" xfId="1" applyNumberFormat="1" applyFont="1" applyFill="1"/>
    <xf numFmtId="164" fontId="0" fillId="0" borderId="0" xfId="0" applyNumberFormat="1"/>
    <xf numFmtId="0" fontId="1" fillId="9" borderId="0" xfId="0" applyFont="1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2" fontId="0" fillId="11" borderId="0" xfId="0" applyNumberForma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0" fontId="0" fillId="6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EEFE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312C-54E5-4F36-8DF1-09B88321EE16}">
  <dimension ref="B2:W38"/>
  <sheetViews>
    <sheetView tabSelected="1" zoomScale="80" zoomScaleNormal="80" workbookViewId="0">
      <selection activeCell="N43" sqref="N43"/>
    </sheetView>
  </sheetViews>
  <sheetFormatPr defaultRowHeight="15" x14ac:dyDescent="0.25"/>
  <cols>
    <col min="1" max="1" width="9.140625" customWidth="1"/>
    <col min="11" max="11" width="9.140625" customWidth="1"/>
  </cols>
  <sheetData>
    <row r="2" spans="2:23" x14ac:dyDescent="0.25">
      <c r="B2" s="47" t="s">
        <v>2</v>
      </c>
      <c r="C2" s="47"/>
      <c r="D2" s="47"/>
      <c r="E2" s="47"/>
      <c r="F2" s="47"/>
      <c r="G2" s="47"/>
      <c r="H2" s="47"/>
      <c r="I2" s="47"/>
      <c r="J2" s="47"/>
      <c r="L2" s="53" t="s">
        <v>7</v>
      </c>
      <c r="M2" s="53"/>
      <c r="N2" s="53"/>
      <c r="O2" s="53"/>
      <c r="P2" s="53"/>
      <c r="Q2" s="53"/>
      <c r="R2" s="53"/>
      <c r="S2" s="53"/>
      <c r="T2" s="53"/>
    </row>
    <row r="3" spans="2:23" x14ac:dyDescent="0.25">
      <c r="B3" s="2"/>
      <c r="C3" s="49" t="s">
        <v>3</v>
      </c>
      <c r="D3" s="49"/>
      <c r="E3" s="49" t="s">
        <v>4</v>
      </c>
      <c r="F3" s="49"/>
      <c r="G3" s="49" t="s">
        <v>5</v>
      </c>
      <c r="H3" s="49"/>
      <c r="I3" s="49" t="s">
        <v>6</v>
      </c>
      <c r="J3" s="49"/>
      <c r="L3" s="13"/>
      <c r="M3" s="54" t="s">
        <v>3</v>
      </c>
      <c r="N3" s="54"/>
      <c r="O3" s="54" t="s">
        <v>4</v>
      </c>
      <c r="P3" s="54"/>
      <c r="Q3" s="54" t="s">
        <v>5</v>
      </c>
      <c r="R3" s="54"/>
      <c r="S3" s="54" t="s">
        <v>6</v>
      </c>
      <c r="T3" s="54"/>
    </row>
    <row r="4" spans="2:23" x14ac:dyDescent="0.25">
      <c r="B4" s="5">
        <v>44551</v>
      </c>
      <c r="C4" s="2">
        <v>40.663780663780656</v>
      </c>
      <c r="D4" s="2">
        <v>40.115440115440116</v>
      </c>
      <c r="E4" s="2">
        <v>53.362193362193366</v>
      </c>
      <c r="F4" s="2">
        <v>44.704184704184712</v>
      </c>
      <c r="G4" s="2">
        <v>34.083694083694084</v>
      </c>
      <c r="H4" s="2">
        <v>36.709956709956714</v>
      </c>
      <c r="I4" s="2">
        <v>35.555555555555557</v>
      </c>
      <c r="J4" s="2">
        <v>35.497835497835496</v>
      </c>
      <c r="L4" s="14">
        <v>44551</v>
      </c>
      <c r="M4" s="15">
        <v>2.8879999999999999</v>
      </c>
      <c r="N4" s="15">
        <v>3.0960000000000001</v>
      </c>
      <c r="O4" s="15">
        <v>5.0659999999999803</v>
      </c>
      <c r="P4" s="15">
        <v>5.1879999999999802</v>
      </c>
      <c r="Q4" s="15">
        <v>0.12640000000000015</v>
      </c>
      <c r="R4" s="15">
        <v>8.8000000000000189E-2</v>
      </c>
      <c r="S4" s="15">
        <v>0.32279999999999875</v>
      </c>
      <c r="T4" s="15">
        <v>0.305999999999998</v>
      </c>
    </row>
    <row r="5" spans="2:23" x14ac:dyDescent="0.25">
      <c r="B5" s="5">
        <v>44552</v>
      </c>
      <c r="C5" s="2">
        <v>44.877344877344882</v>
      </c>
      <c r="D5" s="2">
        <v>47.301587301587304</v>
      </c>
      <c r="E5" s="2">
        <v>50.331890331890328</v>
      </c>
      <c r="F5" s="2">
        <v>53.535353535353536</v>
      </c>
      <c r="G5" s="2">
        <v>36.738816738816737</v>
      </c>
      <c r="H5" s="2">
        <v>39.797979797979799</v>
      </c>
      <c r="I5" s="2">
        <v>36.450216450216445</v>
      </c>
      <c r="J5" s="36">
        <v>40</v>
      </c>
      <c r="L5" s="14">
        <v>44552</v>
      </c>
      <c r="M5" s="15">
        <v>2.8159999999999803</v>
      </c>
      <c r="N5" s="15">
        <v>2.9659999999999997</v>
      </c>
      <c r="O5" s="15">
        <v>5.5299999999999807</v>
      </c>
      <c r="P5" s="15">
        <v>5.5779999999999994</v>
      </c>
      <c r="Q5" s="15">
        <v>0.09</v>
      </c>
      <c r="R5" s="15">
        <v>0.14600000000000041</v>
      </c>
      <c r="S5" s="15">
        <v>0.20799999999999999</v>
      </c>
      <c r="T5" s="15">
        <v>0.31399999999999806</v>
      </c>
    </row>
    <row r="6" spans="2:23" x14ac:dyDescent="0.25">
      <c r="B6" s="5">
        <v>44553</v>
      </c>
      <c r="C6" s="2">
        <v>48.484848484848484</v>
      </c>
      <c r="D6" s="2">
        <v>45.137085137085144</v>
      </c>
      <c r="E6" s="2">
        <v>49.062049062049063</v>
      </c>
      <c r="F6" s="2">
        <v>56.825396825396822</v>
      </c>
      <c r="G6" s="2">
        <v>36.21933621933622</v>
      </c>
      <c r="H6" s="2">
        <v>35.324675324675326</v>
      </c>
      <c r="I6" s="2">
        <v>38.845598845598843</v>
      </c>
      <c r="J6" s="2">
        <v>39.595959595959592</v>
      </c>
      <c r="L6" s="14">
        <v>44553</v>
      </c>
      <c r="M6" s="15">
        <v>3.00799999999998</v>
      </c>
      <c r="N6" s="15">
        <v>3.202</v>
      </c>
      <c r="O6" s="15">
        <v>4.976</v>
      </c>
      <c r="P6" s="15">
        <v>5.0519999999999996</v>
      </c>
      <c r="Q6" s="15">
        <v>0.15</v>
      </c>
      <c r="R6" s="15">
        <v>0.1580000000000002</v>
      </c>
      <c r="S6" s="15">
        <v>0.40599999999999797</v>
      </c>
      <c r="T6" s="15">
        <v>0.38</v>
      </c>
    </row>
    <row r="7" spans="2:23" x14ac:dyDescent="0.25">
      <c r="B7" s="3"/>
      <c r="C7" s="4"/>
      <c r="D7" s="3"/>
      <c r="E7" s="4"/>
      <c r="F7" s="3"/>
      <c r="G7" s="4"/>
      <c r="H7" s="3"/>
      <c r="I7" s="4"/>
      <c r="J7" s="3"/>
      <c r="L7" s="16"/>
      <c r="M7" s="17"/>
      <c r="N7" s="16"/>
      <c r="O7" s="17"/>
      <c r="P7" s="16"/>
      <c r="Q7" s="17"/>
      <c r="R7" s="16"/>
      <c r="S7" s="17"/>
      <c r="T7" s="16"/>
    </row>
    <row r="8" spans="2:23" x14ac:dyDescent="0.25">
      <c r="B8" s="6" t="s">
        <v>0</v>
      </c>
      <c r="C8" s="48">
        <f>AVERAGE(C4:D6)</f>
        <v>44.430014430014431</v>
      </c>
      <c r="D8" s="48"/>
      <c r="E8" s="48">
        <f>AVERAGE(E4:F6)</f>
        <v>51.303511303511307</v>
      </c>
      <c r="F8" s="48"/>
      <c r="G8" s="48">
        <f>AVERAGE(G4:H6)</f>
        <v>36.479076479076475</v>
      </c>
      <c r="H8" s="48"/>
      <c r="I8" s="48">
        <f>AVERAGE(I4:J6)</f>
        <v>37.657527657527652</v>
      </c>
      <c r="J8" s="48"/>
      <c r="L8" s="18" t="s">
        <v>0</v>
      </c>
      <c r="M8" s="55">
        <f>AVERAGE(M4:N6)</f>
        <v>2.9959999999999929</v>
      </c>
      <c r="N8" s="55"/>
      <c r="O8" s="55">
        <f>AVERAGE(O4:P6)</f>
        <v>5.2316666666666567</v>
      </c>
      <c r="P8" s="55"/>
      <c r="Q8" s="55">
        <f>AVERAGE(Q4:R6)</f>
        <v>0.12640000000000015</v>
      </c>
      <c r="R8" s="55"/>
      <c r="S8" s="55">
        <f>AVERAGE(S4:T6)</f>
        <v>0.32279999999999881</v>
      </c>
      <c r="T8" s="55"/>
    </row>
    <row r="9" spans="2:23" x14ac:dyDescent="0.25">
      <c r="B9" s="6" t="s">
        <v>1</v>
      </c>
      <c r="C9" s="48">
        <f>STDEV(C4:D6)</f>
        <v>3.4113848150217665</v>
      </c>
      <c r="D9" s="48"/>
      <c r="E9" s="48">
        <f>STDEV(E4:F6)</f>
        <v>4.2244484406927478</v>
      </c>
      <c r="F9" s="48"/>
      <c r="G9" s="48">
        <f>STDEV(G4:H6)</f>
        <v>1.9117454732097197</v>
      </c>
      <c r="H9" s="48"/>
      <c r="I9" s="48">
        <f>STDEV(I4:J6)</f>
        <v>2.058949513538872</v>
      </c>
      <c r="J9" s="48"/>
      <c r="L9" s="18" t="s">
        <v>1</v>
      </c>
      <c r="M9" s="55">
        <f>STDEV(M4:N6)</f>
        <v>0.13967390593808612</v>
      </c>
      <c r="N9" s="55"/>
      <c r="O9" s="55">
        <f>STDEV(O4:P6)</f>
        <v>0.25920931053236873</v>
      </c>
      <c r="P9" s="55"/>
      <c r="Q9" s="55">
        <f>STDEV(Q4:R6)</f>
        <v>3.0787010247830211E-2</v>
      </c>
      <c r="R9" s="55"/>
      <c r="S9" s="55">
        <f>STDEV(S4:T6)</f>
        <v>6.8895282857391299E-2</v>
      </c>
      <c r="T9" s="55"/>
    </row>
    <row r="11" spans="2:23" x14ac:dyDescent="0.25">
      <c r="B11" s="50" t="s">
        <v>8</v>
      </c>
      <c r="C11" s="50"/>
      <c r="D11" s="50"/>
      <c r="E11" s="50"/>
      <c r="F11" s="50"/>
      <c r="G11" s="50"/>
      <c r="H11" s="50"/>
      <c r="I11" s="50"/>
      <c r="J11" s="50"/>
      <c r="L11" s="56" t="s">
        <v>9</v>
      </c>
      <c r="M11" s="56"/>
      <c r="N11" s="56"/>
      <c r="O11" s="56"/>
      <c r="P11" s="56"/>
      <c r="Q11" s="56"/>
      <c r="R11" s="56"/>
      <c r="S11" s="56"/>
      <c r="T11" s="56"/>
    </row>
    <row r="12" spans="2:23" x14ac:dyDescent="0.25">
      <c r="B12" s="19"/>
      <c r="C12" s="51" t="s">
        <v>3</v>
      </c>
      <c r="D12" s="51"/>
      <c r="E12" s="51" t="s">
        <v>4</v>
      </c>
      <c r="F12" s="51"/>
      <c r="G12" s="51" t="s">
        <v>5</v>
      </c>
      <c r="H12" s="51"/>
      <c r="I12" s="51" t="s">
        <v>6</v>
      </c>
      <c r="J12" s="51"/>
      <c r="L12" s="7"/>
      <c r="M12" s="57" t="s">
        <v>3</v>
      </c>
      <c r="N12" s="57"/>
      <c r="O12" s="57" t="s">
        <v>4</v>
      </c>
      <c r="P12" s="57"/>
      <c r="Q12" s="57" t="s">
        <v>5</v>
      </c>
      <c r="R12" s="57"/>
      <c r="S12" s="57" t="s">
        <v>6</v>
      </c>
      <c r="T12" s="57"/>
    </row>
    <row r="13" spans="2:23" x14ac:dyDescent="0.25">
      <c r="B13" s="20">
        <v>44551</v>
      </c>
      <c r="C13" s="21">
        <f>((39.3189-39.2004)/2.0061)*100</f>
        <v>5.9069836997157363</v>
      </c>
      <c r="D13" s="21">
        <f>((37.3739-37.2568)/1.9755)*100</f>
        <v>5.9276132624652309</v>
      </c>
      <c r="E13" s="21">
        <f>((36.3687-36.2199)/2.0169)*100</f>
        <v>7.3776587832809879</v>
      </c>
      <c r="F13" s="21">
        <f>((41.2416-41.0925)/2.0144)*100</f>
        <v>7.4017077045272588</v>
      </c>
      <c r="G13" s="21">
        <f>((41.3338-41.2497)/1.9885)*100</f>
        <v>4.2293185818455825</v>
      </c>
      <c r="H13" s="21">
        <f>((32.8251-32.742)/1.9723)*100</f>
        <v>4.2133549662831076</v>
      </c>
      <c r="I13" s="21">
        <f>((33.5735-33.4863)/1.9962)*100</f>
        <v>4.3682997695623103</v>
      </c>
      <c r="J13" s="21">
        <f>((37.7252-37.6371)/2.0237)*100</f>
        <v>4.3534120670061913</v>
      </c>
      <c r="L13" s="8">
        <v>44551</v>
      </c>
      <c r="M13" s="9">
        <f>((1.4007*(16.8)*0.01197)*6.38)/2</f>
        <v>0.898543783368</v>
      </c>
      <c r="N13" s="9">
        <f>AVERAGE(M13:M15,N14:N15)</f>
        <v>0.94133158257600014</v>
      </c>
      <c r="O13" s="9">
        <f>((1.4007*(23.25)*0.01197)*6.38)/2</f>
        <v>1.2435204144825001</v>
      </c>
      <c r="P13" s="9">
        <f>((1.4007*(32.8)*0.01197)*6.38)/2</f>
        <v>1.7542997675279997</v>
      </c>
      <c r="Q13" s="9">
        <f>((1.4007*(3.4)*0.01197)*6.38)/2</f>
        <v>0.18184814663400001</v>
      </c>
      <c r="R13" s="9">
        <f>((1.4007*(2.7)*0.01197)*6.38)/2</f>
        <v>0.144408822327</v>
      </c>
      <c r="S13" s="9">
        <v>9.6299999999999997E-2</v>
      </c>
      <c r="T13" s="9">
        <v>9.6299999999999997E-2</v>
      </c>
      <c r="V13" s="35"/>
      <c r="W13" s="35"/>
    </row>
    <row r="14" spans="2:23" x14ac:dyDescent="0.25">
      <c r="B14" s="20">
        <v>44552</v>
      </c>
      <c r="C14" s="22">
        <f>((35.4874-35.364)/2.0173)*100</f>
        <v>6.1170871957568895</v>
      </c>
      <c r="D14" s="21">
        <f>((42.2997-42.1744)/2.0536)*100</f>
        <v>6.1014803272303695</v>
      </c>
      <c r="E14" s="21">
        <f>((37.3059-37.1463)/2.0474)*100</f>
        <v>7.7952525153855925</v>
      </c>
      <c r="F14" s="21">
        <f>((36.3169-36.1583)/2.0224)*100</f>
        <v>7.8421677215189796</v>
      </c>
      <c r="G14" s="21">
        <f>((36.6073-36.5174)/2.0092)*100</f>
        <v>4.474417678678086</v>
      </c>
      <c r="H14" s="21">
        <f>((32.9101-32.8207)/2.0042)*100</f>
        <v>4.4606326713899662</v>
      </c>
      <c r="I14" s="21">
        <f>((32.3467-32.2541)/2.0412)*100</f>
        <v>4.536547129139592</v>
      </c>
      <c r="J14" s="21">
        <f>((30.7892-30.6964)/2.0449)*100</f>
        <v>4.53811922343393</v>
      </c>
      <c r="L14" s="8">
        <v>44552</v>
      </c>
      <c r="M14" s="9">
        <f>((1.4007*(18.1)*0.01197)*6.38)/2</f>
        <v>0.96807395708100008</v>
      </c>
      <c r="N14" s="9">
        <f>((1.4007*(18)*0.01197)*6.38)/2</f>
        <v>0.96272548218000009</v>
      </c>
      <c r="O14" s="9">
        <f>((1.4007*(33.5)*0.01197)*6.38)/2</f>
        <v>1.791739091835</v>
      </c>
      <c r="P14" s="9">
        <f>((1.4007*(33.35)*0.01197)*6.38)/2</f>
        <v>1.7837163794835003</v>
      </c>
      <c r="Q14" s="9">
        <f>((1.4007*(2.7)*0.01197)*6.38)/2</f>
        <v>0.144408822327</v>
      </c>
      <c r="R14" s="9">
        <f>((1.4007*(2.6)*0.01197)*6.38)/2</f>
        <v>0.13906034742600001</v>
      </c>
      <c r="S14" s="9">
        <v>0.107</v>
      </c>
      <c r="T14" s="9">
        <v>0.14710000000000001</v>
      </c>
      <c r="V14" s="35"/>
      <c r="W14" s="35"/>
    </row>
    <row r="15" spans="2:23" x14ac:dyDescent="0.25">
      <c r="B15" s="20">
        <v>44553</v>
      </c>
      <c r="C15" s="21">
        <f>((36.9046-36.7775)/2.0558)*100</f>
        <v>6.1825080260725098</v>
      </c>
      <c r="D15" s="21">
        <f>((38.9308-38.8055)/2.038)*100</f>
        <v>6.1481844946023436</v>
      </c>
      <c r="E15" s="21">
        <f>((38.4705-38.3135)/2.0522)*100</f>
        <v>7.6503264789008663</v>
      </c>
      <c r="F15" s="21">
        <f>((36.5839-36.4247)/2.0719)*100</f>
        <v>7.6837685216467237</v>
      </c>
      <c r="G15" s="21">
        <f>((35.8998-35.8107)/2.0131)*100</f>
        <v>4.4260096368785433</v>
      </c>
      <c r="H15" s="21">
        <f>((38.4132-38.3248)/1.9994)*100</f>
        <v>4.4213263979193771</v>
      </c>
      <c r="I15" s="21">
        <f>((38.5638-38.4727)/2.0025)*100</f>
        <v>4.5493133583019869</v>
      </c>
      <c r="J15" s="21">
        <f>((37.0553-36.963)/2.0299)*100</f>
        <v>4.5470220207892806</v>
      </c>
      <c r="L15" s="8">
        <v>44553</v>
      </c>
      <c r="M15" s="9">
        <f>((1.4007*(18.1)*0.01197)*6.38)/2</f>
        <v>0.96807395708100008</v>
      </c>
      <c r="N15" s="9">
        <f>((1.4007*(17)*0.01197)*6.38)/2</f>
        <v>0.90924073317000009</v>
      </c>
      <c r="O15" s="9">
        <f>((1.4007*(32.7)*0.01197)*6.38)/2</f>
        <v>1.7489512926270003</v>
      </c>
      <c r="P15" s="9">
        <f>((1.4007*(32.3)*0.01197)*6.38)/2</f>
        <v>1.7275573930229999</v>
      </c>
      <c r="Q15" s="9">
        <f>((1.4007*(2.7)*0.01197)*6.38)/2</f>
        <v>0.144408822327</v>
      </c>
      <c r="R15" s="9">
        <f>((1.4007*(2.8)*0.01197)*6.38)/2</f>
        <v>0.14975729722799999</v>
      </c>
      <c r="S15" s="9">
        <v>0.15509999999999999</v>
      </c>
      <c r="T15" s="9">
        <v>0.15509999999999999</v>
      </c>
      <c r="V15" s="35"/>
      <c r="W15" s="35"/>
    </row>
    <row r="16" spans="2:23" x14ac:dyDescent="0.25">
      <c r="B16" s="22"/>
      <c r="C16" s="23"/>
      <c r="D16" s="22"/>
      <c r="E16" s="23"/>
      <c r="F16" s="22"/>
      <c r="G16" s="23"/>
      <c r="H16" s="22"/>
      <c r="I16" s="23"/>
      <c r="J16" s="22"/>
      <c r="L16" s="10"/>
      <c r="M16" s="11"/>
      <c r="N16" s="10"/>
      <c r="O16" s="11"/>
      <c r="P16" s="10"/>
      <c r="Q16" s="11"/>
      <c r="R16" s="10"/>
      <c r="S16" s="11"/>
      <c r="T16" s="10"/>
    </row>
    <row r="17" spans="2:23" x14ac:dyDescent="0.25">
      <c r="B17" s="24" t="s">
        <v>0</v>
      </c>
      <c r="C17" s="52">
        <f>AVERAGE(C13:D15)</f>
        <v>6.0639761676405142</v>
      </c>
      <c r="D17" s="52"/>
      <c r="E17" s="52">
        <f>AVERAGE(E13:F15)</f>
        <v>7.6251469542100692</v>
      </c>
      <c r="F17" s="52"/>
      <c r="G17" s="52">
        <f>AVERAGE(G13:H15)</f>
        <v>4.3708433221657765</v>
      </c>
      <c r="H17" s="52"/>
      <c r="I17" s="52">
        <f>AVERAGE(I13:J15)</f>
        <v>4.482118928038882</v>
      </c>
      <c r="J17" s="52"/>
      <c r="L17" s="12" t="s">
        <v>0</v>
      </c>
      <c r="M17" s="58">
        <f>AVERAGE(M13:N15)</f>
        <v>0.94133158257600014</v>
      </c>
      <c r="N17" s="58"/>
      <c r="O17" s="58">
        <f>AVERAGE(O13:P15)</f>
        <v>1.6749640564965</v>
      </c>
      <c r="P17" s="58"/>
      <c r="Q17" s="58">
        <f>AVERAGE(Q13:R15)</f>
        <v>0.15064870971150002</v>
      </c>
      <c r="R17" s="58"/>
      <c r="S17" s="58">
        <f>AVERAGE(S13:T15)</f>
        <v>0.12615000000000001</v>
      </c>
      <c r="T17" s="58"/>
      <c r="W17" s="46"/>
    </row>
    <row r="18" spans="2:23" x14ac:dyDescent="0.25">
      <c r="B18" s="24" t="s">
        <v>1</v>
      </c>
      <c r="C18" s="52">
        <f>STDEV(C13:D15)</f>
        <v>0.11714065389959924</v>
      </c>
      <c r="D18" s="52"/>
      <c r="E18" s="52">
        <f>STDEV(E13:F15)</f>
        <v>0.19559136231807991</v>
      </c>
      <c r="F18" s="52"/>
      <c r="G18" s="52">
        <f>STDEV(G13:H15)</f>
        <v>0.11765498046313111</v>
      </c>
      <c r="H18" s="52"/>
      <c r="I18" s="52">
        <f>STDEV(I13:J15)</f>
        <v>9.4176665878067042E-2</v>
      </c>
      <c r="J18" s="52"/>
      <c r="L18" s="12" t="s">
        <v>1</v>
      </c>
      <c r="M18" s="58">
        <f>STDEV(M13:N15)</f>
        <v>3.0817613487290289E-2</v>
      </c>
      <c r="N18" s="58"/>
      <c r="O18" s="58">
        <f>STDEV(O13:P15)</f>
        <v>0.21266942331692759</v>
      </c>
      <c r="P18" s="58"/>
      <c r="Q18" s="58">
        <f>STDEV(Q13:R15)</f>
        <v>1.565438088632394E-2</v>
      </c>
      <c r="R18" s="58"/>
      <c r="S18" s="58">
        <f>STDEV(S13:T15)</f>
        <v>2.9202311552341147E-2</v>
      </c>
      <c r="T18" s="58"/>
    </row>
    <row r="20" spans="2:23" x14ac:dyDescent="0.25">
      <c r="B20" s="60" t="s">
        <v>10</v>
      </c>
      <c r="C20" s="60"/>
      <c r="D20" s="60"/>
      <c r="E20" s="60"/>
      <c r="F20" s="60"/>
      <c r="G20" s="60"/>
      <c r="H20" s="60"/>
      <c r="I20" s="60"/>
      <c r="J20" s="60"/>
      <c r="L20" s="62" t="s">
        <v>11</v>
      </c>
      <c r="M20" s="62"/>
      <c r="N20" s="62"/>
      <c r="O20" s="62"/>
      <c r="P20" s="62"/>
      <c r="Q20" s="62"/>
      <c r="R20" s="62"/>
      <c r="S20" s="62"/>
      <c r="T20" s="62"/>
    </row>
    <row r="21" spans="2:23" x14ac:dyDescent="0.25">
      <c r="B21" s="25"/>
      <c r="C21" s="61" t="s">
        <v>3</v>
      </c>
      <c r="D21" s="61"/>
      <c r="E21" s="61" t="s">
        <v>4</v>
      </c>
      <c r="F21" s="61"/>
      <c r="G21" s="61" t="s">
        <v>5</v>
      </c>
      <c r="H21" s="61"/>
      <c r="I21" s="61" t="s">
        <v>6</v>
      </c>
      <c r="J21" s="61"/>
      <c r="L21" s="31"/>
      <c r="M21" s="63" t="s">
        <v>3</v>
      </c>
      <c r="N21" s="63"/>
      <c r="O21" s="63" t="s">
        <v>4</v>
      </c>
      <c r="P21" s="63"/>
      <c r="Q21" s="63" t="s">
        <v>5</v>
      </c>
      <c r="R21" s="63"/>
      <c r="S21" s="63" t="s">
        <v>6</v>
      </c>
      <c r="T21" s="63"/>
    </row>
    <row r="22" spans="2:23" x14ac:dyDescent="0.25">
      <c r="B22" s="26">
        <v>44551</v>
      </c>
      <c r="C22" s="27">
        <v>0.47744045162249754</v>
      </c>
      <c r="D22" s="27">
        <v>0.45954287522164722</v>
      </c>
      <c r="E22" s="27">
        <v>0.53437523427022293</v>
      </c>
      <c r="F22" s="27">
        <v>0.49532573470998759</v>
      </c>
      <c r="G22" s="27">
        <v>0.47161812924311741</v>
      </c>
      <c r="H22" s="27">
        <v>0.42986891953582312</v>
      </c>
      <c r="I22" s="27">
        <v>0.44975662759244167</v>
      </c>
      <c r="J22" s="27">
        <v>0.48810294510064617</v>
      </c>
      <c r="L22" s="32">
        <v>44551</v>
      </c>
      <c r="M22" s="44">
        <f>M4/(M13*10)</f>
        <v>0.3214089344845219</v>
      </c>
      <c r="N22" s="44">
        <f t="shared" ref="N22:T22" si="0">N4/(N13*10)</f>
        <v>0.32889579583929862</v>
      </c>
      <c r="O22" s="44">
        <f t="shared" si="0"/>
        <v>0.4073917839224403</v>
      </c>
      <c r="P22" s="44">
        <f t="shared" si="0"/>
        <v>0.29573052998293675</v>
      </c>
      <c r="Q22" s="44">
        <f t="shared" si="0"/>
        <v>6.9508544540957798E-2</v>
      </c>
      <c r="R22" s="44">
        <f t="shared" si="0"/>
        <v>6.0938105153113556E-2</v>
      </c>
      <c r="S22" s="44">
        <f t="shared" si="0"/>
        <v>0.33520249221183673</v>
      </c>
      <c r="T22" s="44">
        <f t="shared" si="0"/>
        <v>0.31775700934579232</v>
      </c>
    </row>
    <row r="23" spans="2:23" x14ac:dyDescent="0.25">
      <c r="B23" s="26">
        <v>44552</v>
      </c>
      <c r="C23" s="27">
        <v>0.47478360680146869</v>
      </c>
      <c r="D23" s="27">
        <v>0.49558874172207978</v>
      </c>
      <c r="E23" s="27">
        <f>AVERAGE(E22:F22,E24:F24,F23)</f>
        <v>0.49931397330383154</v>
      </c>
      <c r="F23" s="27">
        <v>0.54280822784823801</v>
      </c>
      <c r="G23" s="27">
        <v>0.38711421461258277</v>
      </c>
      <c r="H23" s="27">
        <v>0.40804080431070155</v>
      </c>
      <c r="I23" s="27">
        <v>0.40552355477162449</v>
      </c>
      <c r="J23" s="27">
        <v>0.38035539906101157</v>
      </c>
      <c r="L23" s="32">
        <v>44552</v>
      </c>
      <c r="M23" s="44">
        <f t="shared" ref="M23:T23" si="1">M5/(M14*10)</f>
        <v>0.2908868665872355</v>
      </c>
      <c r="N23" s="44">
        <f t="shared" si="1"/>
        <v>0.30808367025704725</v>
      </c>
      <c r="O23" s="44">
        <f t="shared" si="1"/>
        <v>0.30863868658111715</v>
      </c>
      <c r="P23" s="44">
        <f t="shared" si="1"/>
        <v>0.31271787735756434</v>
      </c>
      <c r="Q23" s="44">
        <f t="shared" si="1"/>
        <v>6.232306208841145E-2</v>
      </c>
      <c r="R23" s="44">
        <f t="shared" si="1"/>
        <v>0.10499038921047804</v>
      </c>
      <c r="S23" s="44">
        <f t="shared" si="1"/>
        <v>0.19439252336448595</v>
      </c>
      <c r="T23" s="44">
        <f t="shared" si="1"/>
        <v>0.21346023113528079</v>
      </c>
    </row>
    <row r="24" spans="2:23" x14ac:dyDescent="0.25">
      <c r="B24" s="26">
        <v>44553</v>
      </c>
      <c r="C24" s="27">
        <v>0.41722863118951975</v>
      </c>
      <c r="D24" s="27">
        <v>0.43069587831210931</v>
      </c>
      <c r="E24" s="27">
        <v>0.46181784426482347</v>
      </c>
      <c r="F24" s="27">
        <v>0.46224282542588557</v>
      </c>
      <c r="G24" s="27">
        <v>0.33668749192814307</v>
      </c>
      <c r="H24" s="27">
        <v>0.17395251575449514</v>
      </c>
      <c r="I24" s="27">
        <v>0.36843807740309337</v>
      </c>
      <c r="J24" s="27">
        <v>0.38315538203832761</v>
      </c>
      <c r="L24" s="32">
        <v>44553</v>
      </c>
      <c r="M24" s="44">
        <f t="shared" ref="M24:T24" si="2">M6/(M15*10)</f>
        <v>0.31072006203636532</v>
      </c>
      <c r="N24" s="44">
        <f t="shared" si="2"/>
        <v>0.35216196142428263</v>
      </c>
      <c r="O24" s="44">
        <f t="shared" si="2"/>
        <v>0.2845133550017756</v>
      </c>
      <c r="P24" s="44">
        <f t="shared" si="2"/>
        <v>0.29243601517398266</v>
      </c>
      <c r="Q24" s="44">
        <f t="shared" si="2"/>
        <v>0.10387177014735242</v>
      </c>
      <c r="R24" s="44">
        <f t="shared" si="2"/>
        <v>0.10550404082109667</v>
      </c>
      <c r="S24" s="44">
        <f t="shared" si="2"/>
        <v>0.26176660219213282</v>
      </c>
      <c r="T24" s="44">
        <f t="shared" si="2"/>
        <v>0.245003223726628</v>
      </c>
    </row>
    <row r="25" spans="2:23" x14ac:dyDescent="0.25">
      <c r="B25" s="28"/>
      <c r="C25" s="29"/>
      <c r="D25" s="28"/>
      <c r="E25" s="29"/>
      <c r="F25" s="28"/>
      <c r="G25" s="29"/>
      <c r="H25" s="28"/>
      <c r="I25" s="29"/>
      <c r="J25" s="28"/>
      <c r="L25" s="33"/>
      <c r="M25" s="45"/>
      <c r="N25" s="45"/>
      <c r="O25" s="45"/>
      <c r="P25" s="45"/>
      <c r="Q25" s="45"/>
      <c r="R25" s="45"/>
      <c r="S25" s="45"/>
      <c r="T25" s="45"/>
    </row>
    <row r="26" spans="2:23" x14ac:dyDescent="0.25">
      <c r="B26" s="30" t="s">
        <v>0</v>
      </c>
      <c r="C26" s="59">
        <f>AVERAGE(C22:D24)</f>
        <v>0.45921336414488706</v>
      </c>
      <c r="D26" s="59"/>
      <c r="E26" s="59">
        <f>AVERAGE(E22:F24)</f>
        <v>0.49931397330383148</v>
      </c>
      <c r="F26" s="59"/>
      <c r="G26" s="59">
        <f>AVERAGE(G22:H24)</f>
        <v>0.36788034589747715</v>
      </c>
      <c r="H26" s="59"/>
      <c r="I26" s="59">
        <f>AVERAGE(I22:J24)</f>
        <v>0.41255533099452418</v>
      </c>
      <c r="J26" s="59"/>
      <c r="L26" s="34" t="s">
        <v>0</v>
      </c>
      <c r="M26" s="64">
        <f>AVERAGE(M22:N24)</f>
        <v>0.31869288177145855</v>
      </c>
      <c r="N26" s="64"/>
      <c r="O26" s="64">
        <f>AVERAGE(O22:P24)</f>
        <v>0.31690470800330278</v>
      </c>
      <c r="P26" s="64"/>
      <c r="Q26" s="64">
        <f>AVERAGE(Q22:R24)</f>
        <v>8.4522651993568329E-2</v>
      </c>
      <c r="R26" s="64"/>
      <c r="S26" s="64">
        <f>AVERAGE(S22:T24)</f>
        <v>0.26126368032935943</v>
      </c>
      <c r="T26" s="64"/>
    </row>
    <row r="27" spans="2:23" x14ac:dyDescent="0.25">
      <c r="B27" s="30" t="s">
        <v>1</v>
      </c>
      <c r="C27" s="59">
        <f>STDEV(C22:D24)</f>
        <v>2.9912875640066863E-2</v>
      </c>
      <c r="D27" s="59"/>
      <c r="E27" s="59">
        <f>STDEV(E22:F24)</f>
        <v>3.4401098656603776E-2</v>
      </c>
      <c r="F27" s="59"/>
      <c r="G27" s="59">
        <f>STDEV(G22:H24)</f>
        <v>0.10504086111948178</v>
      </c>
      <c r="H27" s="59"/>
      <c r="I27" s="59">
        <f>STDEV(I22:J24)</f>
        <v>4.6879311048996793E-2</v>
      </c>
      <c r="J27" s="59"/>
      <c r="L27" s="34" t="s">
        <v>1</v>
      </c>
      <c r="M27" s="64">
        <f>STDEV(M22:N24)</f>
        <v>2.0885168874270579E-2</v>
      </c>
      <c r="N27" s="64"/>
      <c r="O27" s="64">
        <f>STDEV(O22:P24)</f>
        <v>4.5541256158097121E-2</v>
      </c>
      <c r="P27" s="64"/>
      <c r="Q27" s="64">
        <f>STDEV(Q22:R24)</f>
        <v>2.2396479104836008E-2</v>
      </c>
      <c r="R27" s="64"/>
      <c r="S27" s="64">
        <f>STDEV(S22:T24)</f>
        <v>5.6000037310616611E-2</v>
      </c>
      <c r="T27" s="64"/>
    </row>
    <row r="28" spans="2:23" x14ac:dyDescent="0.25">
      <c r="B28" s="28"/>
      <c r="C28" s="28"/>
      <c r="D28" s="28"/>
      <c r="E28" s="28"/>
      <c r="F28" s="28"/>
      <c r="G28" s="28"/>
      <c r="H28" s="28"/>
      <c r="I28" s="28"/>
      <c r="J28" s="28"/>
    </row>
    <row r="29" spans="2:23" x14ac:dyDescent="0.25">
      <c r="B29" s="28"/>
      <c r="C29" s="28"/>
      <c r="D29" s="28"/>
      <c r="E29" s="28"/>
      <c r="F29" s="28"/>
      <c r="G29" s="28"/>
      <c r="H29" s="28"/>
      <c r="I29" s="28" t="s">
        <v>12</v>
      </c>
      <c r="J29" s="28">
        <f>36.8206-36.8195</f>
        <v>1.1000000000009891E-3</v>
      </c>
    </row>
    <row r="31" spans="2:23" x14ac:dyDescent="0.25">
      <c r="B31" s="62" t="s">
        <v>13</v>
      </c>
      <c r="C31" s="62"/>
      <c r="D31" s="62"/>
      <c r="E31" s="62"/>
      <c r="F31" s="62"/>
    </row>
    <row r="32" spans="2:23" x14ac:dyDescent="0.25">
      <c r="B32" s="31"/>
      <c r="C32" s="38" t="s">
        <v>3</v>
      </c>
      <c r="D32" s="38" t="s">
        <v>4</v>
      </c>
      <c r="E32" s="38" t="s">
        <v>14</v>
      </c>
      <c r="F32" s="38" t="s">
        <v>15</v>
      </c>
    </row>
    <row r="33" spans="2:6" x14ac:dyDescent="0.25">
      <c r="B33" s="32">
        <v>44551</v>
      </c>
      <c r="C33" s="37">
        <v>0.6</v>
      </c>
      <c r="D33" s="37">
        <v>0.95</v>
      </c>
      <c r="E33" s="37">
        <v>0</v>
      </c>
      <c r="F33" s="37">
        <v>0</v>
      </c>
    </row>
    <row r="34" spans="2:6" x14ac:dyDescent="0.25">
      <c r="B34" s="32">
        <v>44552</v>
      </c>
      <c r="C34" s="37">
        <v>0.55000000000000004</v>
      </c>
      <c r="D34" s="37">
        <v>1.1000000000000001</v>
      </c>
      <c r="E34" s="37">
        <v>0</v>
      </c>
      <c r="F34" s="37">
        <v>0</v>
      </c>
    </row>
    <row r="35" spans="2:6" x14ac:dyDescent="0.25">
      <c r="B35" s="32">
        <v>44553</v>
      </c>
      <c r="C35" s="37">
        <v>0.55000000000000004</v>
      </c>
      <c r="D35" s="37">
        <v>1</v>
      </c>
      <c r="E35" s="37">
        <v>0</v>
      </c>
      <c r="F35" s="37">
        <v>0</v>
      </c>
    </row>
    <row r="36" spans="2:6" x14ac:dyDescent="0.25">
      <c r="B36" s="33"/>
      <c r="C36" s="37"/>
      <c r="D36" s="37"/>
      <c r="E36" s="37"/>
      <c r="F36" s="37"/>
    </row>
    <row r="37" spans="2:6" x14ac:dyDescent="0.25">
      <c r="B37" s="34" t="s">
        <v>0</v>
      </c>
      <c r="C37" s="37">
        <f>AVERAGE(C33:C35)</f>
        <v>0.56666666666666665</v>
      </c>
      <c r="D37" s="37">
        <f>AVERAGE(D33:D35)</f>
        <v>1.0166666666666666</v>
      </c>
      <c r="E37" s="37">
        <f>AVERAGE(E33:E35)</f>
        <v>0</v>
      </c>
      <c r="F37" s="37">
        <f>AVERAGE(F33:F35)</f>
        <v>0</v>
      </c>
    </row>
    <row r="38" spans="2:6" x14ac:dyDescent="0.25">
      <c r="B38" s="34" t="s">
        <v>1</v>
      </c>
      <c r="C38" s="37">
        <f>STDEV(C33:C35)</f>
        <v>2.8867513459481253E-2</v>
      </c>
      <c r="D38" s="37">
        <f>STDEV(D33:D35)</f>
        <v>7.6376261582597402E-2</v>
      </c>
      <c r="E38" s="37">
        <f>STDEV(E33:E35)</f>
        <v>0</v>
      </c>
      <c r="F38" s="37">
        <f>STDEV(F33:F35)</f>
        <v>0</v>
      </c>
    </row>
  </sheetData>
  <mergeCells count="79">
    <mergeCell ref="B31:F31"/>
    <mergeCell ref="M26:N26"/>
    <mergeCell ref="O26:P26"/>
    <mergeCell ref="Q26:R26"/>
    <mergeCell ref="S26:T26"/>
    <mergeCell ref="M27:N27"/>
    <mergeCell ref="O27:P27"/>
    <mergeCell ref="Q27:R27"/>
    <mergeCell ref="S27:T27"/>
    <mergeCell ref="C26:D26"/>
    <mergeCell ref="E26:F26"/>
    <mergeCell ref="G26:H26"/>
    <mergeCell ref="I26:J26"/>
    <mergeCell ref="C27:D27"/>
    <mergeCell ref="E27:F27"/>
    <mergeCell ref="G27:H27"/>
    <mergeCell ref="L20:T20"/>
    <mergeCell ref="M21:N21"/>
    <mergeCell ref="O21:P21"/>
    <mergeCell ref="Q21:R21"/>
    <mergeCell ref="S21:T21"/>
    <mergeCell ref="I27:J27"/>
    <mergeCell ref="B20:J20"/>
    <mergeCell ref="C21:D21"/>
    <mergeCell ref="E21:F21"/>
    <mergeCell ref="G21:H21"/>
    <mergeCell ref="I21:J21"/>
    <mergeCell ref="M17:N17"/>
    <mergeCell ref="O17:P17"/>
    <mergeCell ref="Q17:R17"/>
    <mergeCell ref="S17:T17"/>
    <mergeCell ref="M18:N18"/>
    <mergeCell ref="O18:P18"/>
    <mergeCell ref="Q18:R18"/>
    <mergeCell ref="S18:T18"/>
    <mergeCell ref="L11:T11"/>
    <mergeCell ref="M12:N12"/>
    <mergeCell ref="O12:P12"/>
    <mergeCell ref="Q12:R12"/>
    <mergeCell ref="S12:T12"/>
    <mergeCell ref="M8:N8"/>
    <mergeCell ref="O8:P8"/>
    <mergeCell ref="Q8:R8"/>
    <mergeCell ref="S8:T8"/>
    <mergeCell ref="M9:N9"/>
    <mergeCell ref="O9:P9"/>
    <mergeCell ref="Q9:R9"/>
    <mergeCell ref="S9:T9"/>
    <mergeCell ref="L2:T2"/>
    <mergeCell ref="M3:N3"/>
    <mergeCell ref="O3:P3"/>
    <mergeCell ref="Q3:R3"/>
    <mergeCell ref="S3:T3"/>
    <mergeCell ref="C17:D17"/>
    <mergeCell ref="E17:F17"/>
    <mergeCell ref="G17:H17"/>
    <mergeCell ref="I17:J17"/>
    <mergeCell ref="C18:D18"/>
    <mergeCell ref="E18:F18"/>
    <mergeCell ref="G18:H18"/>
    <mergeCell ref="I18:J18"/>
    <mergeCell ref="B11:J11"/>
    <mergeCell ref="C12:D12"/>
    <mergeCell ref="E12:F12"/>
    <mergeCell ref="G12:H12"/>
    <mergeCell ref="I12:J12"/>
    <mergeCell ref="B2:J2"/>
    <mergeCell ref="C9:D9"/>
    <mergeCell ref="E9:F9"/>
    <mergeCell ref="G9:H9"/>
    <mergeCell ref="I9:J9"/>
    <mergeCell ref="C3:D3"/>
    <mergeCell ref="E3:F3"/>
    <mergeCell ref="G3:H3"/>
    <mergeCell ref="I3:J3"/>
    <mergeCell ref="C8:D8"/>
    <mergeCell ref="E8:F8"/>
    <mergeCell ref="G8:H8"/>
    <mergeCell ref="I8:J8"/>
  </mergeCells>
  <pageMargins left="0.511811024" right="0.511811024" top="0.78740157499999996" bottom="0.78740157499999996" header="0.31496062000000002" footer="0.31496062000000002"/>
  <ignoredErrors>
    <ignoredError sqref="E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1DD7-B605-4750-8697-FD451FE0D012}">
  <dimension ref="B2:T33"/>
  <sheetViews>
    <sheetView topLeftCell="A7" workbookViewId="0">
      <selection activeCell="N4" sqref="N4"/>
    </sheetView>
  </sheetViews>
  <sheetFormatPr defaultRowHeight="15" x14ac:dyDescent="0.25"/>
  <cols>
    <col min="1" max="1" width="1" customWidth="1"/>
    <col min="2" max="20" width="9.7109375" customWidth="1"/>
  </cols>
  <sheetData>
    <row r="2" spans="2:20" x14ac:dyDescent="0.25">
      <c r="B2" s="47" t="s">
        <v>2</v>
      </c>
      <c r="C2" s="47"/>
      <c r="D2" s="47"/>
      <c r="E2" s="47"/>
      <c r="F2" s="47"/>
      <c r="G2" s="47"/>
      <c r="H2" s="47"/>
      <c r="I2" s="47"/>
      <c r="J2" s="47"/>
      <c r="L2" s="56" t="s">
        <v>9</v>
      </c>
      <c r="M2" s="56"/>
      <c r="N2" s="56"/>
      <c r="O2" s="56"/>
      <c r="P2" s="56"/>
      <c r="Q2" s="56"/>
      <c r="R2" s="56"/>
      <c r="S2" s="56"/>
      <c r="T2" s="56"/>
    </row>
    <row r="3" spans="2:20" x14ac:dyDescent="0.25">
      <c r="B3" s="2"/>
      <c r="C3" s="49" t="s">
        <v>3</v>
      </c>
      <c r="D3" s="49"/>
      <c r="E3" s="49" t="s">
        <v>4</v>
      </c>
      <c r="F3" s="49"/>
      <c r="G3" s="49" t="s">
        <v>5</v>
      </c>
      <c r="H3" s="49"/>
      <c r="I3" s="49" t="s">
        <v>6</v>
      </c>
      <c r="J3" s="49"/>
      <c r="L3" s="7"/>
      <c r="M3" s="57" t="s">
        <v>3</v>
      </c>
      <c r="N3" s="57"/>
      <c r="O3" s="57" t="s">
        <v>4</v>
      </c>
      <c r="P3" s="57"/>
      <c r="Q3" s="57" t="s">
        <v>5</v>
      </c>
      <c r="R3" s="57"/>
      <c r="S3" s="57" t="s">
        <v>6</v>
      </c>
      <c r="T3" s="57"/>
    </row>
    <row r="4" spans="2:20" x14ac:dyDescent="0.25">
      <c r="B4" s="5">
        <v>44551</v>
      </c>
      <c r="C4" s="2">
        <v>40.663780663780656</v>
      </c>
      <c r="D4" s="2">
        <v>40.115440115440116</v>
      </c>
      <c r="E4" s="2">
        <v>53.362193362193366</v>
      </c>
      <c r="F4" s="2">
        <v>44.704184704184712</v>
      </c>
      <c r="G4" s="2">
        <v>34.083694083694084</v>
      </c>
      <c r="H4" s="2">
        <v>36.709956709956714</v>
      </c>
      <c r="I4" s="2">
        <v>35.555555555555557</v>
      </c>
      <c r="J4" s="2">
        <v>35.497835497835496</v>
      </c>
      <c r="L4" s="8">
        <v>44551</v>
      </c>
      <c r="M4" s="9">
        <f>((1.4007*(16.8)*0.01197)*6.38)/2</f>
        <v>0.898543783368</v>
      </c>
      <c r="N4" s="9">
        <f>AVERAGE(M4:M6,N5:N6)</f>
        <v>0.94133158257600014</v>
      </c>
      <c r="O4" s="9">
        <f>((1.4007*(23.25)*0.01197)*6.38)/2</f>
        <v>1.2435204144825001</v>
      </c>
      <c r="P4" s="9">
        <f>((1.4007*(32.8)*0.01197)*6.38)/2</f>
        <v>1.7542997675279997</v>
      </c>
      <c r="Q4" s="9">
        <f>((1.4007*(3.4)*0.01197)*6.38)/2</f>
        <v>0.18184814663400001</v>
      </c>
      <c r="R4" s="9">
        <f>((1.4007*(2.7)*0.01197)*6.38)/2</f>
        <v>0.144408822327</v>
      </c>
      <c r="S4" s="9">
        <v>9.6299999999999997E-2</v>
      </c>
      <c r="T4" s="9">
        <v>9.6299999999999997E-2</v>
      </c>
    </row>
    <row r="5" spans="2:20" x14ac:dyDescent="0.25">
      <c r="B5" s="5">
        <v>44552</v>
      </c>
      <c r="C5" s="2">
        <v>44.877344877344882</v>
      </c>
      <c r="D5" s="2">
        <v>47.301587301587304</v>
      </c>
      <c r="E5" s="2">
        <v>50.331890331890328</v>
      </c>
      <c r="F5" s="2">
        <v>53.535353535353536</v>
      </c>
      <c r="G5" s="2">
        <v>36.738816738816737</v>
      </c>
      <c r="H5" s="2">
        <v>39.797979797979799</v>
      </c>
      <c r="I5" s="2">
        <v>36.450216450216445</v>
      </c>
      <c r="J5" s="36">
        <v>40</v>
      </c>
      <c r="L5" s="8">
        <v>44552</v>
      </c>
      <c r="M5" s="9">
        <f>((1.4007*(18.1)*0.01197)*6.38)/2</f>
        <v>0.96807395708100008</v>
      </c>
      <c r="N5" s="9">
        <f>((1.4007*(18)*0.01197)*6.38)/2</f>
        <v>0.96272548218000009</v>
      </c>
      <c r="O5" s="9">
        <f>((1.4007*(33.5)*0.01197)*6.38)/2</f>
        <v>1.791739091835</v>
      </c>
      <c r="P5" s="9">
        <f>((1.4007*(33.35)*0.01197)*6.38)/2</f>
        <v>1.7837163794835003</v>
      </c>
      <c r="Q5" s="9">
        <f>((1.4007*(2.7)*0.01197)*6.38)/2</f>
        <v>0.144408822327</v>
      </c>
      <c r="R5" s="9">
        <f>((1.4007*(2.6)*0.01197)*6.38)/2</f>
        <v>0.13906034742600001</v>
      </c>
      <c r="S5" s="9">
        <v>0.107</v>
      </c>
      <c r="T5" s="9">
        <v>0.14710000000000001</v>
      </c>
    </row>
    <row r="6" spans="2:20" x14ac:dyDescent="0.25">
      <c r="B6" s="5">
        <v>44553</v>
      </c>
      <c r="C6" s="2">
        <v>48.484848484848484</v>
      </c>
      <c r="D6" s="2">
        <v>45.137085137085144</v>
      </c>
      <c r="E6" s="2">
        <v>49.062049062049063</v>
      </c>
      <c r="F6" s="2">
        <v>56.825396825396822</v>
      </c>
      <c r="G6" s="2">
        <v>36.21933621933622</v>
      </c>
      <c r="H6" s="2">
        <v>35.324675324675326</v>
      </c>
      <c r="I6" s="2">
        <v>38.845598845598843</v>
      </c>
      <c r="J6" s="2">
        <v>39.595959595959592</v>
      </c>
      <c r="L6" s="8">
        <v>44553</v>
      </c>
      <c r="M6" s="9">
        <f>((1.4007*(18.1)*0.01197)*6.38)/2</f>
        <v>0.96807395708100008</v>
      </c>
      <c r="N6" s="9">
        <f>((1.4007*(17)*0.01197)*6.38)/2</f>
        <v>0.90924073317000009</v>
      </c>
      <c r="O6" s="9">
        <f>((1.4007*(32.7)*0.01197)*6.38)/2</f>
        <v>1.7489512926270003</v>
      </c>
      <c r="P6" s="9">
        <f>((1.4007*(32.3)*0.01197)*6.38)/2</f>
        <v>1.7275573930229999</v>
      </c>
      <c r="Q6" s="9">
        <f>((1.4007*(2.7)*0.01197)*6.38)/2</f>
        <v>0.144408822327</v>
      </c>
      <c r="R6" s="9">
        <f>((1.4007*(2.8)*0.01197)*6.38)/2</f>
        <v>0.14975729722799999</v>
      </c>
      <c r="S6" s="9">
        <v>0.15509999999999999</v>
      </c>
      <c r="T6" s="9">
        <v>0.15509999999999999</v>
      </c>
    </row>
    <row r="7" spans="2:20" x14ac:dyDescent="0.25">
      <c r="B7" s="3"/>
      <c r="C7" s="4"/>
      <c r="D7" s="3"/>
      <c r="E7" s="4"/>
      <c r="F7" s="3"/>
      <c r="G7" s="4"/>
      <c r="H7" s="3"/>
      <c r="I7" s="4"/>
      <c r="J7" s="3"/>
      <c r="L7" s="10"/>
      <c r="M7" s="11"/>
      <c r="N7" s="10"/>
      <c r="O7" s="11"/>
      <c r="P7" s="10"/>
      <c r="Q7" s="11"/>
      <c r="R7" s="10"/>
      <c r="S7" s="11"/>
      <c r="T7" s="10"/>
    </row>
    <row r="8" spans="2:20" x14ac:dyDescent="0.25">
      <c r="B8" s="6" t="s">
        <v>0</v>
      </c>
      <c r="C8" s="48">
        <f>AVERAGE(C4:D6)</f>
        <v>44.430014430014431</v>
      </c>
      <c r="D8" s="48"/>
      <c r="E8" s="48">
        <f>AVERAGE(E4:F6)</f>
        <v>51.303511303511307</v>
      </c>
      <c r="F8" s="48"/>
      <c r="G8" s="48">
        <f>AVERAGE(G4:H6)</f>
        <v>36.479076479076475</v>
      </c>
      <c r="H8" s="48"/>
      <c r="I8" s="48">
        <f>AVERAGE(I4:J6)</f>
        <v>37.657527657527652</v>
      </c>
      <c r="J8" s="48"/>
      <c r="L8" s="12" t="s">
        <v>0</v>
      </c>
      <c r="M8" s="58">
        <f>AVERAGE(M4:N6)</f>
        <v>0.94133158257600014</v>
      </c>
      <c r="N8" s="58"/>
      <c r="O8" s="58">
        <f>AVERAGE(O4:P6)</f>
        <v>1.6749640564965</v>
      </c>
      <c r="P8" s="58"/>
      <c r="Q8" s="58">
        <f>AVERAGE(Q4:R6)</f>
        <v>0.15064870971150002</v>
      </c>
      <c r="R8" s="58"/>
      <c r="S8" s="58">
        <f>AVERAGE(S4:T6)</f>
        <v>0.12615000000000001</v>
      </c>
      <c r="T8" s="58"/>
    </row>
    <row r="9" spans="2:20" x14ac:dyDescent="0.25">
      <c r="B9" s="6" t="s">
        <v>1</v>
      </c>
      <c r="C9" s="48">
        <f>STDEV(C4:D6)</f>
        <v>3.4113848150217665</v>
      </c>
      <c r="D9" s="48"/>
      <c r="E9" s="48">
        <f>STDEV(E4:F6)</f>
        <v>4.2244484406927478</v>
      </c>
      <c r="F9" s="48"/>
      <c r="G9" s="48">
        <f>STDEV(G4:H6)</f>
        <v>1.9117454732097197</v>
      </c>
      <c r="H9" s="48"/>
      <c r="I9" s="48">
        <f>STDEV(I4:J6)</f>
        <v>2.058949513538872</v>
      </c>
      <c r="J9" s="48"/>
      <c r="L9" s="12" t="s">
        <v>1</v>
      </c>
      <c r="M9" s="58">
        <f>STDEV(M4:N6)</f>
        <v>3.0817613487290289E-2</v>
      </c>
      <c r="N9" s="58"/>
      <c r="O9" s="58">
        <f>STDEV(O4:P6)</f>
        <v>0.21266942331692759</v>
      </c>
      <c r="P9" s="58"/>
      <c r="Q9" s="58">
        <f>STDEV(Q4:R6)</f>
        <v>1.565438088632394E-2</v>
      </c>
      <c r="R9" s="58"/>
      <c r="S9" s="58">
        <f>STDEV(S4:T6)</f>
        <v>2.9202311552341147E-2</v>
      </c>
      <c r="T9" s="58"/>
    </row>
    <row r="11" spans="2:20" x14ac:dyDescent="0.25">
      <c r="B11" s="40" t="s">
        <v>4</v>
      </c>
      <c r="C11" s="40" t="s">
        <v>14</v>
      </c>
      <c r="D11" s="40" t="s">
        <v>15</v>
      </c>
      <c r="E11" s="40" t="s">
        <v>16</v>
      </c>
      <c r="F11" s="40" t="s">
        <v>17</v>
      </c>
      <c r="G11" s="1"/>
      <c r="H11" s="1"/>
      <c r="I11" s="1"/>
      <c r="J11" s="1"/>
      <c r="K11" s="1"/>
      <c r="L11" s="40" t="s">
        <v>4</v>
      </c>
      <c r="M11" s="40" t="s">
        <v>14</v>
      </c>
      <c r="N11" s="40" t="s">
        <v>15</v>
      </c>
      <c r="O11" s="40" t="s">
        <v>16</v>
      </c>
      <c r="P11" s="40" t="s">
        <v>17</v>
      </c>
      <c r="Q11" s="1"/>
      <c r="R11" s="1"/>
      <c r="S11" s="1"/>
      <c r="T11" s="1"/>
    </row>
    <row r="12" spans="2:20" x14ac:dyDescent="0.25">
      <c r="B12" s="39">
        <f>AVERAGE(E4:F4)</f>
        <v>49.033189033189039</v>
      </c>
      <c r="C12" s="39">
        <f>AVERAGE(G4:H4)</f>
        <v>35.396825396825399</v>
      </c>
      <c r="D12" s="39">
        <f>AVERAGE(I4:J4)</f>
        <v>35.526695526695526</v>
      </c>
      <c r="E12" s="39">
        <f>(1-(C12/$B12))*100</f>
        <v>27.810476751030023</v>
      </c>
      <c r="F12" s="39">
        <f>(1-(D12/$B12))*100</f>
        <v>27.545615067686878</v>
      </c>
      <c r="G12" s="39"/>
      <c r="H12" s="39"/>
      <c r="I12" s="39"/>
      <c r="J12" s="39"/>
      <c r="K12" s="39"/>
      <c r="L12" s="39">
        <f>AVERAGE(O4:P4)</f>
        <v>1.49891009100525</v>
      </c>
      <c r="M12" s="39">
        <f>AVERAGE(Q4:R4)</f>
        <v>0.16312848448049999</v>
      </c>
      <c r="N12" s="39">
        <f>AVERAGE(S4:T4)</f>
        <v>9.6299999999999997E-2</v>
      </c>
      <c r="O12" s="39">
        <f>(1-(M12/$B12))*100</f>
        <v>99.667310065494448</v>
      </c>
      <c r="P12" s="39">
        <f>(1-(N12/$B12))*100</f>
        <v>99.803602413184223</v>
      </c>
      <c r="Q12" s="39"/>
      <c r="R12" s="1"/>
      <c r="S12" s="1"/>
      <c r="T12" s="1"/>
    </row>
    <row r="13" spans="2:20" x14ac:dyDescent="0.25">
      <c r="B13" s="39">
        <f t="shared" ref="B13:B14" si="0">AVERAGE(E5:F5)</f>
        <v>51.933621933621936</v>
      </c>
      <c r="C13" s="39">
        <f t="shared" ref="C13:C14" si="1">AVERAGE(G5:H5)</f>
        <v>38.268398268398272</v>
      </c>
      <c r="D13" s="39">
        <f t="shared" ref="D13:D14" si="2">AVERAGE(I5:J5)</f>
        <v>38.225108225108222</v>
      </c>
      <c r="E13" s="39">
        <f t="shared" ref="E13:E14" si="3">(1-(C13/$B13))*100</f>
        <v>26.312864684634619</v>
      </c>
      <c r="F13" s="39">
        <f>(1-(D13/$B13))*100</f>
        <v>26.396221172547939</v>
      </c>
      <c r="G13" s="39"/>
      <c r="H13" s="39"/>
      <c r="I13" s="39"/>
      <c r="J13" s="39"/>
      <c r="K13" s="39"/>
      <c r="L13" s="39">
        <f t="shared" ref="L13:L14" si="4">AVERAGE(O5:P5)</f>
        <v>1.7877277356592502</v>
      </c>
      <c r="M13" s="39">
        <f t="shared" ref="M13:M14" si="5">AVERAGE(Q5:R5)</f>
        <v>0.14173458487650001</v>
      </c>
      <c r="N13" s="39">
        <f t="shared" ref="N13:N14" si="6">AVERAGE(S5:T5)</f>
        <v>0.12705</v>
      </c>
      <c r="O13" s="39">
        <f t="shared" ref="O13:O14" si="7">(1-(M13/$B13))*100</f>
        <v>99.727085114422295</v>
      </c>
      <c r="P13" s="39">
        <f>(1-(N13/$B13))*100</f>
        <v>99.755360794665179</v>
      </c>
      <c r="Q13" s="39"/>
      <c r="R13" s="1"/>
      <c r="S13" s="1"/>
      <c r="T13" s="1"/>
    </row>
    <row r="14" spans="2:20" x14ac:dyDescent="0.25">
      <c r="B14" s="39">
        <f t="shared" si="0"/>
        <v>52.943722943722946</v>
      </c>
      <c r="C14" s="39">
        <f t="shared" si="1"/>
        <v>35.77200577200577</v>
      </c>
      <c r="D14" s="39">
        <f t="shared" si="2"/>
        <v>39.220779220779221</v>
      </c>
      <c r="E14" s="39">
        <f t="shared" si="3"/>
        <v>32.433905696375042</v>
      </c>
      <c r="F14" s="39">
        <f>(1-(D14/$B14))*100</f>
        <v>25.919869174161903</v>
      </c>
      <c r="G14" s="39"/>
      <c r="H14" s="39"/>
      <c r="I14" s="39"/>
      <c r="J14" s="39"/>
      <c r="K14" s="39"/>
      <c r="L14" s="39">
        <f t="shared" si="4"/>
        <v>1.7382543428250001</v>
      </c>
      <c r="M14" s="39">
        <f t="shared" si="5"/>
        <v>0.1470830597775</v>
      </c>
      <c r="N14" s="39">
        <f t="shared" si="6"/>
        <v>0.15509999999999999</v>
      </c>
      <c r="O14" s="39">
        <f t="shared" si="7"/>
        <v>99.722189805326224</v>
      </c>
      <c r="P14" s="39">
        <f>(1-(N14/$B14))*100</f>
        <v>99.707047424366309</v>
      </c>
      <c r="Q14" s="39"/>
      <c r="R14" s="1"/>
      <c r="S14" s="1"/>
      <c r="T14" s="1"/>
    </row>
    <row r="15" spans="2:20" x14ac:dyDescent="0.25">
      <c r="D15" s="43" t="s">
        <v>18</v>
      </c>
      <c r="E15" s="41">
        <f>AVERAGE(E12:E14)</f>
        <v>28.852415710679896</v>
      </c>
      <c r="F15" s="41">
        <f>AVERAGE(F12:F14)</f>
        <v>26.620568471465575</v>
      </c>
      <c r="N15" s="43" t="s">
        <v>18</v>
      </c>
      <c r="O15" s="41">
        <f>AVERAGE(O12:O14)</f>
        <v>99.705528328414331</v>
      </c>
      <c r="P15" s="41">
        <f>AVERAGE(P12:P14)</f>
        <v>99.755336877405227</v>
      </c>
    </row>
    <row r="16" spans="2:20" x14ac:dyDescent="0.25">
      <c r="D16" s="40" t="s">
        <v>19</v>
      </c>
      <c r="E16" s="42">
        <f>_xlfn.STDEV.S(E12:E14)</f>
        <v>3.1907700267457777</v>
      </c>
      <c r="F16" s="42">
        <f>_xlfn.STDEV.S(F12:F14)</f>
        <v>0.83576983104025637</v>
      </c>
      <c r="N16" s="40" t="s">
        <v>19</v>
      </c>
      <c r="O16" s="39">
        <f>_xlfn.STDEV.S(O12:O14)</f>
        <v>3.3188367363369879E-2</v>
      </c>
      <c r="P16" s="39">
        <f>_xlfn.STDEV.S(P12:P14)</f>
        <v>4.8277498852295236E-2</v>
      </c>
    </row>
    <row r="17" spans="2:16" x14ac:dyDescent="0.25">
      <c r="D17" s="40" t="s">
        <v>20</v>
      </c>
      <c r="E17" s="1" t="s">
        <v>21</v>
      </c>
      <c r="F17" s="1" t="s">
        <v>21</v>
      </c>
      <c r="N17" s="40" t="s">
        <v>20</v>
      </c>
      <c r="O17" s="1" t="s">
        <v>21</v>
      </c>
      <c r="P17" s="1" t="s">
        <v>21</v>
      </c>
    </row>
    <row r="19" spans="2:16" x14ac:dyDescent="0.25">
      <c r="B19" s="1"/>
      <c r="C19" s="1"/>
      <c r="D19" s="1"/>
      <c r="E19" s="1" t="s">
        <v>22</v>
      </c>
      <c r="F19" s="1" t="s">
        <v>23</v>
      </c>
      <c r="M19" s="65" t="s">
        <v>30</v>
      </c>
      <c r="N19" s="65"/>
      <c r="O19">
        <v>3</v>
      </c>
      <c r="P19">
        <v>3</v>
      </c>
    </row>
    <row r="20" spans="2:16" x14ac:dyDescent="0.25">
      <c r="B20" s="1"/>
      <c r="C20" s="65" t="s">
        <v>30</v>
      </c>
      <c r="D20" s="65"/>
      <c r="E20" s="1">
        <v>3</v>
      </c>
      <c r="F20" s="1">
        <v>3</v>
      </c>
      <c r="M20" s="65" t="s">
        <v>31</v>
      </c>
      <c r="N20" s="65"/>
      <c r="O20">
        <v>99.706699999999998</v>
      </c>
      <c r="P20">
        <v>99.756699999999995</v>
      </c>
    </row>
    <row r="21" spans="2:16" x14ac:dyDescent="0.25">
      <c r="B21" s="1"/>
      <c r="C21" s="65" t="s">
        <v>31</v>
      </c>
      <c r="D21" s="65"/>
      <c r="E21" s="1">
        <v>28.85</v>
      </c>
      <c r="F21" s="1">
        <v>26.6233</v>
      </c>
      <c r="M21" s="65" t="s">
        <v>32</v>
      </c>
      <c r="N21" s="65"/>
      <c r="O21">
        <v>1E-3</v>
      </c>
      <c r="P21">
        <v>2E-3</v>
      </c>
    </row>
    <row r="22" spans="2:16" x14ac:dyDescent="0.25">
      <c r="B22" s="1"/>
      <c r="C22" s="65" t="s">
        <v>32</v>
      </c>
      <c r="D22" s="65"/>
      <c r="E22" s="1">
        <v>10.174799999999999</v>
      </c>
      <c r="F22" s="1">
        <v>0.7016</v>
      </c>
    </row>
    <row r="23" spans="2:16" x14ac:dyDescent="0.25">
      <c r="B23" s="1"/>
      <c r="C23" s="1"/>
      <c r="D23" s="1"/>
      <c r="E23" s="1"/>
      <c r="F23" s="1"/>
      <c r="L23" s="1"/>
      <c r="M23" s="65" t="s">
        <v>32</v>
      </c>
      <c r="N23" s="65"/>
      <c r="O23">
        <v>1.5E-3</v>
      </c>
      <c r="P23" t="s">
        <v>24</v>
      </c>
    </row>
    <row r="24" spans="2:16" x14ac:dyDescent="0.25">
      <c r="B24" s="1"/>
      <c r="C24" s="65" t="s">
        <v>32</v>
      </c>
      <c r="D24" s="65"/>
      <c r="E24" s="1">
        <v>5.4382000000000001</v>
      </c>
      <c r="F24" s="1" t="s">
        <v>24</v>
      </c>
      <c r="L24" s="1"/>
      <c r="M24" s="1"/>
      <c r="N24" s="1" t="s">
        <v>25</v>
      </c>
      <c r="O24">
        <v>-1.5639000000000001</v>
      </c>
      <c r="P24" t="s">
        <v>24</v>
      </c>
    </row>
    <row r="25" spans="2:16" x14ac:dyDescent="0.25">
      <c r="B25" s="1"/>
      <c r="C25" s="1"/>
      <c r="D25" s="1" t="s">
        <v>25</v>
      </c>
      <c r="E25" s="1">
        <v>1.1694</v>
      </c>
      <c r="F25" s="1" t="s">
        <v>24</v>
      </c>
      <c r="L25" s="1"/>
      <c r="M25" s="65" t="s">
        <v>33</v>
      </c>
      <c r="N25" s="65"/>
      <c r="O25">
        <v>4</v>
      </c>
      <c r="P25" t="s">
        <v>24</v>
      </c>
    </row>
    <row r="26" spans="2:16" x14ac:dyDescent="0.25">
      <c r="B26" s="1"/>
      <c r="C26" s="65" t="s">
        <v>33</v>
      </c>
      <c r="D26" s="65"/>
      <c r="E26" s="1">
        <v>4</v>
      </c>
      <c r="F26" s="1" t="s">
        <v>24</v>
      </c>
      <c r="L26" s="1"/>
      <c r="M26" s="65" t="s">
        <v>26</v>
      </c>
      <c r="N26" s="65"/>
      <c r="O26">
        <v>9.64E-2</v>
      </c>
      <c r="P26" t="s">
        <v>24</v>
      </c>
    </row>
    <row r="27" spans="2:16" x14ac:dyDescent="0.25">
      <c r="B27" s="1"/>
      <c r="C27" s="65" t="s">
        <v>26</v>
      </c>
      <c r="D27" s="65"/>
      <c r="E27" s="1">
        <v>0.15359999999999999</v>
      </c>
      <c r="F27" s="1" t="s">
        <v>24</v>
      </c>
      <c r="L27" s="1"/>
      <c r="M27" s="65" t="s">
        <v>27</v>
      </c>
      <c r="N27" s="65"/>
      <c r="O27">
        <v>0.1928</v>
      </c>
      <c r="P27" t="s">
        <v>24</v>
      </c>
    </row>
    <row r="28" spans="2:16" x14ac:dyDescent="0.25">
      <c r="B28" s="1"/>
      <c r="C28" s="65" t="s">
        <v>27</v>
      </c>
      <c r="D28" s="65"/>
      <c r="E28" s="1">
        <v>0.30709999999999998</v>
      </c>
      <c r="F28" s="1" t="s">
        <v>24</v>
      </c>
      <c r="L28" s="1"/>
      <c r="M28" s="65" t="s">
        <v>34</v>
      </c>
      <c r="N28" s="65"/>
      <c r="O28">
        <v>0.4677</v>
      </c>
      <c r="P28" t="s">
        <v>24</v>
      </c>
    </row>
    <row r="29" spans="2:16" x14ac:dyDescent="0.25">
      <c r="B29" s="1"/>
      <c r="C29" s="65" t="s">
        <v>34</v>
      </c>
      <c r="D29" s="65"/>
      <c r="E29" s="1">
        <v>0.31709999999999999</v>
      </c>
      <c r="F29" s="1" t="s">
        <v>24</v>
      </c>
      <c r="L29" s="1"/>
      <c r="M29" s="65" t="s">
        <v>35</v>
      </c>
      <c r="N29" s="65"/>
      <c r="O29">
        <v>0.2215</v>
      </c>
      <c r="P29" t="s">
        <v>24</v>
      </c>
    </row>
    <row r="30" spans="2:16" x14ac:dyDescent="0.25">
      <c r="B30" s="1"/>
      <c r="C30" s="65" t="s">
        <v>35</v>
      </c>
      <c r="D30" s="65"/>
      <c r="E30" s="1">
        <v>0.121</v>
      </c>
      <c r="F30" s="1" t="s">
        <v>24</v>
      </c>
      <c r="L30" s="65" t="s">
        <v>36</v>
      </c>
      <c r="M30" s="65"/>
      <c r="N30" s="65"/>
      <c r="O30">
        <v>-0.05</v>
      </c>
      <c r="P30" t="s">
        <v>24</v>
      </c>
    </row>
    <row r="31" spans="2:16" x14ac:dyDescent="0.25">
      <c r="B31" s="65" t="s">
        <v>36</v>
      </c>
      <c r="C31" s="65"/>
      <c r="D31" s="65"/>
      <c r="E31" s="1">
        <v>2.2267000000000001</v>
      </c>
      <c r="F31" s="1" t="s">
        <v>24</v>
      </c>
      <c r="L31" s="65" t="s">
        <v>37</v>
      </c>
      <c r="M31" s="65"/>
      <c r="N31" s="65"/>
      <c r="O31" s="65" t="s">
        <v>39</v>
      </c>
      <c r="P31" s="65"/>
    </row>
    <row r="32" spans="2:16" x14ac:dyDescent="0.25">
      <c r="B32" s="65" t="s">
        <v>37</v>
      </c>
      <c r="C32" s="65"/>
      <c r="D32" s="65"/>
      <c r="E32" s="65" t="s">
        <v>28</v>
      </c>
      <c r="F32" s="65"/>
      <c r="L32" s="65" t="s">
        <v>38</v>
      </c>
      <c r="M32" s="65"/>
      <c r="N32" s="65"/>
      <c r="O32" s="65" t="s">
        <v>40</v>
      </c>
      <c r="P32" s="65"/>
    </row>
    <row r="33" spans="2:6" x14ac:dyDescent="0.25">
      <c r="B33" s="65" t="s">
        <v>38</v>
      </c>
      <c r="C33" s="65"/>
      <c r="D33" s="65"/>
      <c r="E33" s="65" t="s">
        <v>29</v>
      </c>
      <c r="F33" s="65"/>
    </row>
  </sheetData>
  <mergeCells count="54">
    <mergeCell ref="M19:N19"/>
    <mergeCell ref="M20:N20"/>
    <mergeCell ref="M21:N21"/>
    <mergeCell ref="C22:D22"/>
    <mergeCell ref="C21:D21"/>
    <mergeCell ref="C20:D20"/>
    <mergeCell ref="O31:P31"/>
    <mergeCell ref="O32:P32"/>
    <mergeCell ref="M23:N23"/>
    <mergeCell ref="M25:N25"/>
    <mergeCell ref="M26:N26"/>
    <mergeCell ref="M27:N27"/>
    <mergeCell ref="M28:N28"/>
    <mergeCell ref="M29:N29"/>
    <mergeCell ref="L30:N30"/>
    <mergeCell ref="L31:N31"/>
    <mergeCell ref="L32:N32"/>
    <mergeCell ref="C9:D9"/>
    <mergeCell ref="E9:F9"/>
    <mergeCell ref="G9:H9"/>
    <mergeCell ref="I9:J9"/>
    <mergeCell ref="E33:F33"/>
    <mergeCell ref="E32:F32"/>
    <mergeCell ref="B33:D33"/>
    <mergeCell ref="B32:D32"/>
    <mergeCell ref="B31:D31"/>
    <mergeCell ref="C26:D26"/>
    <mergeCell ref="C24:D24"/>
    <mergeCell ref="C30:D30"/>
    <mergeCell ref="C29:D29"/>
    <mergeCell ref="C28:D28"/>
    <mergeCell ref="C27:D27"/>
    <mergeCell ref="C8:D8"/>
    <mergeCell ref="L2:T2"/>
    <mergeCell ref="M3:N3"/>
    <mergeCell ref="O3:P3"/>
    <mergeCell ref="Q3:R3"/>
    <mergeCell ref="S3:T3"/>
    <mergeCell ref="E8:F8"/>
    <mergeCell ref="G8:H8"/>
    <mergeCell ref="I8:J8"/>
    <mergeCell ref="B2:J2"/>
    <mergeCell ref="C3:D3"/>
    <mergeCell ref="E3:F3"/>
    <mergeCell ref="G3:H3"/>
    <mergeCell ref="I3:J3"/>
    <mergeCell ref="O8:P8"/>
    <mergeCell ref="Q8:R8"/>
    <mergeCell ref="S8:T8"/>
    <mergeCell ref="M9:N9"/>
    <mergeCell ref="O9:P9"/>
    <mergeCell ref="Q9:R9"/>
    <mergeCell ref="S9:T9"/>
    <mergeCell ref="M8:N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All</vt:lpstr>
      <vt:lpstr>Rejection_indexes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2021-02-09T19:04:09Z</dcterms:modified>
</cp:coreProperties>
</file>