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603" documentId="11_475FE9F3598C6826A8644A43215A48A01398DF09" xr6:coauthVersionLast="46" xr6:coauthVersionMax="46" xr10:uidLastSave="{9A2682F5-20D3-4AA2-9E8C-8B70B7BECF4E}"/>
  <bookViews>
    <workbookView xWindow="-120" yWindow="-120" windowWidth="20730" windowHeight="11160" activeTab="2" xr2:uid="{00000000-000D-0000-FFFF-FFFF00000000}"/>
  </bookViews>
  <sheets>
    <sheet name="UF" sheetId="8" r:id="rId1"/>
    <sheet name="UF_plot" sheetId="9" r:id="rId2"/>
    <sheet name="Water_permeability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6" i="8"/>
  <c r="F10" i="10"/>
  <c r="F11" i="10"/>
  <c r="C9" i="10"/>
  <c r="D5" i="10"/>
  <c r="D11" i="10" s="1"/>
  <c r="C5" i="10"/>
  <c r="C11" i="10" s="1"/>
  <c r="E4" i="10"/>
  <c r="D4" i="10"/>
  <c r="D10" i="10" s="1"/>
  <c r="C4" i="10"/>
  <c r="C10" i="10" s="1"/>
  <c r="C13" i="10" s="1"/>
  <c r="E3" i="10"/>
  <c r="F9" i="10" s="1"/>
  <c r="D3" i="10"/>
  <c r="D9" i="10" s="1"/>
  <c r="M4" i="8"/>
  <c r="C12" i="10" l="1"/>
  <c r="D12" i="10"/>
  <c r="E9" i="10"/>
  <c r="D13" i="10"/>
  <c r="E10" i="10"/>
  <c r="E11" i="10"/>
  <c r="G9" i="10"/>
  <c r="F12" i="10"/>
  <c r="F13" i="10"/>
  <c r="G10" i="10"/>
  <c r="H7" i="8"/>
  <c r="H8" i="8"/>
  <c r="H9" i="8"/>
  <c r="G7" i="8"/>
  <c r="G8" i="8"/>
  <c r="G9" i="8"/>
  <c r="E10" i="8"/>
  <c r="G10" i="8" s="1"/>
  <c r="F16" i="8"/>
  <c r="F13" i="8"/>
  <c r="F14" i="8"/>
  <c r="F15" i="8"/>
  <c r="F12" i="8"/>
  <c r="G12" i="10" l="1"/>
  <c r="E12" i="10"/>
  <c r="E13" i="10"/>
  <c r="H10" i="8"/>
  <c r="F22" i="8"/>
  <c r="F28" i="8" s="1"/>
  <c r="D15" i="8"/>
  <c r="D16" i="8"/>
  <c r="E13" i="8"/>
  <c r="E19" i="8" s="1"/>
  <c r="E25" i="8" s="1"/>
  <c r="E14" i="8"/>
  <c r="E20" i="8" s="1"/>
  <c r="E26" i="8" s="1"/>
  <c r="E15" i="8"/>
  <c r="E21" i="8" s="1"/>
  <c r="E27" i="8" s="1"/>
  <c r="L10" i="8"/>
  <c r="L9" i="8"/>
  <c r="F21" i="8"/>
  <c r="F27" i="8" s="1"/>
  <c r="F20" i="8"/>
  <c r="F26" i="8" s="1"/>
  <c r="D14" i="8"/>
  <c r="F19" i="8"/>
  <c r="F25" i="8" s="1"/>
  <c r="D13" i="8"/>
  <c r="F18" i="8"/>
  <c r="F24" i="8" s="1"/>
  <c r="E12" i="8"/>
  <c r="E18" i="8" s="1"/>
  <c r="E24" i="8" s="1"/>
  <c r="D12" i="8"/>
  <c r="M6" i="8"/>
  <c r="H6" i="8"/>
  <c r="M5" i="8"/>
  <c r="E16" i="8" l="1"/>
  <c r="H16" i="8" s="1"/>
  <c r="D22" i="8"/>
  <c r="D21" i="8"/>
  <c r="G15" i="8"/>
  <c r="H15" i="8"/>
  <c r="D20" i="8"/>
  <c r="H14" i="8"/>
  <c r="G14" i="8"/>
  <c r="D19" i="8"/>
  <c r="D25" i="8" s="1"/>
  <c r="H13" i="8"/>
  <c r="G13" i="8"/>
  <c r="H12" i="8"/>
  <c r="O4" i="8"/>
  <c r="N4" i="8"/>
  <c r="D18" i="8"/>
  <c r="G12" i="8"/>
  <c r="G16" i="8" l="1"/>
  <c r="D28" i="8"/>
  <c r="E22" i="8"/>
  <c r="H22" i="8" s="1"/>
  <c r="D27" i="8"/>
  <c r="H21" i="8"/>
  <c r="G21" i="8"/>
  <c r="G20" i="8"/>
  <c r="H20" i="8"/>
  <c r="D26" i="8"/>
  <c r="G25" i="8"/>
  <c r="H25" i="8"/>
  <c r="H19" i="8"/>
  <c r="G19" i="8"/>
  <c r="D24" i="8"/>
  <c r="G24" i="8" s="1"/>
  <c r="H18" i="8"/>
  <c r="G18" i="8"/>
  <c r="G22" i="8" l="1"/>
  <c r="E28" i="8"/>
  <c r="G28" i="8" s="1"/>
  <c r="H27" i="8"/>
  <c r="G27" i="8"/>
  <c r="G26" i="8"/>
  <c r="H26" i="8"/>
  <c r="H24" i="8"/>
  <c r="H2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1" authorId="0" shapeId="0" xr:uid="{D360911C-141C-432A-BEF4-2DF66C9DFA1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We considered 100% recuperation even though mathematically the value is higher than 100.</t>
        </r>
      </text>
    </comment>
  </commentList>
</comments>
</file>

<file path=xl/sharedStrings.xml><?xml version="1.0" encoding="utf-8"?>
<sst xmlns="http://schemas.openxmlformats.org/spreadsheetml/2006/main" count="73" uniqueCount="48">
  <si>
    <t>Volume (mL)</t>
  </si>
  <si>
    <t>T = 10 ºC</t>
  </si>
  <si>
    <t>50 Hz</t>
  </si>
  <si>
    <t>Effective area</t>
  </si>
  <si>
    <t>3.5 bar</t>
  </si>
  <si>
    <t>V before</t>
  </si>
  <si>
    <t>V after</t>
  </si>
  <si>
    <t>VCF</t>
  </si>
  <si>
    <t>Mean</t>
  </si>
  <si>
    <t>SD</t>
  </si>
  <si>
    <t>Water Jp before</t>
  </si>
  <si>
    <t>Water Jp after</t>
  </si>
  <si>
    <t>Water Jp clean</t>
  </si>
  <si>
    <t>Time (min)</t>
  </si>
  <si>
    <t>Time (s) - T1</t>
  </si>
  <si>
    <t>Filtration (min)</t>
  </si>
  <si>
    <t>Time (s) - T2</t>
  </si>
  <si>
    <t>Time (s) - T3</t>
  </si>
  <si>
    <t>Mean duration</t>
  </si>
  <si>
    <t>Jp (L/m2.h)</t>
  </si>
  <si>
    <t>Loss in efficiency
(%)</t>
  </si>
  <si>
    <t>Recuperation
in efficiency
(%)</t>
  </si>
  <si>
    <t>F =</t>
  </si>
  <si>
    <t>(p) =</t>
  </si>
  <si>
    <t>Tukey:</t>
  </si>
  <si>
    <t>Q</t>
  </si>
  <si>
    <t>(p)</t>
  </si>
  <si>
    <t>&lt; 0.01</t>
  </si>
  <si>
    <t>ns</t>
  </si>
  <si>
    <t>Sources of variation</t>
  </si>
  <si>
    <t>Treatments</t>
  </si>
  <si>
    <t>Error</t>
  </si>
  <si>
    <t>MeanV (Column1) =</t>
  </si>
  <si>
    <t>MeanV (Column2) =</t>
  </si>
  <si>
    <t>MeanV (Column3) =</t>
  </si>
  <si>
    <t>Difference</t>
  </si>
  <si>
    <t>RSS</t>
  </si>
  <si>
    <t>MS</t>
  </si>
  <si>
    <t>DF</t>
  </si>
  <si>
    <t>Means (1 to 2) =</t>
  </si>
  <si>
    <t>Means (1 to 3) =</t>
  </si>
  <si>
    <t>Means (2 to 3) =</t>
  </si>
  <si>
    <t>Stat</t>
  </si>
  <si>
    <t>a</t>
  </si>
  <si>
    <t>b</t>
  </si>
  <si>
    <r>
      <t>A</t>
    </r>
    <r>
      <rPr>
        <vertAlign val="subscript"/>
        <sz val="11"/>
        <color theme="1"/>
        <rFont val="Calibri"/>
        <family val="2"/>
        <scheme val="minor"/>
      </rPr>
      <t>w,i</t>
    </r>
  </si>
  <si>
    <r>
      <t>A</t>
    </r>
    <r>
      <rPr>
        <vertAlign val="subscript"/>
        <sz val="11"/>
        <color theme="1"/>
        <rFont val="Calibri"/>
        <family val="2"/>
        <scheme val="minor"/>
      </rPr>
      <t>w,f</t>
    </r>
  </si>
  <si>
    <r>
      <t>A</t>
    </r>
    <r>
      <rPr>
        <vertAlign val="subscript"/>
        <sz val="11"/>
        <color theme="1"/>
        <rFont val="Calibri"/>
        <family val="2"/>
        <scheme val="minor"/>
      </rPr>
      <t>w,c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</si>
</sst>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9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UF_plot!$C$2</c:f>
              <c:strCache>
                <c:ptCount val="1"/>
                <c:pt idx="0">
                  <c:v>Jp (L/m2.h)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UF_plot!$D$3:$D$7</c:f>
                <c:numCache>
                  <c:formatCode>General</c:formatCode>
                  <c:ptCount val="5"/>
                  <c:pt idx="0">
                    <c:v>1.0069053905037622</c:v>
                  </c:pt>
                  <c:pt idx="1">
                    <c:v>0.40520257588132352</c:v>
                  </c:pt>
                  <c:pt idx="2">
                    <c:v>0.31938793701265944</c:v>
                  </c:pt>
                  <c:pt idx="3">
                    <c:v>1.5472313354242351</c:v>
                  </c:pt>
                  <c:pt idx="4">
                    <c:v>0.69404439931392936</c:v>
                  </c:pt>
                </c:numCache>
              </c:numRef>
            </c:plus>
            <c:minus>
              <c:numRef>
                <c:f>UF_plot!$D$3:$D$7</c:f>
                <c:numCache>
                  <c:formatCode>General</c:formatCode>
                  <c:ptCount val="5"/>
                  <c:pt idx="0">
                    <c:v>1.0069053905037622</c:v>
                  </c:pt>
                  <c:pt idx="1">
                    <c:v>0.40520257588132352</c:v>
                  </c:pt>
                  <c:pt idx="2">
                    <c:v>0.31938793701265944</c:v>
                  </c:pt>
                  <c:pt idx="3">
                    <c:v>1.5472313354242351</c:v>
                  </c:pt>
                  <c:pt idx="4">
                    <c:v>0.69404439931392936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94000"/>
                  </a:schemeClr>
                </a:solidFill>
                <a:round/>
              </a:ln>
              <a:effectLst/>
            </c:spPr>
          </c:errBars>
          <c:xVal>
            <c:numRef>
              <c:f>UF_plot!$B$3:$B$7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66</c:v>
                </c:pt>
              </c:numCache>
            </c:numRef>
          </c:xVal>
          <c:yVal>
            <c:numRef>
              <c:f>UF_plot!$C$3:$C$7</c:f>
              <c:numCache>
                <c:formatCode>0.0000</c:formatCode>
                <c:ptCount val="5"/>
                <c:pt idx="0">
                  <c:v>15.536989132039098</c:v>
                </c:pt>
                <c:pt idx="1">
                  <c:v>12.051118752549423</c:v>
                </c:pt>
                <c:pt idx="2">
                  <c:v>10.796345770196396</c:v>
                </c:pt>
                <c:pt idx="3">
                  <c:v>8.3741890690739726</c:v>
                </c:pt>
                <c:pt idx="4">
                  <c:v>6.5523324122802746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3-411E-9B67-CA255A96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44975"/>
        <c:axId val="638541647"/>
      </c:scatterChart>
      <c:valAx>
        <c:axId val="6385449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sz="800" baseline="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638541647"/>
        <c:crosses val="autoZero"/>
        <c:crossBetween val="midCat"/>
      </c:valAx>
      <c:valAx>
        <c:axId val="63854164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sz="800" baseline="0"/>
                  <a:t>Permeate flux (L/m².h)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63854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tx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20-4B29-B313-B40BD65BA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0-4B29-B313-B40BD65BA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20-4B29-B313-B40BD65BA540}"/>
              </c:ext>
            </c:extLst>
          </c:dPt>
          <c:errBars>
            <c:errBarType val="plus"/>
            <c:errValType val="cust"/>
            <c:noEndCap val="0"/>
            <c:plus>
              <c:numRef>
                <c:f>(Water_permeability!$C$13,Water_permeability!$D$13,Water_permeability!$F$13)</c:f>
                <c:numCache>
                  <c:formatCode>General</c:formatCode>
                  <c:ptCount val="3"/>
                  <c:pt idx="0">
                    <c:v>5.9844743427375793E-2</c:v>
                  </c:pt>
                  <c:pt idx="1">
                    <c:v>5.5672494578967599E-2</c:v>
                  </c:pt>
                  <c:pt idx="2">
                    <c:v>5.120052587607081E-2</c:v>
                  </c:pt>
                </c:numCache>
              </c:numRef>
            </c:plus>
            <c:minus>
              <c:numRef>
                <c:f>(Water_permeability!$C$13,Water_permeability!$D$13,Water_permeability!$F$13)</c:f>
                <c:numCache>
                  <c:formatCode>General</c:formatCode>
                  <c:ptCount val="3"/>
                  <c:pt idx="0">
                    <c:v>5.9844743427375793E-2</c:v>
                  </c:pt>
                  <c:pt idx="1">
                    <c:v>5.5672494578967599E-2</c:v>
                  </c:pt>
                  <c:pt idx="2">
                    <c:v>5.120052587607081E-2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(Water_permeability!$C$8,Water_permeability!$D$8,Water_permeability!$F$8)</c:f>
              <c:strCache>
                <c:ptCount val="3"/>
                <c:pt idx="0">
                  <c:v>Aw,i</c:v>
                </c:pt>
                <c:pt idx="1">
                  <c:v>Aw,f</c:v>
                </c:pt>
                <c:pt idx="2">
                  <c:v>Aw,c</c:v>
                </c:pt>
              </c:strCache>
            </c:strRef>
          </c:cat>
          <c:val>
            <c:numRef>
              <c:f>(Water_permeability!$C$12,Water_permeability!$D$12,Water_permeability!$F$12)</c:f>
              <c:numCache>
                <c:formatCode>0.00</c:formatCode>
                <c:ptCount val="3"/>
                <c:pt idx="0">
                  <c:v>0.91820696384866241</c:v>
                </c:pt>
                <c:pt idx="1">
                  <c:v>0.38992421717627029</c:v>
                </c:pt>
                <c:pt idx="2">
                  <c:v>0.89692809707005428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B29-B313-B40BD65B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684784"/>
        <c:axId val="1360685200"/>
      </c:barChart>
      <c:catAx>
        <c:axId val="13606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360685200"/>
        <c:crosses val="autoZero"/>
        <c:auto val="0"/>
        <c:lblAlgn val="ctr"/>
        <c:lblOffset val="100"/>
        <c:noMultiLvlLbl val="0"/>
      </c:catAx>
      <c:valAx>
        <c:axId val="1360685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360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14287</xdr:rowOff>
    </xdr:from>
    <xdr:to>
      <xdr:col>11</xdr:col>
      <xdr:colOff>333375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E89EE4-E802-42DB-9C6E-C95F5E66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30</xdr:row>
      <xdr:rowOff>100012</xdr:rowOff>
    </xdr:from>
    <xdr:to>
      <xdr:col>5</xdr:col>
      <xdr:colOff>14287</xdr:colOff>
      <xdr:row>44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DBB28-6915-40B1-8565-470143F5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BDE7-F5D2-4022-A9B7-5E0F94767B6A}">
  <dimension ref="B2:O29"/>
  <sheetViews>
    <sheetView workbookViewId="0">
      <selection activeCell="G7" sqref="G7"/>
    </sheetView>
  </sheetViews>
  <sheetFormatPr defaultRowHeight="15" x14ac:dyDescent="0.25"/>
  <cols>
    <col min="1" max="1" width="3.5703125" customWidth="1"/>
    <col min="2" max="8" width="15.7109375" customWidth="1"/>
    <col min="9" max="9" width="3.28515625" customWidth="1"/>
    <col min="10" max="10" width="4.42578125" customWidth="1"/>
    <col min="11" max="13" width="15.7109375" customWidth="1"/>
  </cols>
  <sheetData>
    <row r="2" spans="2:15" ht="15.75" thickBot="1" x14ac:dyDescent="0.3">
      <c r="B2" s="1" t="s">
        <v>3</v>
      </c>
      <c r="C2" s="1" t="s">
        <v>1</v>
      </c>
      <c r="D2" s="1" t="s">
        <v>4</v>
      </c>
      <c r="E2" s="1" t="s">
        <v>2</v>
      </c>
      <c r="F2" s="1"/>
      <c r="G2" s="1"/>
      <c r="H2" s="1"/>
      <c r="I2" s="12"/>
      <c r="K2" s="1"/>
      <c r="L2" s="1"/>
    </row>
    <row r="3" spans="2:15" x14ac:dyDescent="0.25">
      <c r="B3" s="1">
        <v>0.23</v>
      </c>
      <c r="C3" s="1"/>
      <c r="D3" s="1"/>
      <c r="E3" s="1"/>
      <c r="F3" s="1"/>
      <c r="G3" s="1"/>
      <c r="H3" s="1"/>
      <c r="I3" s="12"/>
      <c r="J3" s="18"/>
      <c r="K3" s="15" t="s">
        <v>5</v>
      </c>
      <c r="L3" s="15" t="s">
        <v>6</v>
      </c>
      <c r="M3" s="15" t="s">
        <v>7</v>
      </c>
      <c r="N3" s="15" t="s">
        <v>8</v>
      </c>
      <c r="O3" s="21" t="s">
        <v>9</v>
      </c>
    </row>
    <row r="4" spans="2:15" x14ac:dyDescent="0.25">
      <c r="D4" s="10"/>
      <c r="E4" s="10"/>
      <c r="F4" s="10"/>
      <c r="I4" s="11"/>
      <c r="J4" s="19">
        <v>1</v>
      </c>
      <c r="K4" s="16">
        <v>4.79</v>
      </c>
      <c r="L4" s="16">
        <v>1.96</v>
      </c>
      <c r="M4" s="22">
        <f>K4/L4</f>
        <v>2.443877551020408</v>
      </c>
      <c r="N4" s="59">
        <f>AVERAGE(M4:M6)</f>
        <v>2.5358271053827175</v>
      </c>
      <c r="O4" s="61">
        <f>STDEV(M4:M6)</f>
        <v>0.12176003603632356</v>
      </c>
    </row>
    <row r="5" spans="2:15" x14ac:dyDescent="0.25">
      <c r="B5" s="5" t="s">
        <v>15</v>
      </c>
      <c r="C5" s="5" t="s">
        <v>0</v>
      </c>
      <c r="D5" s="5" t="s">
        <v>14</v>
      </c>
      <c r="E5" s="5" t="s">
        <v>16</v>
      </c>
      <c r="F5" s="5" t="s">
        <v>17</v>
      </c>
      <c r="G5" s="5" t="s">
        <v>8</v>
      </c>
      <c r="H5" s="5" t="s">
        <v>9</v>
      </c>
      <c r="I5" s="13"/>
      <c r="J5" s="19">
        <v>2</v>
      </c>
      <c r="K5" s="16">
        <v>4.92</v>
      </c>
      <c r="L5" s="16">
        <v>1.84</v>
      </c>
      <c r="M5" s="22">
        <f t="shared" ref="M5:M6" si="0">K5/L5</f>
        <v>2.6739130434782608</v>
      </c>
      <c r="N5" s="59"/>
      <c r="O5" s="61"/>
    </row>
    <row r="6" spans="2:15" ht="15.75" thickBot="1" x14ac:dyDescent="0.3">
      <c r="B6" s="2">
        <v>0</v>
      </c>
      <c r="C6" s="2">
        <v>50</v>
      </c>
      <c r="D6" s="1">
        <v>50.94</v>
      </c>
      <c r="E6" s="2">
        <v>47.09</v>
      </c>
      <c r="F6" s="2">
        <v>53.5</v>
      </c>
      <c r="G6" s="3">
        <f>AVERAGE(D6:F6)</f>
        <v>50.51</v>
      </c>
      <c r="H6" s="7">
        <f>STDEV(D6:F6)</f>
        <v>3.226561637409084</v>
      </c>
      <c r="I6" s="14"/>
      <c r="J6" s="20">
        <v>3</v>
      </c>
      <c r="K6" s="17">
        <v>4.83</v>
      </c>
      <c r="L6" s="17">
        <v>1.94</v>
      </c>
      <c r="M6" s="23">
        <f t="shared" si="0"/>
        <v>2.4896907216494846</v>
      </c>
      <c r="N6" s="60"/>
      <c r="O6" s="62"/>
    </row>
    <row r="7" spans="2:15" ht="15.75" thickBot="1" x14ac:dyDescent="0.3">
      <c r="B7" s="2">
        <v>20</v>
      </c>
      <c r="C7" s="2">
        <v>50</v>
      </c>
      <c r="D7" s="1">
        <v>64.72</v>
      </c>
      <c r="E7" s="2">
        <v>62.94</v>
      </c>
      <c r="F7" s="2">
        <v>67.31</v>
      </c>
      <c r="G7" s="3">
        <f t="shared" ref="G7:G10" si="1">AVERAGE(D7:F7)</f>
        <v>64.989999999999995</v>
      </c>
      <c r="H7" s="7">
        <f t="shared" ref="H7:H10" si="2">STDEV(D7:F7)</f>
        <v>2.1974758246679325</v>
      </c>
      <c r="I7" s="14"/>
      <c r="K7" s="1"/>
      <c r="L7" s="1"/>
      <c r="M7" s="1"/>
    </row>
    <row r="8" spans="2:15" x14ac:dyDescent="0.25">
      <c r="B8" s="2">
        <v>40</v>
      </c>
      <c r="C8" s="2">
        <v>50</v>
      </c>
      <c r="D8" s="1">
        <v>74.12</v>
      </c>
      <c r="E8" s="2">
        <v>70.13</v>
      </c>
      <c r="F8" s="2">
        <v>73.34</v>
      </c>
      <c r="G8" s="3">
        <f t="shared" si="1"/>
        <v>72.53</v>
      </c>
      <c r="H8" s="7">
        <f t="shared" si="2"/>
        <v>2.1147340258292582</v>
      </c>
      <c r="I8" s="14"/>
      <c r="J8" s="18"/>
      <c r="K8" s="63" t="s">
        <v>18</v>
      </c>
      <c r="L8" s="64"/>
      <c r="M8" s="1"/>
    </row>
    <row r="9" spans="2:15" x14ac:dyDescent="0.25">
      <c r="B9" s="2">
        <v>60</v>
      </c>
      <c r="C9" s="2">
        <v>50</v>
      </c>
      <c r="D9" s="1">
        <v>110.29</v>
      </c>
      <c r="E9" s="2">
        <v>77.53</v>
      </c>
      <c r="F9" s="2">
        <v>98.66</v>
      </c>
      <c r="G9" s="3">
        <f t="shared" si="1"/>
        <v>95.493333333333339</v>
      </c>
      <c r="H9" s="7">
        <f t="shared" si="2"/>
        <v>16.607987034355826</v>
      </c>
      <c r="I9" s="14"/>
      <c r="J9" s="56">
        <v>1</v>
      </c>
      <c r="K9" s="54">
        <v>70</v>
      </c>
      <c r="L9" s="57">
        <f>AVERAGE(K9:K11)</f>
        <v>66</v>
      </c>
      <c r="M9" s="1"/>
    </row>
    <row r="10" spans="2:15" x14ac:dyDescent="0.25">
      <c r="B10" s="30">
        <v>66</v>
      </c>
      <c r="C10" s="2">
        <v>50</v>
      </c>
      <c r="D10" s="1">
        <v>133.59</v>
      </c>
      <c r="E10" s="3">
        <f>AVERAGE(D10,F10)</f>
        <v>120.795</v>
      </c>
      <c r="F10" s="2">
        <v>108</v>
      </c>
      <c r="G10" s="3">
        <f t="shared" si="1"/>
        <v>120.795</v>
      </c>
      <c r="H10" s="7">
        <f t="shared" si="2"/>
        <v>12.795000000000002</v>
      </c>
      <c r="I10" s="14"/>
      <c r="J10" s="19">
        <v>2</v>
      </c>
      <c r="K10" s="24">
        <v>60</v>
      </c>
      <c r="L10" s="52">
        <f>STDEV(K9:K11)</f>
        <v>5.2915026221291814</v>
      </c>
    </row>
    <row r="11" spans="2:15" ht="15.75" thickBot="1" x14ac:dyDescent="0.3">
      <c r="C11" s="5" t="s">
        <v>15</v>
      </c>
      <c r="D11" s="5" t="s">
        <v>14</v>
      </c>
      <c r="E11" s="5" t="s">
        <v>16</v>
      </c>
      <c r="F11" s="5" t="s">
        <v>17</v>
      </c>
      <c r="G11" s="5" t="s">
        <v>8</v>
      </c>
      <c r="H11" s="5" t="s">
        <v>9</v>
      </c>
      <c r="I11" s="13"/>
      <c r="J11" s="20">
        <v>3</v>
      </c>
      <c r="K11" s="55">
        <v>68</v>
      </c>
      <c r="L11" s="53"/>
    </row>
    <row r="12" spans="2:15" x14ac:dyDescent="0.25">
      <c r="C12" s="2">
        <v>0</v>
      </c>
      <c r="D12" s="3">
        <f>$C$6/D6</f>
        <v>0.98154691794267768</v>
      </c>
      <c r="E12" s="3">
        <f>$C$6/E6</f>
        <v>1.0617965597791463</v>
      </c>
      <c r="F12" s="3">
        <f>$C$6/F6</f>
        <v>0.93457943925233644</v>
      </c>
      <c r="G12" s="3">
        <f>AVERAGE(D12:F12)</f>
        <v>0.99264097232472015</v>
      </c>
      <c r="H12" s="7">
        <f>STDEV(D12:F12)</f>
        <v>6.4330066615518169E-2</v>
      </c>
      <c r="I12" s="14"/>
    </row>
    <row r="13" spans="2:15" x14ac:dyDescent="0.25">
      <c r="C13" s="2">
        <v>20</v>
      </c>
      <c r="D13" s="3">
        <f>$C$6/D7</f>
        <v>0.77255871446229918</v>
      </c>
      <c r="E13" s="3">
        <f t="shared" ref="E13:F15" si="3">$C$6/E7</f>
        <v>0.79440737210041312</v>
      </c>
      <c r="F13" s="3">
        <f t="shared" si="3"/>
        <v>0.7428316743425939</v>
      </c>
      <c r="G13" s="3">
        <f t="shared" ref="G13:G16" si="4">AVERAGE(D13:F13)</f>
        <v>0.76993258696843547</v>
      </c>
      <c r="H13" s="7">
        <f t="shared" ref="H13:H16" si="5">STDEV(D13:F13)</f>
        <v>2.5887942347973512E-2</v>
      </c>
      <c r="I13" s="14"/>
    </row>
    <row r="14" spans="2:15" x14ac:dyDescent="0.25">
      <c r="C14" s="2">
        <v>40</v>
      </c>
      <c r="D14" s="3">
        <f>$C$6/D8</f>
        <v>0.67458175930922826</v>
      </c>
      <c r="E14" s="3">
        <f t="shared" si="3"/>
        <v>0.71296164266362472</v>
      </c>
      <c r="F14" s="3">
        <f t="shared" si="3"/>
        <v>0.6817562039814562</v>
      </c>
      <c r="G14" s="3">
        <f t="shared" si="4"/>
        <v>0.68976653531810295</v>
      </c>
      <c r="H14" s="7">
        <f t="shared" si="5"/>
        <v>2.0405340420253212E-2</v>
      </c>
      <c r="I14" s="14"/>
    </row>
    <row r="15" spans="2:15" x14ac:dyDescent="0.25">
      <c r="C15" s="29">
        <v>60</v>
      </c>
      <c r="D15" s="3">
        <f t="shared" ref="D15:D16" si="6">$C$6/D9</f>
        <v>0.45335025840964727</v>
      </c>
      <c r="E15" s="3">
        <f t="shared" si="3"/>
        <v>0.64491164710434667</v>
      </c>
      <c r="F15" s="3">
        <f t="shared" si="3"/>
        <v>0.50679099939185079</v>
      </c>
      <c r="G15" s="3">
        <f t="shared" si="4"/>
        <v>0.53501763496861487</v>
      </c>
      <c r="H15" s="7">
        <f t="shared" si="5"/>
        <v>9.8850890874326761E-2</v>
      </c>
      <c r="I15" s="14"/>
    </row>
    <row r="16" spans="2:15" x14ac:dyDescent="0.25">
      <c r="C16" s="30">
        <v>66</v>
      </c>
      <c r="D16" s="3">
        <f t="shared" si="6"/>
        <v>0.37427951193951642</v>
      </c>
      <c r="E16" s="3">
        <f>AVERAGE(D16,F16)</f>
        <v>0.41862123745123969</v>
      </c>
      <c r="F16" s="3">
        <f t="shared" ref="F16" si="7">$C$6/F10</f>
        <v>0.46296296296296297</v>
      </c>
      <c r="G16" s="3">
        <f t="shared" si="4"/>
        <v>0.41862123745123969</v>
      </c>
      <c r="H16" s="7">
        <f t="shared" si="5"/>
        <v>4.4341725511723273E-2</v>
      </c>
      <c r="I16" s="14"/>
    </row>
    <row r="17" spans="3:12" x14ac:dyDescent="0.25">
      <c r="C17" s="5" t="s">
        <v>15</v>
      </c>
      <c r="D17" s="5" t="s">
        <v>14</v>
      </c>
      <c r="E17" s="5" t="s">
        <v>16</v>
      </c>
      <c r="F17" s="5" t="s">
        <v>17</v>
      </c>
      <c r="G17" s="5" t="s">
        <v>8</v>
      </c>
      <c r="H17" s="5" t="s">
        <v>9</v>
      </c>
      <c r="I17" s="13"/>
    </row>
    <row r="18" spans="3:12" x14ac:dyDescent="0.25">
      <c r="C18" s="2">
        <v>0</v>
      </c>
      <c r="D18" s="4">
        <f t="shared" ref="D18:F20" si="8">D12/$B$3</f>
        <v>4.2675952954029466</v>
      </c>
      <c r="E18" s="4">
        <f t="shared" si="8"/>
        <v>4.6165067816484617</v>
      </c>
      <c r="F18" s="4">
        <f t="shared" si="8"/>
        <v>4.0633888663145061</v>
      </c>
      <c r="G18" s="3">
        <f>AVERAGE(D18:F18)</f>
        <v>4.3158303144553054</v>
      </c>
      <c r="H18" s="7">
        <f>STDEV(D18:F18)</f>
        <v>0.27969594180660046</v>
      </c>
      <c r="I18" s="14"/>
    </row>
    <row r="19" spans="3:12" x14ac:dyDescent="0.25">
      <c r="C19" s="2">
        <v>20</v>
      </c>
      <c r="D19" s="4">
        <f t="shared" si="8"/>
        <v>3.3589509324447788</v>
      </c>
      <c r="E19" s="4">
        <f t="shared" si="8"/>
        <v>3.4539450960887526</v>
      </c>
      <c r="F19" s="4">
        <f t="shared" si="8"/>
        <v>3.2297029319243213</v>
      </c>
      <c r="G19" s="3">
        <f t="shared" ref="G19:G22" si="9">AVERAGE(D19:F19)</f>
        <v>3.3475329868192838</v>
      </c>
      <c r="H19" s="7">
        <f t="shared" ref="H19:H22" si="10">STDEV(D19:F19)</f>
        <v>0.11255627107814559</v>
      </c>
      <c r="I19" s="14"/>
    </row>
    <row r="20" spans="3:12" x14ac:dyDescent="0.25">
      <c r="C20" s="2">
        <v>40</v>
      </c>
      <c r="D20" s="4">
        <f t="shared" si="8"/>
        <v>2.9329641709096879</v>
      </c>
      <c r="E20" s="4">
        <f t="shared" si="8"/>
        <v>3.0998332289722814</v>
      </c>
      <c r="F20" s="4">
        <f t="shared" si="8"/>
        <v>2.9641574086150269</v>
      </c>
      <c r="G20" s="3">
        <f t="shared" si="9"/>
        <v>2.9989849361656655</v>
      </c>
      <c r="H20" s="7">
        <f t="shared" si="10"/>
        <v>8.8718871392405405E-2</v>
      </c>
      <c r="I20" s="14"/>
    </row>
    <row r="21" spans="3:12" x14ac:dyDescent="0.25">
      <c r="C21" s="29">
        <v>60</v>
      </c>
      <c r="D21" s="4">
        <f t="shared" ref="D21:F21" si="11">D15/$B$3</f>
        <v>1.9710880800419446</v>
      </c>
      <c r="E21" s="4">
        <f t="shared" si="11"/>
        <v>2.8039636830623769</v>
      </c>
      <c r="F21" s="4">
        <f t="shared" si="11"/>
        <v>2.2034391277906553</v>
      </c>
      <c r="G21" s="3">
        <f t="shared" si="9"/>
        <v>2.3261636302983253</v>
      </c>
      <c r="H21" s="7">
        <f t="shared" si="10"/>
        <v>0.42978648206229192</v>
      </c>
      <c r="I21" s="14"/>
      <c r="K21" s="1"/>
      <c r="L21" s="1"/>
    </row>
    <row r="22" spans="3:12" x14ac:dyDescent="0.25">
      <c r="C22" s="30">
        <v>66</v>
      </c>
      <c r="D22" s="4">
        <f t="shared" ref="D22:F22" si="12">D16/$B$3</f>
        <v>1.6273022258239844</v>
      </c>
      <c r="E22" s="3">
        <f>AVERAGE(D22,F22)</f>
        <v>1.8200923367445205</v>
      </c>
      <c r="F22" s="4">
        <f t="shared" si="12"/>
        <v>2.0128824476650564</v>
      </c>
      <c r="G22" s="3">
        <f t="shared" si="9"/>
        <v>1.8200923367445203</v>
      </c>
      <c r="H22" s="7">
        <f t="shared" si="10"/>
        <v>0.192790110920536</v>
      </c>
      <c r="I22" s="14"/>
      <c r="K22" s="1"/>
      <c r="L22" s="1"/>
    </row>
    <row r="23" spans="3:12" x14ac:dyDescent="0.25">
      <c r="C23" s="5" t="s">
        <v>15</v>
      </c>
      <c r="D23" s="5" t="s">
        <v>14</v>
      </c>
      <c r="E23" s="5" t="s">
        <v>16</v>
      </c>
      <c r="F23" s="5" t="s">
        <v>17</v>
      </c>
      <c r="G23" s="5" t="s">
        <v>8</v>
      </c>
      <c r="H23" s="5" t="s">
        <v>9</v>
      </c>
      <c r="I23" s="13"/>
      <c r="K23" s="1"/>
      <c r="L23" s="1"/>
    </row>
    <row r="24" spans="3:12" x14ac:dyDescent="0.25">
      <c r="C24" s="2">
        <v>0</v>
      </c>
      <c r="D24" s="3">
        <f t="shared" ref="D24:F26" si="13">D18*3.6</f>
        <v>15.363343063450609</v>
      </c>
      <c r="E24" s="3">
        <f t="shared" si="13"/>
        <v>16.619424413934464</v>
      </c>
      <c r="F24" s="3">
        <f t="shared" si="13"/>
        <v>14.628199918732223</v>
      </c>
      <c r="G24" s="3">
        <f>AVERAGE(D24:F24)</f>
        <v>15.536989132039098</v>
      </c>
      <c r="H24" s="7">
        <f>STDEV(D24:F24)</f>
        <v>1.0069053905037622</v>
      </c>
      <c r="I24" s="14"/>
      <c r="K24" s="1"/>
      <c r="L24" s="1"/>
    </row>
    <row r="25" spans="3:12" x14ac:dyDescent="0.25">
      <c r="C25" s="2">
        <v>20</v>
      </c>
      <c r="D25" s="3">
        <f t="shared" si="13"/>
        <v>12.092223356801204</v>
      </c>
      <c r="E25" s="3">
        <f>E19*3.6</f>
        <v>12.434202345919509</v>
      </c>
      <c r="F25" s="3">
        <f t="shared" ref="F25" si="14">F19*3.6</f>
        <v>11.626930554927558</v>
      </c>
      <c r="G25" s="3">
        <f t="shared" ref="G25:G28" si="15">AVERAGE(D25:F25)</f>
        <v>12.051118752549423</v>
      </c>
      <c r="H25" s="7">
        <f t="shared" ref="H25:H28" si="16">STDEV(D25:F25)</f>
        <v>0.40520257588132352</v>
      </c>
      <c r="I25" s="14"/>
      <c r="K25" s="1"/>
      <c r="L25" s="1"/>
    </row>
    <row r="26" spans="3:12" x14ac:dyDescent="0.25">
      <c r="C26" s="2">
        <v>40</v>
      </c>
      <c r="D26" s="3">
        <f t="shared" si="13"/>
        <v>10.558671015274877</v>
      </c>
      <c r="E26" s="3">
        <f t="shared" si="13"/>
        <v>11.159399624300214</v>
      </c>
      <c r="F26" s="3">
        <f t="shared" ref="F26" si="17">F20*3.6</f>
        <v>10.670966671014098</v>
      </c>
      <c r="G26" s="3">
        <f t="shared" si="15"/>
        <v>10.796345770196396</v>
      </c>
      <c r="H26" s="7">
        <f t="shared" si="16"/>
        <v>0.31938793701265944</v>
      </c>
      <c r="I26" s="14"/>
      <c r="K26" s="1"/>
      <c r="L26" s="1"/>
    </row>
    <row r="27" spans="3:12" x14ac:dyDescent="0.25">
      <c r="C27" s="29">
        <v>60</v>
      </c>
      <c r="D27" s="3">
        <f t="shared" ref="D27:F27" si="18">D21*3.6</f>
        <v>7.0959170881510003</v>
      </c>
      <c r="E27" s="3">
        <f t="shared" si="18"/>
        <v>10.094269259024557</v>
      </c>
      <c r="F27" s="3">
        <f t="shared" si="18"/>
        <v>7.9323808600463597</v>
      </c>
      <c r="G27" s="3">
        <f t="shared" si="15"/>
        <v>8.3741890690739726</v>
      </c>
      <c r="H27" s="7">
        <f t="shared" si="16"/>
        <v>1.5472313354242351</v>
      </c>
      <c r="I27" s="14"/>
      <c r="K27" s="1"/>
      <c r="L27" s="1"/>
    </row>
    <row r="28" spans="3:12" x14ac:dyDescent="0.25">
      <c r="C28" s="30">
        <v>66</v>
      </c>
      <c r="D28" s="6">
        <f t="shared" ref="D28" si="19">D22*3.6</f>
        <v>5.8582880129663444</v>
      </c>
      <c r="E28" s="6">
        <f>AVERAGE(D28,F28)</f>
        <v>6.5523324122802737</v>
      </c>
      <c r="F28" s="6">
        <f>F22*3.6</f>
        <v>7.2463768115942031</v>
      </c>
      <c r="G28" s="6">
        <f t="shared" si="15"/>
        <v>6.5523324122802746</v>
      </c>
      <c r="H28" s="6">
        <f t="shared" si="16"/>
        <v>0.69404439931392936</v>
      </c>
      <c r="I28" s="14"/>
      <c r="K28" s="1"/>
      <c r="L28" s="1"/>
    </row>
    <row r="29" spans="3:12" x14ac:dyDescent="0.25">
      <c r="K29" s="1"/>
      <c r="L29" s="1"/>
    </row>
  </sheetData>
  <mergeCells count="3">
    <mergeCell ref="N4:N6"/>
    <mergeCell ref="O4:O6"/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16 E22 E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04B-0C71-46A8-B311-5314C24A0465}">
  <dimension ref="A2:F23"/>
  <sheetViews>
    <sheetView zoomScaleNormal="100" workbookViewId="0">
      <selection activeCell="E9" sqref="E9"/>
    </sheetView>
  </sheetViews>
  <sheetFormatPr defaultRowHeight="15" x14ac:dyDescent="0.25"/>
  <cols>
    <col min="2" max="3" width="15.7109375" customWidth="1"/>
    <col min="4" max="4" width="10.7109375" customWidth="1"/>
    <col min="5" max="5" width="15.7109375" customWidth="1"/>
    <col min="6" max="6" width="10.7109375" customWidth="1"/>
  </cols>
  <sheetData>
    <row r="2" spans="1:6" x14ac:dyDescent="0.25">
      <c r="B2" s="8" t="s">
        <v>13</v>
      </c>
      <c r="C2" s="8" t="s">
        <v>19</v>
      </c>
      <c r="D2" s="8" t="s">
        <v>9</v>
      </c>
    </row>
    <row r="3" spans="1:6" x14ac:dyDescent="0.25">
      <c r="B3" s="9">
        <v>0</v>
      </c>
      <c r="C3" s="3">
        <v>15.536989132039098</v>
      </c>
      <c r="D3" s="7">
        <v>1.0069053905037622</v>
      </c>
    </row>
    <row r="4" spans="1:6" x14ac:dyDescent="0.25">
      <c r="B4" s="9">
        <v>20</v>
      </c>
      <c r="C4" s="3">
        <v>12.051118752549423</v>
      </c>
      <c r="D4" s="7">
        <v>0.40520257588132352</v>
      </c>
    </row>
    <row r="5" spans="1:6" x14ac:dyDescent="0.25">
      <c r="B5" s="9">
        <v>40</v>
      </c>
      <c r="C5" s="3">
        <v>10.796345770196396</v>
      </c>
      <c r="D5" s="7">
        <v>0.31938793701265944</v>
      </c>
    </row>
    <row r="6" spans="1:6" x14ac:dyDescent="0.25">
      <c r="B6" s="9">
        <v>60</v>
      </c>
      <c r="C6" s="3">
        <v>8.3741890690739726</v>
      </c>
      <c r="D6" s="7">
        <v>1.5472313354242351</v>
      </c>
    </row>
    <row r="7" spans="1:6" x14ac:dyDescent="0.25">
      <c r="A7" s="28"/>
      <c r="B7" s="34">
        <v>66</v>
      </c>
      <c r="C7" s="6">
        <v>6.5523324122802746</v>
      </c>
      <c r="D7" s="6">
        <v>0.69404439931392936</v>
      </c>
    </row>
    <row r="8" spans="1:6" x14ac:dyDescent="0.25">
      <c r="A8" s="33"/>
      <c r="B8" s="24"/>
      <c r="C8" s="14"/>
      <c r="D8" s="14"/>
      <c r="E8" s="14"/>
      <c r="F8" s="14"/>
    </row>
    <row r="9" spans="1:6" x14ac:dyDescent="0.25">
      <c r="A9" s="33"/>
      <c r="B9" s="24"/>
      <c r="C9" s="14"/>
      <c r="D9" s="14"/>
      <c r="E9" s="14"/>
      <c r="F9" s="14"/>
    </row>
    <row r="10" spans="1:6" x14ac:dyDescent="0.25">
      <c r="A10" s="33"/>
      <c r="B10" s="24"/>
      <c r="C10" s="14"/>
      <c r="D10" s="14"/>
      <c r="E10" s="14"/>
      <c r="F10" s="14"/>
    </row>
    <row r="11" spans="1:6" x14ac:dyDescent="0.25">
      <c r="A11" s="33"/>
      <c r="B11" s="24"/>
      <c r="C11" s="14"/>
      <c r="D11" s="14"/>
      <c r="E11" s="14"/>
      <c r="F11" s="14"/>
    </row>
    <row r="12" spans="1:6" x14ac:dyDescent="0.25">
      <c r="A12" s="33"/>
      <c r="B12" s="24"/>
      <c r="C12" s="14"/>
      <c r="D12" s="14"/>
      <c r="E12" s="14"/>
      <c r="F12" s="14"/>
    </row>
    <row r="13" spans="1:6" x14ac:dyDescent="0.25">
      <c r="A13" s="33"/>
      <c r="B13" s="24"/>
      <c r="C13" s="26"/>
      <c r="D13" s="26"/>
      <c r="E13" s="14"/>
      <c r="F13" s="14"/>
    </row>
    <row r="14" spans="1:6" x14ac:dyDescent="0.25">
      <c r="A14" s="33"/>
      <c r="B14" s="24"/>
      <c r="C14" s="26"/>
      <c r="D14" s="26"/>
      <c r="E14" s="14"/>
      <c r="F14" s="14"/>
    </row>
    <row r="15" spans="1:6" x14ac:dyDescent="0.25">
      <c r="A15" s="33"/>
      <c r="B15" s="24"/>
      <c r="C15" s="26"/>
      <c r="D15" s="26"/>
      <c r="E15" s="14"/>
      <c r="F15" s="14"/>
    </row>
    <row r="16" spans="1:6" x14ac:dyDescent="0.25">
      <c r="B16" s="25"/>
      <c r="C16" s="26"/>
      <c r="D16" s="26"/>
      <c r="E16" s="26"/>
      <c r="F16" s="26"/>
    </row>
    <row r="17" spans="2:6" x14ac:dyDescent="0.25">
      <c r="B17" s="25"/>
      <c r="C17" s="26"/>
      <c r="D17" s="26"/>
      <c r="E17" s="26"/>
      <c r="F17" s="26"/>
    </row>
    <row r="18" spans="2:6" x14ac:dyDescent="0.25">
      <c r="B18" s="25"/>
      <c r="C18" s="26"/>
      <c r="D18" s="26"/>
      <c r="E18" s="26"/>
      <c r="F18" s="26"/>
    </row>
    <row r="19" spans="2:6" x14ac:dyDescent="0.25">
      <c r="B19" s="24"/>
      <c r="C19" s="14"/>
      <c r="D19" s="14"/>
      <c r="E19" s="14"/>
      <c r="F19" s="14"/>
    </row>
    <row r="20" spans="2:6" x14ac:dyDescent="0.25">
      <c r="B20" s="24"/>
      <c r="C20" s="14"/>
      <c r="D20" s="14"/>
      <c r="E20" s="14"/>
      <c r="F20" s="14"/>
    </row>
    <row r="21" spans="2:6" x14ac:dyDescent="0.25">
      <c r="B21" s="24"/>
      <c r="C21" s="27"/>
      <c r="D21" s="27"/>
      <c r="E21" s="27"/>
      <c r="F21" s="27"/>
    </row>
    <row r="22" spans="2:6" x14ac:dyDescent="0.25">
      <c r="B22" s="24"/>
      <c r="C22" s="27"/>
      <c r="D22" s="27"/>
      <c r="E22" s="27"/>
      <c r="F22" s="27"/>
    </row>
    <row r="23" spans="2:6" x14ac:dyDescent="0.25">
      <c r="B23" s="24"/>
      <c r="C23" s="27"/>
      <c r="D23" s="27"/>
      <c r="E23" s="27"/>
      <c r="F23" s="2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571E-929E-4B6A-9622-AAB0985B4A7C}">
  <dimension ref="B1:H29"/>
  <sheetViews>
    <sheetView tabSelected="1" topLeftCell="A4" workbookViewId="0">
      <selection activeCell="H21" sqref="H21"/>
    </sheetView>
  </sheetViews>
  <sheetFormatPr defaultRowHeight="15" x14ac:dyDescent="0.25"/>
  <cols>
    <col min="1" max="1" width="2.42578125" customWidth="1"/>
    <col min="2" max="7" width="18.7109375" customWidth="1"/>
    <col min="9" max="9" width="9.140625" customWidth="1"/>
  </cols>
  <sheetData>
    <row r="1" spans="2:8" ht="15.75" thickBot="1" x14ac:dyDescent="0.3"/>
    <row r="2" spans="2:8" x14ac:dyDescent="0.25">
      <c r="B2" s="18"/>
      <c r="C2" s="15" t="s">
        <v>10</v>
      </c>
      <c r="D2" s="15" t="s">
        <v>11</v>
      </c>
      <c r="E2" s="21" t="s">
        <v>12</v>
      </c>
      <c r="F2" s="13"/>
      <c r="G2" s="13"/>
    </row>
    <row r="3" spans="2:8" x14ac:dyDescent="0.25">
      <c r="B3" s="19">
        <v>1</v>
      </c>
      <c r="C3" s="31">
        <v>3.22</v>
      </c>
      <c r="D3" s="31">
        <f>50/31.91</f>
        <v>1.5669069257286117</v>
      </c>
      <c r="E3" s="39">
        <f>50/16.06</f>
        <v>3.1133250311332508</v>
      </c>
      <c r="F3" s="37"/>
      <c r="G3" s="37"/>
    </row>
    <row r="4" spans="2:8" x14ac:dyDescent="0.25">
      <c r="B4" s="19">
        <v>2</v>
      </c>
      <c r="C4" s="31">
        <f>50/14.62</f>
        <v>3.4199726402188784</v>
      </c>
      <c r="D4" s="31">
        <f>50/37.06</f>
        <v>1.3491635186184565</v>
      </c>
      <c r="E4" s="39">
        <f>50/16.81</f>
        <v>2.9744199881023201</v>
      </c>
      <c r="F4" s="37"/>
      <c r="G4" s="37"/>
    </row>
    <row r="5" spans="2:8" ht="15.75" thickBot="1" x14ac:dyDescent="0.3">
      <c r="B5" s="20">
        <v>3</v>
      </c>
      <c r="C5" s="32">
        <f>50/16.66</f>
        <v>3.0012004801920766</v>
      </c>
      <c r="D5" s="32">
        <f>50/42.44</f>
        <v>1.1781338360037701</v>
      </c>
      <c r="E5" s="40">
        <v>3.33</v>
      </c>
      <c r="F5" s="37"/>
      <c r="G5" s="37"/>
    </row>
    <row r="6" spans="2:8" x14ac:dyDescent="0.25">
      <c r="C6" s="1"/>
      <c r="D6" s="16"/>
      <c r="E6" s="38"/>
      <c r="F6" s="37"/>
      <c r="G6" s="37"/>
      <c r="H6" s="35"/>
    </row>
    <row r="7" spans="2:8" ht="15.75" thickBot="1" x14ac:dyDescent="0.3">
      <c r="C7" s="1"/>
      <c r="D7" s="16"/>
      <c r="E7" s="38"/>
      <c r="F7" s="37"/>
      <c r="G7" s="37"/>
      <c r="H7" s="35"/>
    </row>
    <row r="8" spans="2:8" ht="45" x14ac:dyDescent="0.25">
      <c r="B8" s="41"/>
      <c r="C8" s="42" t="s">
        <v>45</v>
      </c>
      <c r="D8" s="42" t="s">
        <v>46</v>
      </c>
      <c r="E8" s="43" t="s">
        <v>20</v>
      </c>
      <c r="F8" s="42" t="s">
        <v>47</v>
      </c>
      <c r="G8" s="44" t="s">
        <v>21</v>
      </c>
      <c r="H8" s="35"/>
    </row>
    <row r="9" spans="2:8" x14ac:dyDescent="0.25">
      <c r="B9" s="45"/>
      <c r="C9" s="22">
        <f>C3/3.5</f>
        <v>0.92</v>
      </c>
      <c r="D9" s="22">
        <f>D3/3.5</f>
        <v>0.44768769306531764</v>
      </c>
      <c r="E9" s="22">
        <f>(1-(D9/C9))*100</f>
        <v>51.338294232030691</v>
      </c>
      <c r="F9" s="22">
        <f>E3/3.5</f>
        <v>0.88952143746664303</v>
      </c>
      <c r="G9" s="46">
        <f>(F9/C9)*100</f>
        <v>96.687112768113366</v>
      </c>
    </row>
    <row r="10" spans="2:8" x14ac:dyDescent="0.25">
      <c r="B10" s="45"/>
      <c r="C10" s="22">
        <f t="shared" ref="C10:D10" si="0">C4/3.5</f>
        <v>0.97713504006253671</v>
      </c>
      <c r="D10" s="22">
        <f t="shared" si="0"/>
        <v>0.3854752910338447</v>
      </c>
      <c r="E10" s="22">
        <f t="shared" ref="E10:E11" si="1">(1-(D10/C10))*100</f>
        <v>60.550458715596335</v>
      </c>
      <c r="F10" s="22">
        <f t="shared" ref="F10:F11" si="2">E4/3.5</f>
        <v>0.84983428231494862</v>
      </c>
      <c r="G10" s="46">
        <f t="shared" ref="G10" si="3">(F10/C10)*100</f>
        <v>86.972040452111827</v>
      </c>
    </row>
    <row r="11" spans="2:8" x14ac:dyDescent="0.25">
      <c r="B11" s="51"/>
      <c r="C11" s="49">
        <f t="shared" ref="C11:D11" si="4">C5/3.5</f>
        <v>0.85748585148345047</v>
      </c>
      <c r="D11" s="49">
        <f t="shared" si="4"/>
        <v>0.3366096674296486</v>
      </c>
      <c r="E11" s="49">
        <f t="shared" si="1"/>
        <v>60.744580584354381</v>
      </c>
      <c r="F11" s="49">
        <f t="shared" si="2"/>
        <v>0.9514285714285714</v>
      </c>
      <c r="G11" s="50">
        <v>100</v>
      </c>
    </row>
    <row r="12" spans="2:8" x14ac:dyDescent="0.25">
      <c r="B12" s="47" t="s">
        <v>8</v>
      </c>
      <c r="C12" s="22">
        <f>AVERAGE(C9:C11)</f>
        <v>0.91820696384866241</v>
      </c>
      <c r="D12" s="22">
        <f t="shared" ref="D12:G12" si="5">AVERAGE(D9:D11)</f>
        <v>0.38992421717627029</v>
      </c>
      <c r="E12" s="22">
        <f t="shared" si="5"/>
        <v>57.544444510660469</v>
      </c>
      <c r="F12" s="22">
        <f t="shared" si="5"/>
        <v>0.89692809707005428</v>
      </c>
      <c r="G12" s="46">
        <f t="shared" si="5"/>
        <v>94.553051073408412</v>
      </c>
    </row>
    <row r="13" spans="2:8" ht="15.75" thickBot="1" x14ac:dyDescent="0.3">
      <c r="B13" s="36" t="s">
        <v>9</v>
      </c>
      <c r="C13" s="23">
        <f>_xlfn.STDEV.S(C9:C11)</f>
        <v>5.9844743427375793E-2</v>
      </c>
      <c r="D13" s="23">
        <f t="shared" ref="D13:F13" si="6">_xlfn.STDEV.S(D9:D11)</f>
        <v>5.5672494578967599E-2</v>
      </c>
      <c r="E13" s="23">
        <f t="shared" si="6"/>
        <v>5.3755601369238608</v>
      </c>
      <c r="F13" s="23">
        <f t="shared" si="6"/>
        <v>5.120052587607081E-2</v>
      </c>
      <c r="G13" s="48">
        <f>STDEV(G9:G11)</f>
        <v>6.7710853622560343</v>
      </c>
    </row>
    <row r="14" spans="2:8" x14ac:dyDescent="0.25">
      <c r="B14" s="58" t="s">
        <v>42</v>
      </c>
      <c r="C14" s="58" t="s">
        <v>43</v>
      </c>
      <c r="D14" s="58" t="s">
        <v>44</v>
      </c>
      <c r="E14" s="58"/>
      <c r="F14" s="58" t="s">
        <v>43</v>
      </c>
      <c r="G14" s="58"/>
    </row>
    <row r="16" spans="2:8" x14ac:dyDescent="0.25">
      <c r="B16" s="1" t="s">
        <v>29</v>
      </c>
      <c r="C16" s="1" t="s">
        <v>38</v>
      </c>
      <c r="D16" s="1" t="s">
        <v>36</v>
      </c>
      <c r="E16" s="1" t="s">
        <v>37</v>
      </c>
    </row>
    <row r="17" spans="2:5" x14ac:dyDescent="0.25">
      <c r="B17" s="1" t="s">
        <v>30</v>
      </c>
      <c r="C17" s="1">
        <v>2</v>
      </c>
      <c r="D17" s="1">
        <v>0.53100000000000003</v>
      </c>
      <c r="E17" s="1">
        <v>0.26600000000000001</v>
      </c>
    </row>
    <row r="18" spans="2:5" x14ac:dyDescent="0.25">
      <c r="B18" s="1" t="s">
        <v>31</v>
      </c>
      <c r="C18" s="1">
        <v>6</v>
      </c>
      <c r="D18" s="1">
        <v>1.7999999999999999E-2</v>
      </c>
      <c r="E18" s="1">
        <v>3.0000000000000001E-3</v>
      </c>
    </row>
    <row r="19" spans="2:5" x14ac:dyDescent="0.25">
      <c r="B19" s="1"/>
      <c r="C19" s="1"/>
      <c r="D19" s="1"/>
      <c r="E19" s="1"/>
    </row>
    <row r="20" spans="2:5" x14ac:dyDescent="0.25">
      <c r="B20" s="1" t="s">
        <v>22</v>
      </c>
      <c r="C20" s="1">
        <v>86.9345</v>
      </c>
      <c r="D20" s="1"/>
      <c r="E20" s="1"/>
    </row>
    <row r="21" spans="2:5" x14ac:dyDescent="0.25">
      <c r="B21" s="1" t="s">
        <v>23</v>
      </c>
      <c r="C21" s="1">
        <v>2.0000000000000001E-4</v>
      </c>
      <c r="D21" s="1"/>
      <c r="E21" s="1"/>
    </row>
    <row r="22" spans="2:5" x14ac:dyDescent="0.25">
      <c r="B22" s="1" t="s">
        <v>32</v>
      </c>
      <c r="C22" s="1">
        <v>0.92</v>
      </c>
      <c r="D22" s="1"/>
      <c r="E22" s="1"/>
    </row>
    <row r="23" spans="2:5" x14ac:dyDescent="0.25">
      <c r="B23" s="1" t="s">
        <v>33</v>
      </c>
      <c r="C23" s="1">
        <v>0.39329999999999998</v>
      </c>
      <c r="D23" s="1"/>
      <c r="E23" s="1"/>
    </row>
    <row r="24" spans="2:5" x14ac:dyDescent="0.25">
      <c r="B24" s="1" t="s">
        <v>34</v>
      </c>
      <c r="C24" s="1">
        <v>0.89670000000000005</v>
      </c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 t="s">
        <v>24</v>
      </c>
      <c r="C26" s="1" t="s">
        <v>35</v>
      </c>
      <c r="D26" s="1" t="s">
        <v>25</v>
      </c>
      <c r="E26" s="1" t="s">
        <v>26</v>
      </c>
    </row>
    <row r="27" spans="2:5" x14ac:dyDescent="0.25">
      <c r="B27" s="1" t="s">
        <v>39</v>
      </c>
      <c r="C27" s="1">
        <v>0.52669999999999995</v>
      </c>
      <c r="D27" s="1">
        <v>16.5014</v>
      </c>
      <c r="E27" s="1" t="s">
        <v>27</v>
      </c>
    </row>
    <row r="28" spans="2:5" x14ac:dyDescent="0.25">
      <c r="B28" s="1" t="s">
        <v>40</v>
      </c>
      <c r="C28" s="1">
        <v>2.3300000000000001E-2</v>
      </c>
      <c r="D28" s="1">
        <v>0.73109999999999997</v>
      </c>
      <c r="E28" s="1" t="s">
        <v>28</v>
      </c>
    </row>
    <row r="29" spans="2:5" x14ac:dyDescent="0.25">
      <c r="B29" s="1" t="s">
        <v>41</v>
      </c>
      <c r="C29" s="1">
        <v>0.50329999999999997</v>
      </c>
      <c r="D29" s="1">
        <v>15.770300000000001</v>
      </c>
      <c r="E29" s="1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</vt:lpstr>
      <vt:lpstr>UF_plot</vt:lpstr>
      <vt:lpstr>Water_permeability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2021-02-01T17:36:47Z</dcterms:modified>
</cp:coreProperties>
</file>