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fp.sharepoint.com/sites/MIMIProject/Shared Documents/General/Countries/India/protein_aa/20250611_v2/"/>
    </mc:Choice>
  </mc:AlternateContent>
  <xr:revisionPtr revIDLastSave="370" documentId="8_{EDF45D55-1872-4345-8D71-51EBC4E141A7}" xr6:coauthVersionLast="47" xr6:coauthVersionMax="47" xr10:uidLastSave="{8DC5719E-28CF-452A-BD06-C72EF389094C}"/>
  <bookViews>
    <workbookView xWindow="-120" yWindow="-16320" windowWidth="29040" windowHeight="15720" xr2:uid="{B40DEB5A-6F9F-4ACD-8AA7-177F85E255E7}"/>
  </bookViews>
  <sheets>
    <sheet name="Raw food composition" sheetId="2" r:id="rId1"/>
    <sheet name="Digestibility ratios" sheetId="4" r:id="rId2"/>
    <sheet name="adjusted AA per 100g foo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" i="2" l="1"/>
  <c r="AB5" i="2"/>
  <c r="AA5" i="2"/>
  <c r="Z5" i="2"/>
  <c r="Y5" i="2"/>
  <c r="AC28" i="2"/>
  <c r="AB28" i="2"/>
  <c r="AA28" i="2"/>
  <c r="Z28" i="2"/>
  <c r="Y28" i="2"/>
  <c r="F30" i="2"/>
  <c r="D30" i="2"/>
  <c r="F28" i="2"/>
  <c r="D28" i="2"/>
  <c r="J30" i="2"/>
  <c r="J28" i="2"/>
  <c r="AC74" i="2"/>
  <c r="AB74" i="2"/>
  <c r="AA74" i="2"/>
  <c r="Z74" i="2"/>
  <c r="Y74" i="2"/>
  <c r="AC8" i="2"/>
  <c r="AA8" i="2"/>
  <c r="Z8" i="2"/>
  <c r="Y8" i="2"/>
  <c r="AC149" i="2"/>
  <c r="AB149" i="2"/>
  <c r="AA149" i="2"/>
  <c r="Z149" i="2"/>
  <c r="Y149" i="2"/>
  <c r="AC148" i="2"/>
  <c r="AB148" i="2"/>
  <c r="AA148" i="2"/>
  <c r="Z148" i="2"/>
  <c r="Y148" i="2"/>
  <c r="AC35" i="2"/>
  <c r="AB35" i="2"/>
  <c r="AA35" i="2"/>
  <c r="Z35" i="2"/>
  <c r="Y35" i="2"/>
  <c r="AC36" i="2"/>
  <c r="AB36" i="2"/>
  <c r="AA36" i="2"/>
  <c r="Z36" i="2"/>
  <c r="Y36" i="2"/>
  <c r="AC141" i="2"/>
  <c r="AB141" i="2"/>
  <c r="AA141" i="2"/>
  <c r="Z141" i="2"/>
  <c r="Y141" i="2"/>
  <c r="AC139" i="2"/>
  <c r="AB139" i="2"/>
  <c r="AA139" i="2"/>
  <c r="Z139" i="2"/>
  <c r="Y139" i="2"/>
  <c r="AC137" i="2"/>
  <c r="AB137" i="2"/>
  <c r="AA137" i="2"/>
  <c r="Z137" i="2"/>
  <c r="Y137" i="2"/>
  <c r="AC131" i="2"/>
  <c r="AB131" i="2"/>
  <c r="AA131" i="2"/>
  <c r="Z131" i="2"/>
  <c r="Y131" i="2"/>
  <c r="AC130" i="2"/>
  <c r="AB130" i="2"/>
  <c r="AA130" i="2"/>
  <c r="Z130" i="2"/>
  <c r="Y130" i="2"/>
  <c r="AC129" i="2"/>
  <c r="AB129" i="2"/>
  <c r="AA129" i="2"/>
  <c r="Z129" i="2"/>
  <c r="Y129" i="2"/>
  <c r="AC127" i="2"/>
  <c r="AB127" i="2"/>
  <c r="AA127" i="2"/>
  <c r="Z127" i="2"/>
  <c r="Y127" i="2"/>
  <c r="AC125" i="2"/>
  <c r="AB125" i="2"/>
  <c r="AA125" i="2"/>
  <c r="Z125" i="2"/>
  <c r="Y125" i="2"/>
  <c r="AC124" i="2"/>
  <c r="AB124" i="2"/>
  <c r="AA124" i="2"/>
  <c r="Z124" i="2"/>
  <c r="Y124" i="2"/>
  <c r="AC122" i="2"/>
  <c r="AB122" i="2"/>
  <c r="AA122" i="2"/>
  <c r="Z122" i="2"/>
  <c r="Y122" i="2"/>
  <c r="AC120" i="2"/>
  <c r="AB120" i="2"/>
  <c r="AA120" i="2"/>
  <c r="Z120" i="2"/>
  <c r="Y120" i="2"/>
  <c r="AC116" i="2"/>
  <c r="AB116" i="2"/>
  <c r="AA116" i="2"/>
  <c r="Z116" i="2"/>
  <c r="Y116" i="2"/>
  <c r="AC113" i="2"/>
  <c r="AB113" i="2"/>
  <c r="AA113" i="2"/>
  <c r="Z113" i="2"/>
  <c r="Y113" i="2"/>
  <c r="AC111" i="2"/>
  <c r="AB111" i="2"/>
  <c r="AA111" i="2"/>
  <c r="Z111" i="2"/>
  <c r="Y111" i="2"/>
  <c r="AC104" i="2"/>
  <c r="AB104" i="2"/>
  <c r="AA104" i="2"/>
  <c r="Z104" i="2"/>
  <c r="Y104" i="2"/>
  <c r="AC102" i="2"/>
  <c r="AB102" i="2"/>
  <c r="AA102" i="2"/>
  <c r="Z102" i="2"/>
  <c r="Y102" i="2"/>
  <c r="AC100" i="2"/>
  <c r="AB100" i="2"/>
  <c r="AA100" i="2"/>
  <c r="Z100" i="2"/>
  <c r="Y100" i="2"/>
  <c r="AC99" i="2"/>
  <c r="AB99" i="2"/>
  <c r="AA99" i="2"/>
  <c r="Z99" i="2"/>
  <c r="Y99" i="2"/>
  <c r="AC98" i="2"/>
  <c r="AB98" i="2"/>
  <c r="AA98" i="2"/>
  <c r="Z98" i="2"/>
  <c r="Y98" i="2"/>
  <c r="AC97" i="2"/>
  <c r="AB97" i="2"/>
  <c r="AA97" i="2"/>
  <c r="Z97" i="2"/>
  <c r="Y97" i="2"/>
  <c r="AC96" i="2"/>
  <c r="AB96" i="2"/>
  <c r="AA96" i="2"/>
  <c r="Z96" i="2"/>
  <c r="Y96" i="2"/>
  <c r="AC95" i="2"/>
  <c r="AB95" i="2"/>
  <c r="AA95" i="2"/>
  <c r="Z95" i="2"/>
  <c r="Y95" i="2"/>
  <c r="AC94" i="2"/>
  <c r="AB94" i="2"/>
  <c r="AA94" i="2"/>
  <c r="Z94" i="2"/>
  <c r="Y94" i="2"/>
  <c r="AC93" i="2"/>
  <c r="AB93" i="2"/>
  <c r="AA93" i="2"/>
  <c r="Z93" i="2"/>
  <c r="Y93" i="2"/>
  <c r="AC92" i="2"/>
  <c r="AB92" i="2"/>
  <c r="AA92" i="2"/>
  <c r="Z92" i="2"/>
  <c r="Y92" i="2"/>
  <c r="AC91" i="2"/>
  <c r="AB91" i="2"/>
  <c r="AA91" i="2"/>
  <c r="Z91" i="2"/>
  <c r="Y91" i="2"/>
  <c r="AC75" i="2"/>
  <c r="AA75" i="2"/>
  <c r="Z75" i="2"/>
  <c r="Y75" i="2"/>
  <c r="AC65" i="2"/>
  <c r="AB65" i="2"/>
  <c r="AA65" i="2"/>
  <c r="Z65" i="2"/>
  <c r="Y65" i="2"/>
  <c r="AB62" i="2"/>
  <c r="AC62" i="2"/>
  <c r="AA62" i="2"/>
  <c r="Z62" i="2"/>
  <c r="Y62" i="2"/>
  <c r="AC61" i="2"/>
  <c r="AB61" i="2"/>
  <c r="AA61" i="2"/>
  <c r="Z61" i="2"/>
  <c r="Y61" i="2"/>
  <c r="AC55" i="2"/>
  <c r="AB55" i="2"/>
  <c r="AA55" i="2"/>
  <c r="Z55" i="2"/>
  <c r="Y55" i="2"/>
  <c r="AC51" i="2"/>
  <c r="AB51" i="2"/>
  <c r="AA51" i="2"/>
  <c r="Z51" i="2"/>
  <c r="Y51" i="2"/>
  <c r="AC30" i="2"/>
  <c r="AB30" i="2"/>
  <c r="AA30" i="2"/>
  <c r="Z30" i="2"/>
  <c r="Y30" i="2"/>
  <c r="AC29" i="2"/>
  <c r="AB29" i="2"/>
  <c r="Z29" i="2"/>
  <c r="AA29" i="2"/>
  <c r="Y29" i="2"/>
  <c r="AC24" i="2"/>
  <c r="AB24" i="2"/>
  <c r="AA24" i="2"/>
  <c r="Z24" i="2"/>
  <c r="Y24" i="2"/>
  <c r="AC16" i="2"/>
  <c r="AB16" i="2"/>
  <c r="AA16" i="2"/>
  <c r="Z16" i="2"/>
  <c r="Y16" i="2"/>
  <c r="Y3" i="2"/>
  <c r="Z3" i="2"/>
  <c r="AA3" i="2"/>
  <c r="AB3" i="2"/>
  <c r="AC3" i="2"/>
  <c r="AC2" i="2"/>
  <c r="AB2" i="2"/>
  <c r="AA2" i="2"/>
  <c r="Z2" i="2"/>
  <c r="Y2" i="2"/>
</calcChain>
</file>

<file path=xl/sharedStrings.xml><?xml version="1.0" encoding="utf-8"?>
<sst xmlns="http://schemas.openxmlformats.org/spreadsheetml/2006/main" count="2697" uniqueCount="490">
  <si>
    <t>item_code</t>
  </si>
  <si>
    <t>item_name</t>
  </si>
  <si>
    <t>energy_kcal</t>
  </si>
  <si>
    <t>energy_id</t>
  </si>
  <si>
    <t>energy_name</t>
  </si>
  <si>
    <t>energy_source</t>
  </si>
  <si>
    <t>protein_g</t>
  </si>
  <si>
    <t>protein_id</t>
  </si>
  <si>
    <t>protein_name</t>
  </si>
  <si>
    <t>protein_source</t>
  </si>
  <si>
    <t>Rice-PDS(Kg)</t>
  </si>
  <si>
    <t>A015</t>
  </si>
  <si>
    <t>Rice, raw, milled</t>
  </si>
  <si>
    <t>IFCT2017</t>
  </si>
  <si>
    <t>Rice-other sources(Kg)</t>
  </si>
  <si>
    <t>Chira(Kg)</t>
  </si>
  <si>
    <t>A011</t>
  </si>
  <si>
    <t>Rice, flakes</t>
  </si>
  <si>
    <t>Khoi, lava(Kg)</t>
  </si>
  <si>
    <t>A012</t>
  </si>
  <si>
    <t>Rice, puffed</t>
  </si>
  <si>
    <t>Muri(Kg)</t>
  </si>
  <si>
    <t>Other rice products(Kg)</t>
  </si>
  <si>
    <t>Wheat/atta - P.D.S (Kg)</t>
  </si>
  <si>
    <t>A019</t>
  </si>
  <si>
    <t>Wheat, flour atta</t>
  </si>
  <si>
    <t>Wheat/atta - other sources</t>
  </si>
  <si>
    <t>Maida(Kg)</t>
  </si>
  <si>
    <t>A018</t>
  </si>
  <si>
    <t>Wheat, flour(refined)</t>
  </si>
  <si>
    <t>suji, rawa(Kg)</t>
  </si>
  <si>
    <t>A022</t>
  </si>
  <si>
    <t>Wheat, semoli</t>
  </si>
  <si>
    <t>sewai, noodles(Kg)</t>
  </si>
  <si>
    <t>A023, A024</t>
  </si>
  <si>
    <t>Wheat, vermicelli( roasted and unroasted)</t>
  </si>
  <si>
    <t>A023</t>
  </si>
  <si>
    <t>Wheat, vermicelli</t>
  </si>
  <si>
    <t>other wheat products(Kg)</t>
  </si>
  <si>
    <t>jowar &amp; products(Kg)</t>
  </si>
  <si>
    <t>A005</t>
  </si>
  <si>
    <t>Jowar</t>
  </si>
  <si>
    <t xml:space="preserve">	bajra &amp; products(Kg)</t>
  </si>
  <si>
    <t>A003</t>
  </si>
  <si>
    <t>Bajra</t>
  </si>
  <si>
    <t>maize &amp; products(Kg)</t>
  </si>
  <si>
    <t>A006, A007, A008</t>
  </si>
  <si>
    <t xml:space="preserve">Maize,dry, temder amd temder sweet </t>
  </si>
  <si>
    <t>barley &amp; products(Kg)</t>
  </si>
  <si>
    <t>A004</t>
  </si>
  <si>
    <t>Barley</t>
  </si>
  <si>
    <t>small millet &amp; products(Kg)</t>
  </si>
  <si>
    <t>A016</t>
  </si>
  <si>
    <t>Samai</t>
  </si>
  <si>
    <t>ragi &amp; products(Kg)</t>
  </si>
  <si>
    <t>A010</t>
  </si>
  <si>
    <t>Ragi</t>
  </si>
  <si>
    <t>other cereals(Kg)</t>
  </si>
  <si>
    <t>A009,A018,A021</t>
  </si>
  <si>
    <t>Quinoa, wheat, bulgar</t>
  </si>
  <si>
    <t>Cereal Substitute : tapioca etc.</t>
  </si>
  <si>
    <t>F015</t>
  </si>
  <si>
    <t>Tapioca</t>
  </si>
  <si>
    <t>arhar (tur)(Kg)</t>
  </si>
  <si>
    <t>B021</t>
  </si>
  <si>
    <t>Red gram, dhal</t>
  </si>
  <si>
    <t>gram : split Kg</t>
  </si>
  <si>
    <t xml:space="preserve">B001 </t>
  </si>
  <si>
    <t xml:space="preserve">Bengal gram , dhal) </t>
  </si>
  <si>
    <t>gram : whole Kg</t>
  </si>
  <si>
    <t>B002</t>
  </si>
  <si>
    <t>Bengal gram , whloe</t>
  </si>
  <si>
    <t>moong(Kg)</t>
  </si>
  <si>
    <t>B010, B011</t>
  </si>
  <si>
    <t>Green gram, dhal and whole</t>
  </si>
  <si>
    <t>Green gram, dhal</t>
  </si>
  <si>
    <t>masur(Kg)</t>
  </si>
  <si>
    <t>B013, B014</t>
  </si>
  <si>
    <t>Masur with and without cover</t>
  </si>
  <si>
    <t>urad(Kg)</t>
  </si>
  <si>
    <t>B003, B004</t>
  </si>
  <si>
    <t>Black gram, dhal and whole</t>
  </si>
  <si>
    <t>peas(Kg)</t>
  </si>
  <si>
    <t>B017</t>
  </si>
  <si>
    <t>Peas,dry</t>
  </si>
  <si>
    <t>khesari(Kg)</t>
  </si>
  <si>
    <t>B027</t>
  </si>
  <si>
    <t>Khesari, dhal</t>
  </si>
  <si>
    <t>other pulses(Kg)</t>
  </si>
  <si>
    <t>B016,B019,B020,B025</t>
  </si>
  <si>
    <t>Moth beans, rjmah brown and red, soya bean</t>
  </si>
  <si>
    <t>other pulse products(Kg)</t>
  </si>
  <si>
    <t>B013
B021
B021
B010
B013
B003
B028
B027
B013
B021
B021
B010
B013
B003
B028
B027
B021
B001
B002</t>
  </si>
  <si>
    <t>milk : liquid(litre)</t>
  </si>
  <si>
    <t>L001</t>
  </si>
  <si>
    <t>Milk buffalos's</t>
  </si>
  <si>
    <t>milk : cond./powder(Kg)</t>
  </si>
  <si>
    <t>L018</t>
  </si>
  <si>
    <t>Whole milk powder (cow's milk)</t>
  </si>
  <si>
    <t>curd(Kg)</t>
  </si>
  <si>
    <t>L009</t>
  </si>
  <si>
    <t>Curd's cows milk</t>
  </si>
  <si>
    <t>IFCT1989</t>
  </si>
  <si>
    <t>ghee(Kg)</t>
  </si>
  <si>
    <t>T013</t>
  </si>
  <si>
    <t>Ghee</t>
  </si>
  <si>
    <t xml:space="preserve">	butter(Kg)</t>
  </si>
  <si>
    <t>T015</t>
  </si>
  <si>
    <t>Butter</t>
  </si>
  <si>
    <t>ice cream (no.)</t>
  </si>
  <si>
    <t>ASC319</t>
  </si>
  <si>
    <t>Kulfi</t>
  </si>
  <si>
    <t>other milk products(Kg)</t>
  </si>
  <si>
    <t>salt</t>
  </si>
  <si>
    <t>salt,table</t>
  </si>
  <si>
    <t>USFDC</t>
  </si>
  <si>
    <t>sugar - PDS</t>
  </si>
  <si>
    <t>I004</t>
  </si>
  <si>
    <t>Sugar cane</t>
  </si>
  <si>
    <t>sugar - other sources</t>
  </si>
  <si>
    <t>gur</t>
  </si>
  <si>
    <t>I001</t>
  </si>
  <si>
    <t>Jaggery (cane)</t>
  </si>
  <si>
    <t>candy,misri</t>
  </si>
  <si>
    <t>Candies, milk chocoloate</t>
  </si>
  <si>
    <t>honey</t>
  </si>
  <si>
    <t>I005</t>
  </si>
  <si>
    <t>Honey</t>
  </si>
  <si>
    <t>vaspati,margarine(Kg)</t>
  </si>
  <si>
    <t>T014</t>
  </si>
  <si>
    <t>Vaspati</t>
  </si>
  <si>
    <t>mustard oil(Kg)</t>
  </si>
  <si>
    <t>T006</t>
  </si>
  <si>
    <t>Mustard oil</t>
  </si>
  <si>
    <t>groundnut - oil (Kg)</t>
  </si>
  <si>
    <t>T005</t>
  </si>
  <si>
    <t>Ground nut</t>
  </si>
  <si>
    <t>coconut oil(Kg)</t>
  </si>
  <si>
    <t>T001</t>
  </si>
  <si>
    <t>Coconut oil</t>
  </si>
  <si>
    <t>refined oil [sunflower,soyabean,saffola, etc]</t>
  </si>
  <si>
    <t>T012</t>
  </si>
  <si>
    <t>Sunflower oil</t>
  </si>
  <si>
    <t>edible oil : others</t>
  </si>
  <si>
    <t>eggs(no)</t>
  </si>
  <si>
    <t>M001</t>
  </si>
  <si>
    <t>Egg, hen</t>
  </si>
  <si>
    <t>fish, prawn(Kg)</t>
  </si>
  <si>
    <t>S006, P034, P063, P068,Q007</t>
  </si>
  <si>
    <t>Rohu, Mackerel, Rani, Salmon, Tiger Prawn- Brown</t>
  </si>
  <si>
    <t>goat meat /mutton(Kg)</t>
  </si>
  <si>
    <t>O001
O002
O003</t>
  </si>
  <si>
    <t>Goat should chops and legs</t>
  </si>
  <si>
    <t>beef / buffalo meat(Kg)</t>
  </si>
  <si>
    <t>O025,O026,O027</t>
  </si>
  <si>
    <t>Beef shoulder, chops and round</t>
  </si>
  <si>
    <t>pork(Kg)</t>
  </si>
  <si>
    <t>O048, O046, O045</t>
  </si>
  <si>
    <t>Pork shoulder, chops, ham</t>
  </si>
  <si>
    <t>chicken(Kg)</t>
  </si>
  <si>
    <t xml:space="preserve">N001, N002, N003 </t>
  </si>
  <si>
    <t>Chicken leg, thigh and breast</t>
  </si>
  <si>
    <t>others ( birds, crab, oyster, tortoise etc</t>
  </si>
  <si>
    <t>N007, Q001, Q006</t>
  </si>
  <si>
    <t>Country hen -leg- with skin, Crab, Oyster</t>
  </si>
  <si>
    <t>potato(Kg)</t>
  </si>
  <si>
    <t>F006, F007</t>
  </si>
  <si>
    <t>Potato small and large</t>
  </si>
  <si>
    <t>onion(Kg)</t>
  </si>
  <si>
    <t>G017, G018</t>
  </si>
  <si>
    <t>Onion, small and large</t>
  </si>
  <si>
    <t>tomato(Kg)</t>
  </si>
  <si>
    <t>D076, D075</t>
  </si>
  <si>
    <t>Tomato hybrid and local</t>
  </si>
  <si>
    <t>brinjal(Kg)</t>
  </si>
  <si>
    <t>D018, D019, D020, D021, D022</t>
  </si>
  <si>
    <t>Brinjal varieties</t>
  </si>
  <si>
    <t>radish(Kg)</t>
  </si>
  <si>
    <t xml:space="preserve">F010 </t>
  </si>
  <si>
    <t>Radish, elongate, white skin</t>
  </si>
  <si>
    <t>carrot(Kg)</t>
  </si>
  <si>
    <t>F002, F003</t>
  </si>
  <si>
    <t>Carrot, red and orange</t>
  </si>
  <si>
    <t>palak/other leafy vegetables(Kg)</t>
  </si>
  <si>
    <t>C033</t>
  </si>
  <si>
    <t>Spich</t>
  </si>
  <si>
    <t>green chillies(Kg)</t>
  </si>
  <si>
    <t>G002, G003, G004</t>
  </si>
  <si>
    <t>Chillies 2,3,4, green</t>
  </si>
  <si>
    <t>lady's finger(Kg)</t>
  </si>
  <si>
    <t>D056</t>
  </si>
  <si>
    <t>Ladies fingers</t>
  </si>
  <si>
    <t>parwal/patal,kundru(Kg)</t>
  </si>
  <si>
    <t>D060</t>
  </si>
  <si>
    <t>Parwar</t>
  </si>
  <si>
    <t>cauliflower(Kg)</t>
  </si>
  <si>
    <t>D036</t>
  </si>
  <si>
    <t>Cauliflower</t>
  </si>
  <si>
    <t>cabbage(Kg)</t>
  </si>
  <si>
    <t>C015</t>
  </si>
  <si>
    <t>Cabbage</t>
  </si>
  <si>
    <t>gourd, pumpkin(Kg)</t>
  </si>
  <si>
    <t>D066</t>
  </si>
  <si>
    <t>Orange round pumpkin</t>
  </si>
  <si>
    <t>D061</t>
  </si>
  <si>
    <t>Fresh peas</t>
  </si>
  <si>
    <t>beans, barbati(Kg)</t>
  </si>
  <si>
    <t>D049, D050</t>
  </si>
  <si>
    <t>French beans Country and Hybrid</t>
  </si>
  <si>
    <t>lemon(no.)</t>
  </si>
  <si>
    <t>E033</t>
  </si>
  <si>
    <t>Lemon</t>
  </si>
  <si>
    <t>other vegetables(Kg)</t>
  </si>
  <si>
    <t>D004, D033, D043, D046, D054, D073</t>
  </si>
  <si>
    <t xml:space="preserve">Bitter gourd jagged teeth ridges elongate 
Capsicum green
Cucumber green elongate
Drumsrtick
Kovai big
Tinda tender
</t>
  </si>
  <si>
    <t>ba (no.)</t>
  </si>
  <si>
    <t>E012</t>
  </si>
  <si>
    <t xml:space="preserve">Ba, ripe, robusta </t>
  </si>
  <si>
    <t>jackfruit(kgs)</t>
  </si>
  <si>
    <t>E030</t>
  </si>
  <si>
    <t>Jack fruit</t>
  </si>
  <si>
    <t>watermelon(kg)</t>
  </si>
  <si>
    <t>E065, E066</t>
  </si>
  <si>
    <t xml:space="preserve">Watermelon both dark green and pale green </t>
  </si>
  <si>
    <t>pineapple (no.)</t>
  </si>
  <si>
    <t>E053</t>
  </si>
  <si>
    <t>Pine apple</t>
  </si>
  <si>
    <t>coconut(no.)</t>
  </si>
  <si>
    <t>H006</t>
  </si>
  <si>
    <t>Coconut,dry</t>
  </si>
  <si>
    <t>green coconut(no.)</t>
  </si>
  <si>
    <t>H007</t>
  </si>
  <si>
    <t>Coconut, fresh</t>
  </si>
  <si>
    <t>guava(Kg)</t>
  </si>
  <si>
    <t>E028, E029</t>
  </si>
  <si>
    <t>Guava, country and hill</t>
  </si>
  <si>
    <t>singara(Kg)</t>
  </si>
  <si>
    <t>F016</t>
  </si>
  <si>
    <t xml:space="preserve">Water Chestnut </t>
  </si>
  <si>
    <t>orange , mausambi (no.)</t>
  </si>
  <si>
    <t>E034, E047</t>
  </si>
  <si>
    <t>Orange and mumbasa</t>
  </si>
  <si>
    <t>papaya(Kg)</t>
  </si>
  <si>
    <t>E049</t>
  </si>
  <si>
    <t>Papaya, ripe</t>
  </si>
  <si>
    <t xml:space="preserve">mango(kg)	</t>
  </si>
  <si>
    <t>E036, E037</t>
  </si>
  <si>
    <t>Mango, ripe, bangapalli and Mango, ripe, gulabkhas</t>
  </si>
  <si>
    <t xml:space="preserve">	kharbooza(Kg)</t>
  </si>
  <si>
    <t>E045, E046</t>
  </si>
  <si>
    <t>Musk melon - both orange and yellow flesh</t>
  </si>
  <si>
    <t>pears/shpati(Kg)</t>
  </si>
  <si>
    <t>E051</t>
  </si>
  <si>
    <t>Pears</t>
  </si>
  <si>
    <t>berries(Kg)</t>
  </si>
  <si>
    <t>E013, E014, E015, E021, E063</t>
  </si>
  <si>
    <t>Black berry, Cherries red, Gooseberry, Strawberry, Black currant</t>
  </si>
  <si>
    <t>leechi(Kg)</t>
  </si>
  <si>
    <t>E035</t>
  </si>
  <si>
    <t>Lichi</t>
  </si>
  <si>
    <t xml:space="preserve">	apple(Kg)</t>
  </si>
  <si>
    <t>E001, E003</t>
  </si>
  <si>
    <t>Apple big and Apple small</t>
  </si>
  <si>
    <t>grapes(Kg)</t>
  </si>
  <si>
    <t>E023  E026</t>
  </si>
  <si>
    <t>Grapes green seeded and grapes green seedless</t>
  </si>
  <si>
    <t>other fresh fruits(Kg)</t>
  </si>
  <si>
    <t>E021, E050, E054, E055</t>
  </si>
  <si>
    <t>Gooseberry, Peach, Plum, Pomegrante</t>
  </si>
  <si>
    <t>coconut:copra(kg)</t>
  </si>
  <si>
    <t>groundnut(Kg)</t>
  </si>
  <si>
    <t>H012</t>
  </si>
  <si>
    <t>dates(Kg)</t>
  </si>
  <si>
    <t>E017</t>
  </si>
  <si>
    <t>Dates, dried, Pale brown</t>
  </si>
  <si>
    <t xml:space="preserve">	cashewnut(Kg)</t>
  </si>
  <si>
    <t>H005</t>
  </si>
  <si>
    <t>Cashewnut</t>
  </si>
  <si>
    <t xml:space="preserve">	walnut(Kg)</t>
  </si>
  <si>
    <t>H021</t>
  </si>
  <si>
    <t>Walnut</t>
  </si>
  <si>
    <t>other nuts(Kg)</t>
  </si>
  <si>
    <t>H002, H018</t>
  </si>
  <si>
    <t xml:space="preserve">Arecanut, dried, brown and Pistachio nuts </t>
  </si>
  <si>
    <t>raisin, (kishmish, mocca etc)(Kg)</t>
  </si>
  <si>
    <t>E058</t>
  </si>
  <si>
    <t xml:space="preserve">Golden raisins </t>
  </si>
  <si>
    <t>Golden raisins are more commonly consumed</t>
  </si>
  <si>
    <t>other dry fruits (Kg)</t>
  </si>
  <si>
    <t>E005, E020</t>
  </si>
  <si>
    <t>Apricot, dried (Prunus armeniaca),fig</t>
  </si>
  <si>
    <t>ginger (gm)</t>
  </si>
  <si>
    <t>G014</t>
  </si>
  <si>
    <t>Ginger, fresh</t>
  </si>
  <si>
    <t>garlic (gm)</t>
  </si>
  <si>
    <t xml:space="preserve">G011, G022 </t>
  </si>
  <si>
    <t>Both small and big cloves</t>
  </si>
  <si>
    <t>geera(gm)</t>
  </si>
  <si>
    <t>G025</t>
  </si>
  <si>
    <t>Cumin seeds</t>
  </si>
  <si>
    <t>dhania(gm)</t>
  </si>
  <si>
    <t>G024</t>
  </si>
  <si>
    <t>Coriander</t>
  </si>
  <si>
    <t>turmeric (gm)</t>
  </si>
  <si>
    <t>G033</t>
  </si>
  <si>
    <t>Turmeric</t>
  </si>
  <si>
    <t>black pepper (gm)</t>
  </si>
  <si>
    <t>G031</t>
  </si>
  <si>
    <t>Pepper, dry</t>
  </si>
  <si>
    <t>dry chillies (gm)</t>
  </si>
  <si>
    <t>G022</t>
  </si>
  <si>
    <t>Chillies, dry</t>
  </si>
  <si>
    <t>tamarind (gm)</t>
  </si>
  <si>
    <t>E044</t>
  </si>
  <si>
    <t>Manila Tamarind is commonly consumed in ruarl settings</t>
  </si>
  <si>
    <t>H037</t>
  </si>
  <si>
    <t>Tamarind seed kernel, roasted</t>
  </si>
  <si>
    <t>curry powder (gm)</t>
  </si>
  <si>
    <t>G022
G025
G024
G033</t>
  </si>
  <si>
    <t>oilseeds (gm)</t>
  </si>
  <si>
    <t>H010, H011, H013,H017, H020</t>
  </si>
  <si>
    <t>Gingelly seeds, brown 
Gingelly seeds, white
Mustard seeds
Pine seed
Sunflower seed</t>
  </si>
  <si>
    <t>other spices (gm)</t>
  </si>
  <si>
    <t>tea : cups(no)</t>
  </si>
  <si>
    <t xml:space="preserve">92306800  </t>
  </si>
  <si>
    <t>tea : leaf (gm)</t>
  </si>
  <si>
    <t>coffee : cups(no)</t>
  </si>
  <si>
    <t>ASC002,  BFP013</t>
  </si>
  <si>
    <t>Instant Coffe and Cold coffee</t>
  </si>
  <si>
    <t>coffee : powder (gm)</t>
  </si>
  <si>
    <t>mineral water(litre)</t>
  </si>
  <si>
    <t>Water, tap</t>
  </si>
  <si>
    <t>cold beverage : bottled/canned (litre)</t>
  </si>
  <si>
    <t>92411510 </t>
  </si>
  <si>
    <t>Soft drink, cola, fruit or vanilla flavored</t>
  </si>
  <si>
    <t>fruit juice and shake (litre)</t>
  </si>
  <si>
    <t>I002, E033</t>
  </si>
  <si>
    <t>Sugarcane juice and Lemon Juice</t>
  </si>
  <si>
    <t>other beverages : cocoa, chocolate etc.</t>
  </si>
  <si>
    <t>Cocoa mix, NESTLE, rich chocolate hot cocoa mix</t>
  </si>
  <si>
    <t>cooked meals purchased (no.)</t>
  </si>
  <si>
    <t>BFP544, ASC154, ASC112</t>
  </si>
  <si>
    <t xml:space="preserve">Vegetable mix, Mixed dal, Boiled rice/Chapatis </t>
  </si>
  <si>
    <t>cooked meals received free in workplace(no.)</t>
  </si>
  <si>
    <t xml:space="preserve">	cooked meals received as assistance (no.)</t>
  </si>
  <si>
    <t>cooked scks purchased [samosa, puri, paratha, burger, chowmein, idli, dosa, vada, chops, pakora, pao, bhaji, etc.]</t>
  </si>
  <si>
    <t>ASC359</t>
  </si>
  <si>
    <t>Samosa - potato filling</t>
  </si>
  <si>
    <t>other served processed food</t>
  </si>
  <si>
    <t>ASC122</t>
  </si>
  <si>
    <t>prepared sweets, cake, pastry (kg)</t>
  </si>
  <si>
    <t>Ladoo, round ball</t>
  </si>
  <si>
    <t>biscuits, chocolates etc.</t>
  </si>
  <si>
    <t>Cookies, Marie biscuit</t>
  </si>
  <si>
    <t>papad, bhujia, mkeen,mixture, chachur</t>
  </si>
  <si>
    <t>BFP051</t>
  </si>
  <si>
    <t>Egg bhujia</t>
  </si>
  <si>
    <t>chips(gm)</t>
  </si>
  <si>
    <t>Scks, potato chips</t>
  </si>
  <si>
    <t>pickles (gm)</t>
  </si>
  <si>
    <t>Radishes, hawaiian stle, pickled</t>
  </si>
  <si>
    <t>sauce,jam,jelly(gm)</t>
  </si>
  <si>
    <t>Jams and preserves</t>
  </si>
  <si>
    <t>other packaged processed food</t>
  </si>
  <si>
    <t>edible_portion</t>
  </si>
  <si>
    <t>edible_portion_source</t>
  </si>
  <si>
    <t>WA_2019</t>
  </si>
  <si>
    <t>BA_2014</t>
  </si>
  <si>
    <t>assumed</t>
  </si>
  <si>
    <t>Rice-free</t>
  </si>
  <si>
    <t>Wheat/atta - free</t>
  </si>
  <si>
    <t>coarse grains - PDS</t>
  </si>
  <si>
    <t>besan, gram products</t>
  </si>
  <si>
    <t>pulses -free</t>
  </si>
  <si>
    <t>gram - free</t>
  </si>
  <si>
    <t>salt -free</t>
  </si>
  <si>
    <t>sugar - free</t>
  </si>
  <si>
    <t>paneer</t>
  </si>
  <si>
    <t xml:space="preserve">L003 </t>
  </si>
  <si>
    <t>Paneer</t>
  </si>
  <si>
    <t xml:space="preserve">prepared sweets </t>
  </si>
  <si>
    <t>cheese</t>
  </si>
  <si>
    <t>L004</t>
  </si>
  <si>
    <t>Khoa</t>
  </si>
  <si>
    <t>ASC002</t>
  </si>
  <si>
    <t>Lassi</t>
  </si>
  <si>
    <t>edible oil - free</t>
  </si>
  <si>
    <t>soda drinks</t>
  </si>
  <si>
    <t>175093 </t>
  </si>
  <si>
    <t>Beverages,carbonate, cola</t>
  </si>
  <si>
    <t>jowar &amp; products- PDS</t>
  </si>
  <si>
    <t xml:space="preserve">	bajra &amp; products - PDS</t>
  </si>
  <si>
    <t>maize &amp; products - PDS</t>
  </si>
  <si>
    <t>barley &amp; products - PDS</t>
  </si>
  <si>
    <t>small millet &amp; products PDS</t>
  </si>
  <si>
    <t>ragi &amp; products - PDS</t>
  </si>
  <si>
    <t>jowar &amp; products- free</t>
  </si>
  <si>
    <t xml:space="preserve">	bajra &amp; products - free</t>
  </si>
  <si>
    <t>maize &amp; products - free</t>
  </si>
  <si>
    <t>barley &amp; products - free</t>
  </si>
  <si>
    <t>small millet &amp; products free</t>
  </si>
  <si>
    <t>ragi &amp; products - free</t>
  </si>
  <si>
    <t>edible oil : PDS</t>
  </si>
  <si>
    <t>pulses -PDS</t>
  </si>
  <si>
    <t>salt - PDS</t>
  </si>
  <si>
    <t>apricot</t>
  </si>
  <si>
    <t>anjeer</t>
  </si>
  <si>
    <t>lassi</t>
  </si>
  <si>
    <t>buttermilk</t>
  </si>
  <si>
    <t>breakfast cereals</t>
  </si>
  <si>
    <t>biscuits</t>
  </si>
  <si>
    <t>E006</t>
  </si>
  <si>
    <t xml:space="preserve">Apricot, fresh </t>
  </si>
  <si>
    <t>coarse grains - free</t>
  </si>
  <si>
    <t>coarse grains - other sources</t>
  </si>
  <si>
    <t>E020</t>
  </si>
  <si>
    <t>Figs</t>
  </si>
  <si>
    <t>butter milk, fluid, whole</t>
  </si>
  <si>
    <t>172225 </t>
  </si>
  <si>
    <t>lysine_g</t>
  </si>
  <si>
    <t>lysine_id</t>
  </si>
  <si>
    <t>lysine_name</t>
  </si>
  <si>
    <t>lysine_source</t>
  </si>
  <si>
    <t>tryptophan_g</t>
  </si>
  <si>
    <t>tryptophan_id</t>
  </si>
  <si>
    <t>tryptophan_name</t>
  </si>
  <si>
    <t>tryptophan_source</t>
  </si>
  <si>
    <t>Wheat, semolina</t>
  </si>
  <si>
    <t>B010</t>
  </si>
  <si>
    <t>L003,L004</t>
  </si>
  <si>
    <t>paneer and jifa</t>
  </si>
  <si>
    <t>Vanaspati</t>
  </si>
  <si>
    <t>G018</t>
  </si>
  <si>
    <t>Onion, small</t>
  </si>
  <si>
    <t>Spinach</t>
  </si>
  <si>
    <t xml:space="preserve">Banana, ripe, robusta </t>
  </si>
  <si>
    <t>Mango, ripe, banganapalli and Mango, ripe, gulabkhas</t>
  </si>
  <si>
    <t>IFCT2004</t>
  </si>
  <si>
    <t>cystine_g</t>
  </si>
  <si>
    <t>threonine_g</t>
  </si>
  <si>
    <t>methionine_g</t>
  </si>
  <si>
    <t>S.No in Molly's database</t>
  </si>
  <si>
    <t>O048, O049 O050</t>
  </si>
  <si>
    <t xml:space="preserve">G011, G012 </t>
  </si>
  <si>
    <t>D004
D033
D043
D046
D054
D073</t>
  </si>
  <si>
    <t>172179 </t>
  </si>
  <si>
    <t>790508 </t>
  </si>
  <si>
    <t>histidine_g</t>
  </si>
  <si>
    <t>isoleucine_g</t>
  </si>
  <si>
    <t>leucine_g</t>
  </si>
  <si>
    <t>phenylalanine_g</t>
  </si>
  <si>
    <t>valine_g</t>
  </si>
  <si>
    <t>Cheese, cottage, creamed, large or small curd</t>
  </si>
  <si>
    <t>Butter, stick, salted</t>
  </si>
  <si>
    <t>Yogurt</t>
  </si>
  <si>
    <t>tea</t>
  </si>
  <si>
    <t>Vegetable biryani</t>
  </si>
  <si>
    <t>ratio_cyst</t>
  </si>
  <si>
    <t>ratio_lys</t>
  </si>
  <si>
    <t>ratio_tryp</t>
  </si>
  <si>
    <t>ratio_meth</t>
  </si>
  <si>
    <t>ratio_thre</t>
  </si>
  <si>
    <t>ratio_hist</t>
  </si>
  <si>
    <t>ratio_iso</t>
  </si>
  <si>
    <t>ratio_leuc</t>
  </si>
  <si>
    <t>ratio_phe</t>
  </si>
  <si>
    <t>ratio_val</t>
  </si>
  <si>
    <t>prepared sweets</t>
  </si>
  <si>
    <t>bajra &amp; products - PDS</t>
  </si>
  <si>
    <t>bajra &amp; products - free</t>
  </si>
  <si>
    <t>NA</t>
  </si>
  <si>
    <t>bajra &amp; products(Kg)</t>
  </si>
  <si>
    <t>butter(Kg)</t>
  </si>
  <si>
    <t>mango(kg)</t>
  </si>
  <si>
    <t>kharbooza(Kg)</t>
  </si>
  <si>
    <t>apple(Kg)</t>
  </si>
  <si>
    <t>cashewnut(Kg)</t>
  </si>
  <si>
    <t>walnut(Kg)</t>
  </si>
  <si>
    <t>cooked meals received as assistance (no.)</t>
  </si>
  <si>
    <t>tryptophan_g_adjust</t>
  </si>
  <si>
    <t>methionine_g_adjust</t>
  </si>
  <si>
    <t>cystine_g_adjust</t>
  </si>
  <si>
    <t>threonine_g_adjust</t>
  </si>
  <si>
    <t>histidine_g_adjust</t>
  </si>
  <si>
    <t>isoleucine_g_adjust</t>
  </si>
  <si>
    <t>leucine_g_adjust</t>
  </si>
  <si>
    <t>phenylalanine_g_adjust</t>
  </si>
  <si>
    <t>valine_g_adjust</t>
  </si>
  <si>
    <t>protein_g_adjust</t>
  </si>
  <si>
    <t>lysine_g_adjust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</si>
</sst>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212121"/>
      <name val="Calibri"/>
      <family val="2"/>
    </font>
    <font>
      <sz val="9"/>
      <color rgb="FF212121"/>
      <name val="Source Sans Pro"/>
      <family val="2"/>
    </font>
    <font>
      <sz val="12"/>
      <name val="Open sans"/>
      <family val="2"/>
    </font>
    <font>
      <sz val="8"/>
      <name val="Open sans"/>
      <family val="2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44">
    <xf numFmtId="0" fontId="0" fillId="0" borderId="0" xfId="0"/>
    <xf numFmtId="0" fontId="2" fillId="0" borderId="0" xfId="0" applyFont="1" applyAlignment="1">
      <alignment horizontal="left"/>
    </xf>
    <xf numFmtId="2" fontId="0" fillId="0" borderId="0" xfId="0" applyNumberFormat="1"/>
    <xf numFmtId="0" fontId="2" fillId="2" borderId="0" xfId="0" applyFont="1" applyFill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/>
    </xf>
    <xf numFmtId="0" fontId="12" fillId="0" borderId="0" xfId="1" applyFill="1"/>
    <xf numFmtId="0" fontId="12" fillId="0" borderId="0" xfId="1" applyFill="1"/>
    <xf numFmtId="0" fontId="12" fillId="0" borderId="0" xfId="1" applyFill="1" applyBorder="1"/>
    <xf numFmtId="0" fontId="0" fillId="0" borderId="0" xfId="0" applyFill="1"/>
    <xf numFmtId="0" fontId="16" fillId="0" borderId="0" xfId="1" applyFont="1" applyFill="1"/>
    <xf numFmtId="0" fontId="14" fillId="0" borderId="0" xfId="0" applyFont="1"/>
    <xf numFmtId="0" fontId="1" fillId="0" borderId="0" xfId="0" applyFont="1" applyFill="1" applyAlignment="1">
      <alignment horizontal="left"/>
    </xf>
    <xf numFmtId="2" fontId="1" fillId="0" borderId="0" xfId="0" applyNumberFormat="1" applyFont="1" applyFill="1" applyAlignment="1">
      <alignment horizontal="left"/>
    </xf>
    <xf numFmtId="0" fontId="14" fillId="0" borderId="0" xfId="0" applyFont="1" applyFill="1"/>
    <xf numFmtId="0" fontId="2" fillId="0" borderId="0" xfId="0" applyFont="1" applyFill="1" applyAlignment="1">
      <alignment horizontal="left"/>
    </xf>
    <xf numFmtId="2" fontId="2" fillId="0" borderId="0" xfId="0" applyNumberFormat="1" applyFont="1" applyFill="1" applyAlignment="1">
      <alignment horizontal="left"/>
    </xf>
    <xf numFmtId="0" fontId="9" fillId="0" borderId="0" xfId="0" applyFont="1" applyFill="1" applyAlignment="1">
      <alignment wrapText="1"/>
    </xf>
    <xf numFmtId="0" fontId="9" fillId="0" borderId="0" xfId="0" applyFont="1" applyFill="1"/>
    <xf numFmtId="0" fontId="6" fillId="0" borderId="0" xfId="0" applyFont="1" applyFill="1"/>
    <xf numFmtId="2" fontId="0" fillId="0" borderId="0" xfId="0" applyNumberFormat="1" applyFill="1" applyAlignment="1">
      <alignment horizontal="left"/>
    </xf>
    <xf numFmtId="49" fontId="6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8" fillId="0" borderId="0" xfId="0" applyFont="1" applyFill="1" applyAlignment="1">
      <alignment wrapText="1"/>
    </xf>
    <xf numFmtId="0" fontId="7" fillId="0" borderId="1" xfId="0" applyFont="1" applyFill="1" applyBorder="1" applyAlignment="1">
      <alignment wrapText="1"/>
    </xf>
    <xf numFmtId="0" fontId="3" fillId="0" borderId="0" xfId="0" applyFont="1" applyFill="1"/>
    <xf numFmtId="0" fontId="2" fillId="0" borderId="0" xfId="0" applyNumberFormat="1" applyFont="1" applyFill="1" applyAlignment="1">
      <alignment horizontal="left"/>
    </xf>
    <xf numFmtId="0" fontId="7" fillId="0" borderId="0" xfId="0" applyFont="1" applyFill="1" applyAlignment="1">
      <alignment wrapText="1"/>
    </xf>
    <xf numFmtId="0" fontId="8" fillId="0" borderId="1" xfId="0" applyFont="1" applyFill="1" applyBorder="1" applyAlignment="1">
      <alignment wrapText="1"/>
    </xf>
    <xf numFmtId="0" fontId="10" fillId="0" borderId="0" xfId="0" applyFont="1" applyFill="1"/>
    <xf numFmtId="2" fontId="0" fillId="0" borderId="0" xfId="0" applyNumberFormat="1" applyFill="1"/>
    <xf numFmtId="0" fontId="0" fillId="0" borderId="1" xfId="0" applyFill="1" applyBorder="1"/>
    <xf numFmtId="1" fontId="2" fillId="0" borderId="0" xfId="0" applyNumberFormat="1" applyFont="1" applyFill="1" applyAlignment="1">
      <alignment horizontal="left"/>
    </xf>
    <xf numFmtId="0" fontId="9" fillId="0" borderId="1" xfId="0" applyFont="1" applyFill="1" applyBorder="1"/>
    <xf numFmtId="0" fontId="3" fillId="0" borderId="1" xfId="0" applyFont="1" applyFill="1" applyBorder="1"/>
    <xf numFmtId="2" fontId="13" fillId="0" borderId="0" xfId="0" applyNumberFormat="1" applyFont="1" applyFill="1" applyAlignment="1">
      <alignment horizontal="right"/>
    </xf>
    <xf numFmtId="0" fontId="11" fillId="0" borderId="0" xfId="0" applyFont="1" applyFill="1"/>
    <xf numFmtId="0" fontId="0" fillId="0" borderId="0" xfId="0" applyFill="1" applyAlignment="1">
      <alignment wrapText="1"/>
    </xf>
    <xf numFmtId="0" fontId="9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6" fillId="0" borderId="0" xfId="0" applyFont="1"/>
    <xf numFmtId="11" fontId="0" fillId="0" borderId="0" xfId="0" applyNumberFormat="1"/>
  </cellXfs>
  <cellStyles count="2">
    <cellStyle name="Normal" xfId="0" builtinId="0"/>
    <cellStyle name="Normal 2" xfId="1" xr:uid="{F77EE838-0997-437E-9A96-5C24413B6C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7EE75-69A3-4532-8BB4-B6E88FE8D8DA}">
  <dimension ref="A1:AC211"/>
  <sheetViews>
    <sheetView tabSelected="1" topLeftCell="H53" workbookViewId="0">
      <selection activeCell="X105" sqref="X105"/>
    </sheetView>
  </sheetViews>
  <sheetFormatPr defaultRowHeight="14.5" x14ac:dyDescent="0.35"/>
  <cols>
    <col min="1" max="1" width="9.54296875" bestFit="1" customWidth="1"/>
    <col min="2" max="3" width="23.453125" customWidth="1"/>
    <col min="4" max="4" width="13.26953125" style="2" bestFit="1" customWidth="1"/>
    <col min="5" max="5" width="13.26953125" customWidth="1"/>
    <col min="14" max="16" width="12"/>
    <col min="17" max="17" width="13.1796875" bestFit="1" customWidth="1"/>
    <col min="18" max="18" width="12.54296875" bestFit="1" customWidth="1"/>
    <col min="19" max="19" width="28.1796875" customWidth="1"/>
    <col min="20" max="20" width="16.7265625" bestFit="1" customWidth="1"/>
    <col min="21" max="21" width="18" bestFit="1" customWidth="1"/>
    <col min="23" max="23" width="10.81640625" bestFit="1" customWidth="1"/>
  </cols>
  <sheetData>
    <row r="1" spans="1:29" s="11" customFormat="1" ht="15.5" x14ac:dyDescent="0.35">
      <c r="A1" s="12" t="s">
        <v>0</v>
      </c>
      <c r="B1" s="12" t="s">
        <v>1</v>
      </c>
      <c r="C1" s="10" t="s">
        <v>441</v>
      </c>
      <c r="D1" s="13" t="s">
        <v>364</v>
      </c>
      <c r="E1" s="12" t="s">
        <v>365</v>
      </c>
      <c r="F1" s="12" t="s">
        <v>2</v>
      </c>
      <c r="G1" s="12" t="s">
        <v>3</v>
      </c>
      <c r="H1" s="12" t="s">
        <v>4</v>
      </c>
      <c r="I1" s="12" t="s">
        <v>5</v>
      </c>
      <c r="J1" s="12" t="s">
        <v>6</v>
      </c>
      <c r="K1" s="12" t="s">
        <v>7</v>
      </c>
      <c r="L1" s="12" t="s">
        <v>8</v>
      </c>
      <c r="M1" s="12" t="s">
        <v>9</v>
      </c>
      <c r="N1" s="14" t="s">
        <v>419</v>
      </c>
      <c r="O1" s="14" t="s">
        <v>420</v>
      </c>
      <c r="P1" s="14" t="s">
        <v>421</v>
      </c>
      <c r="Q1" s="14" t="s">
        <v>422</v>
      </c>
      <c r="R1" s="14" t="s">
        <v>423</v>
      </c>
      <c r="S1" s="14" t="s">
        <v>424</v>
      </c>
      <c r="T1" s="14" t="s">
        <v>425</v>
      </c>
      <c r="U1" s="14" t="s">
        <v>426</v>
      </c>
      <c r="V1" s="14" t="s">
        <v>438</v>
      </c>
      <c r="W1" s="14" t="s">
        <v>439</v>
      </c>
      <c r="X1" s="14" t="s">
        <v>440</v>
      </c>
      <c r="Y1" s="14" t="s">
        <v>447</v>
      </c>
      <c r="Z1" s="14" t="s">
        <v>448</v>
      </c>
      <c r="AA1" s="14" t="s">
        <v>449</v>
      </c>
      <c r="AB1" s="14" t="s">
        <v>450</v>
      </c>
      <c r="AC1" s="14" t="s">
        <v>451</v>
      </c>
    </row>
    <row r="2" spans="1:29" ht="31" x14ac:dyDescent="0.35">
      <c r="A2" s="15">
        <v>1</v>
      </c>
      <c r="B2" s="15" t="s">
        <v>371</v>
      </c>
      <c r="C2" s="7">
        <v>20</v>
      </c>
      <c r="D2" s="16">
        <v>0.94666666666666666</v>
      </c>
      <c r="E2" s="16" t="s">
        <v>367</v>
      </c>
      <c r="F2" s="16">
        <v>308</v>
      </c>
      <c r="G2" s="17" t="s">
        <v>58</v>
      </c>
      <c r="H2" s="18" t="s">
        <v>59</v>
      </c>
      <c r="I2" s="18" t="s">
        <v>13</v>
      </c>
      <c r="J2" s="16">
        <v>9.201666666666668</v>
      </c>
      <c r="K2" s="17" t="s">
        <v>58</v>
      </c>
      <c r="L2" s="18" t="s">
        <v>59</v>
      </c>
      <c r="M2" s="18" t="s">
        <v>13</v>
      </c>
      <c r="N2" s="9">
        <v>2.63</v>
      </c>
      <c r="O2" s="17" t="s">
        <v>58</v>
      </c>
      <c r="P2" s="18" t="s">
        <v>59</v>
      </c>
      <c r="Q2" s="18" t="s">
        <v>13</v>
      </c>
      <c r="R2" s="9">
        <v>1</v>
      </c>
      <c r="S2" s="17" t="s">
        <v>58</v>
      </c>
      <c r="T2" s="18" t="s">
        <v>59</v>
      </c>
      <c r="U2" s="18" t="s">
        <v>13</v>
      </c>
      <c r="V2" s="9">
        <v>1.94</v>
      </c>
      <c r="W2" s="9">
        <v>2.6</v>
      </c>
      <c r="X2" s="9">
        <v>1.83</v>
      </c>
      <c r="Y2" s="9">
        <f xml:space="preserve"> AVERAGE(2.98, 1.95, 2.23)</f>
        <v>2.3866666666666667</v>
      </c>
      <c r="Z2" s="9">
        <f>AVERAGE(3.75,3.19, 3.48)</f>
        <v>3.4733333333333332</v>
      </c>
      <c r="AA2" s="9">
        <f>AVERAGE(6.08,6.13,6.61)</f>
        <v>6.2733333333333334</v>
      </c>
      <c r="AB2" s="9">
        <f>AVERAGE(4.35,4.29, 4.46)</f>
        <v>4.3666666666666671</v>
      </c>
      <c r="AC2" s="9">
        <f>AVERAGE(4.55, 4.01, 4.28)</f>
        <v>4.28</v>
      </c>
    </row>
    <row r="3" spans="1:29" ht="31" x14ac:dyDescent="0.35">
      <c r="A3" s="15">
        <v>2</v>
      </c>
      <c r="B3" s="15" t="s">
        <v>414</v>
      </c>
      <c r="C3" s="7">
        <v>20</v>
      </c>
      <c r="D3" s="16">
        <v>0.94666666666666666</v>
      </c>
      <c r="E3" s="16" t="s">
        <v>367</v>
      </c>
      <c r="F3" s="16">
        <v>308</v>
      </c>
      <c r="G3" s="17" t="s">
        <v>58</v>
      </c>
      <c r="H3" s="18" t="s">
        <v>59</v>
      </c>
      <c r="I3" s="18" t="s">
        <v>13</v>
      </c>
      <c r="J3" s="16">
        <v>9.201666666666668</v>
      </c>
      <c r="K3" s="17" t="s">
        <v>58</v>
      </c>
      <c r="L3" s="18" t="s">
        <v>59</v>
      </c>
      <c r="M3" s="18" t="s">
        <v>13</v>
      </c>
      <c r="N3" s="9">
        <v>2.63</v>
      </c>
      <c r="O3" s="17" t="s">
        <v>58</v>
      </c>
      <c r="P3" s="18" t="s">
        <v>59</v>
      </c>
      <c r="Q3" s="18" t="s">
        <v>13</v>
      </c>
      <c r="R3" s="9">
        <v>1</v>
      </c>
      <c r="S3" s="17" t="s">
        <v>58</v>
      </c>
      <c r="T3" s="18" t="s">
        <v>59</v>
      </c>
      <c r="U3" s="18" t="s">
        <v>13</v>
      </c>
      <c r="V3" s="9">
        <v>1.94</v>
      </c>
      <c r="W3" s="9">
        <v>2.6</v>
      </c>
      <c r="X3" s="9">
        <v>1.83</v>
      </c>
      <c r="Y3" s="9">
        <f xml:space="preserve"> AVERAGE(2.98, 1.95, 2.23)</f>
        <v>2.3866666666666667</v>
      </c>
      <c r="Z3" s="9">
        <f>AVERAGE(3.75,3.19, 3.48)</f>
        <v>3.4733333333333332</v>
      </c>
      <c r="AA3" s="9">
        <f>AVERAGE(6.08,6.13,6.61)</f>
        <v>6.2733333333333334</v>
      </c>
      <c r="AB3" s="9">
        <f>AVERAGE(4.35,4.29, 4.46)</f>
        <v>4.3666666666666671</v>
      </c>
      <c r="AC3" s="9">
        <f>AVERAGE(4.55, 4.01, 4.28)</f>
        <v>4.28</v>
      </c>
    </row>
    <row r="4" spans="1:29" ht="15.5" x14ac:dyDescent="0.35">
      <c r="A4" s="15">
        <v>3</v>
      </c>
      <c r="B4" s="15" t="s">
        <v>377</v>
      </c>
      <c r="C4" s="7">
        <v>193</v>
      </c>
      <c r="D4" s="16">
        <v>1</v>
      </c>
      <c r="E4" s="16" t="s">
        <v>367</v>
      </c>
      <c r="F4" s="15">
        <v>258</v>
      </c>
      <c r="G4" s="15" t="s">
        <v>378</v>
      </c>
      <c r="H4" s="15" t="s">
        <v>379</v>
      </c>
      <c r="I4" s="15" t="s">
        <v>13</v>
      </c>
      <c r="J4" s="15">
        <v>18.86</v>
      </c>
      <c r="K4" s="15" t="s">
        <v>378</v>
      </c>
      <c r="L4" s="15" t="s">
        <v>379</v>
      </c>
      <c r="M4" s="15" t="s">
        <v>13</v>
      </c>
      <c r="N4" s="9">
        <v>5.79</v>
      </c>
      <c r="O4" s="15" t="s">
        <v>378</v>
      </c>
      <c r="P4" s="15" t="s">
        <v>379</v>
      </c>
      <c r="Q4" s="15" t="s">
        <v>13</v>
      </c>
      <c r="R4" s="9">
        <v>1.42</v>
      </c>
      <c r="S4" s="15" t="s">
        <v>378</v>
      </c>
      <c r="T4" s="15" t="s">
        <v>379</v>
      </c>
      <c r="U4" s="15" t="s">
        <v>13</v>
      </c>
      <c r="V4" s="9">
        <v>0.72</v>
      </c>
      <c r="W4" s="9">
        <v>4.2699999999999996</v>
      </c>
      <c r="X4" s="9">
        <v>2.2799999999999998</v>
      </c>
      <c r="Y4" s="9">
        <v>3.04</v>
      </c>
      <c r="Z4" s="9">
        <v>4.79</v>
      </c>
      <c r="AA4" s="9">
        <v>9.76</v>
      </c>
      <c r="AB4" s="9">
        <v>5.08</v>
      </c>
      <c r="AC4" s="9">
        <v>5.68</v>
      </c>
    </row>
    <row r="5" spans="1:29" ht="15.5" x14ac:dyDescent="0.35">
      <c r="A5" s="15">
        <v>4</v>
      </c>
      <c r="B5" s="15" t="s">
        <v>380</v>
      </c>
      <c r="C5" s="7">
        <v>42</v>
      </c>
      <c r="D5" s="16">
        <v>1</v>
      </c>
      <c r="E5" s="16" t="s">
        <v>367</v>
      </c>
      <c r="F5" s="15">
        <v>99</v>
      </c>
      <c r="G5" s="9" t="s">
        <v>110</v>
      </c>
      <c r="H5" s="9" t="s">
        <v>111</v>
      </c>
      <c r="I5" s="15" t="s">
        <v>102</v>
      </c>
      <c r="J5" s="15">
        <v>3.25</v>
      </c>
      <c r="K5" s="9" t="s">
        <v>110</v>
      </c>
      <c r="L5" s="9" t="s">
        <v>111</v>
      </c>
      <c r="M5" s="15" t="s">
        <v>102</v>
      </c>
      <c r="N5" s="18">
        <v>7.37</v>
      </c>
      <c r="O5" s="27"/>
      <c r="P5" s="9"/>
      <c r="Q5" s="9"/>
      <c r="R5" s="9">
        <v>5.29</v>
      </c>
      <c r="S5" s="27"/>
      <c r="T5" s="9"/>
      <c r="U5" s="9"/>
      <c r="V5" s="9">
        <v>0.83</v>
      </c>
      <c r="W5" s="9">
        <v>4.17</v>
      </c>
      <c r="X5" s="9">
        <v>2.31</v>
      </c>
      <c r="Y5" s="9">
        <f>0.088*100/3.5</f>
        <v>2.5142857142857138</v>
      </c>
      <c r="Z5" s="9">
        <f>0.195*100/3.5</f>
        <v>5.5714285714285712</v>
      </c>
      <c r="AA5" s="9">
        <f>0.316*100/3.5</f>
        <v>9.0285714285714285</v>
      </c>
      <c r="AB5" s="9">
        <f>0.157*100/3.5</f>
        <v>4.4857142857142858</v>
      </c>
      <c r="AC5" s="9">
        <f>0.217*100/3.5</f>
        <v>6.2</v>
      </c>
    </row>
    <row r="6" spans="1:29" ht="15.5" x14ac:dyDescent="0.35">
      <c r="A6" s="15">
        <v>5</v>
      </c>
      <c r="B6" s="15" t="s">
        <v>381</v>
      </c>
      <c r="C6" s="7">
        <v>193</v>
      </c>
      <c r="D6" s="16">
        <v>1</v>
      </c>
      <c r="E6" s="16" t="s">
        <v>367</v>
      </c>
      <c r="F6" s="15">
        <v>316</v>
      </c>
      <c r="G6" s="15" t="s">
        <v>382</v>
      </c>
      <c r="H6" s="15" t="s">
        <v>383</v>
      </c>
      <c r="I6" s="15" t="s">
        <v>13</v>
      </c>
      <c r="J6" s="15">
        <v>16.34</v>
      </c>
      <c r="K6" s="15" t="s">
        <v>382</v>
      </c>
      <c r="L6" s="15" t="s">
        <v>383</v>
      </c>
      <c r="M6" s="15" t="s">
        <v>13</v>
      </c>
      <c r="N6" s="9">
        <v>2.41</v>
      </c>
      <c r="O6" s="15" t="s">
        <v>382</v>
      </c>
      <c r="P6" s="15" t="s">
        <v>383</v>
      </c>
      <c r="Q6" s="15" t="s">
        <v>13</v>
      </c>
      <c r="R6" s="9">
        <v>1.59</v>
      </c>
      <c r="S6" s="15" t="s">
        <v>382</v>
      </c>
      <c r="T6" s="15" t="s">
        <v>383</v>
      </c>
      <c r="U6" s="15" t="s">
        <v>13</v>
      </c>
      <c r="V6" s="9">
        <v>0.75</v>
      </c>
      <c r="W6" s="9">
        <v>4.37</v>
      </c>
      <c r="X6" s="9">
        <v>1.95</v>
      </c>
      <c r="Y6" s="9">
        <v>1.47</v>
      </c>
      <c r="Z6" s="9">
        <v>4.93</v>
      </c>
      <c r="AA6" s="9">
        <v>10.34</v>
      </c>
      <c r="AB6" s="9">
        <v>5.08</v>
      </c>
      <c r="AC6" s="9">
        <v>6.1</v>
      </c>
    </row>
    <row r="7" spans="1:29" ht="15.5" x14ac:dyDescent="0.35">
      <c r="A7" s="15">
        <v>6</v>
      </c>
      <c r="B7" s="15" t="s">
        <v>407</v>
      </c>
      <c r="C7" s="7">
        <v>193</v>
      </c>
      <c r="D7" s="16">
        <v>1</v>
      </c>
      <c r="E7" s="16" t="s">
        <v>367</v>
      </c>
      <c r="F7" s="15">
        <v>59</v>
      </c>
      <c r="G7" s="42">
        <v>1256</v>
      </c>
      <c r="H7" s="15" t="s">
        <v>454</v>
      </c>
      <c r="I7" s="15" t="s">
        <v>115</v>
      </c>
      <c r="J7" s="15">
        <v>10.3</v>
      </c>
      <c r="K7" s="42">
        <v>1256</v>
      </c>
      <c r="L7" s="15" t="s">
        <v>454</v>
      </c>
      <c r="M7" s="15" t="s">
        <v>115</v>
      </c>
      <c r="N7" s="9">
        <v>8.08</v>
      </c>
      <c r="O7" s="42">
        <v>1256</v>
      </c>
      <c r="P7" s="15" t="s">
        <v>454</v>
      </c>
      <c r="Q7" s="15" t="s">
        <v>115</v>
      </c>
      <c r="R7" s="9">
        <v>1.29</v>
      </c>
      <c r="S7" s="42">
        <v>1256</v>
      </c>
      <c r="T7" s="15" t="s">
        <v>454</v>
      </c>
      <c r="U7" s="15" t="s">
        <v>115</v>
      </c>
      <c r="V7" s="9">
        <v>0.81</v>
      </c>
      <c r="W7" s="9">
        <v>3.98</v>
      </c>
      <c r="X7" s="9">
        <v>2.84</v>
      </c>
      <c r="Y7" s="9">
        <v>2.84</v>
      </c>
      <c r="Z7" s="9">
        <v>5.1100000000000003</v>
      </c>
      <c r="AA7" s="9">
        <v>10</v>
      </c>
      <c r="AB7" s="9">
        <v>4.9800000000000004</v>
      </c>
      <c r="AC7" s="9">
        <v>6.48</v>
      </c>
    </row>
    <row r="8" spans="1:29" ht="15.5" x14ac:dyDescent="0.35">
      <c r="A8" s="15">
        <v>7</v>
      </c>
      <c r="B8" s="15" t="s">
        <v>408</v>
      </c>
      <c r="C8" s="7">
        <v>193</v>
      </c>
      <c r="D8" s="16">
        <v>1</v>
      </c>
      <c r="E8" s="16" t="s">
        <v>367</v>
      </c>
      <c r="F8" s="15">
        <v>62</v>
      </c>
      <c r="G8" s="19" t="s">
        <v>418</v>
      </c>
      <c r="H8" s="15" t="s">
        <v>417</v>
      </c>
      <c r="I8" s="15" t="s">
        <v>115</v>
      </c>
      <c r="J8" s="15">
        <v>3.21</v>
      </c>
      <c r="K8" s="19" t="s">
        <v>418</v>
      </c>
      <c r="L8" s="15" t="s">
        <v>417</v>
      </c>
      <c r="M8" s="15" t="s">
        <v>115</v>
      </c>
      <c r="N8" s="9">
        <v>8.3800000000000008</v>
      </c>
      <c r="O8" s="19" t="s">
        <v>418</v>
      </c>
      <c r="P8" s="15" t="s">
        <v>417</v>
      </c>
      <c r="Q8" s="15" t="s">
        <v>115</v>
      </c>
      <c r="R8" s="9">
        <v>1.28</v>
      </c>
      <c r="S8" s="19" t="s">
        <v>418</v>
      </c>
      <c r="T8" s="15" t="s">
        <v>417</v>
      </c>
      <c r="U8" s="15" t="s">
        <v>115</v>
      </c>
      <c r="V8" s="9">
        <v>0.62</v>
      </c>
      <c r="W8" s="9">
        <v>4.2699999999999996</v>
      </c>
      <c r="X8" s="9">
        <v>2.62</v>
      </c>
      <c r="Y8" s="9">
        <f>0.097*100/3.21</f>
        <v>3.0218068535825551</v>
      </c>
      <c r="Z8" s="9">
        <f>0.166*100/3.21</f>
        <v>5.1713395638629285</v>
      </c>
      <c r="AA8" s="9">
        <f>0.304*100/3.21</f>
        <v>9.4704049844236753</v>
      </c>
      <c r="AB8" s="9">
        <v>5.17</v>
      </c>
      <c r="AC8" s="9">
        <f>0.21*100/3.21</f>
        <v>6.5420560747663554</v>
      </c>
    </row>
    <row r="9" spans="1:29" ht="15.5" x14ac:dyDescent="0.35">
      <c r="A9" s="15">
        <v>8</v>
      </c>
      <c r="B9" s="15" t="s">
        <v>405</v>
      </c>
      <c r="C9" s="8">
        <v>203</v>
      </c>
      <c r="D9" s="16"/>
      <c r="E9" s="16" t="s">
        <v>367</v>
      </c>
      <c r="F9" s="15">
        <v>56</v>
      </c>
      <c r="G9" s="15" t="s">
        <v>411</v>
      </c>
      <c r="H9" s="15" t="s">
        <v>412</v>
      </c>
      <c r="I9" s="15" t="s">
        <v>13</v>
      </c>
      <c r="J9" s="15">
        <v>1.5</v>
      </c>
      <c r="K9" s="15" t="s">
        <v>411</v>
      </c>
      <c r="L9" s="15" t="s">
        <v>412</v>
      </c>
      <c r="M9" s="15" t="s">
        <v>13</v>
      </c>
      <c r="N9" s="9">
        <v>5.84</v>
      </c>
      <c r="O9" s="15" t="s">
        <v>411</v>
      </c>
      <c r="P9" s="15" t="s">
        <v>412</v>
      </c>
      <c r="Q9" s="15" t="s">
        <v>13</v>
      </c>
      <c r="R9" s="9">
        <v>2.58</v>
      </c>
      <c r="S9" s="15" t="s">
        <v>411</v>
      </c>
      <c r="T9" s="15" t="s">
        <v>412</v>
      </c>
      <c r="U9" s="15" t="s">
        <v>13</v>
      </c>
      <c r="V9" s="9">
        <v>0.6</v>
      </c>
      <c r="W9" s="9">
        <v>2.58</v>
      </c>
      <c r="X9" s="9">
        <v>0.8</v>
      </c>
      <c r="Y9" s="9">
        <v>1.49</v>
      </c>
      <c r="Z9" s="9">
        <v>2.2200000000000002</v>
      </c>
      <c r="AA9" s="9">
        <v>4.12</v>
      </c>
      <c r="AB9" s="9">
        <v>2.69</v>
      </c>
      <c r="AC9" s="9">
        <v>2.12</v>
      </c>
    </row>
    <row r="10" spans="1:29" ht="15.5" x14ac:dyDescent="0.35">
      <c r="A10" s="15">
        <v>10</v>
      </c>
      <c r="B10" s="15" t="s">
        <v>406</v>
      </c>
      <c r="C10" s="8">
        <v>203</v>
      </c>
      <c r="D10" s="16">
        <v>0.99</v>
      </c>
      <c r="E10" s="16" t="s">
        <v>367</v>
      </c>
      <c r="F10" s="15">
        <v>82</v>
      </c>
      <c r="G10" s="15" t="s">
        <v>415</v>
      </c>
      <c r="H10" s="15" t="s">
        <v>416</v>
      </c>
      <c r="I10" s="15" t="s">
        <v>13</v>
      </c>
      <c r="J10" s="15">
        <v>2</v>
      </c>
      <c r="K10" s="15" t="s">
        <v>415</v>
      </c>
      <c r="L10" s="15" t="s">
        <v>416</v>
      </c>
      <c r="M10" s="15" t="s">
        <v>13</v>
      </c>
      <c r="N10" s="9">
        <v>3.19</v>
      </c>
      <c r="O10" s="15" t="s">
        <v>415</v>
      </c>
      <c r="P10" s="15" t="s">
        <v>416</v>
      </c>
      <c r="Q10" s="15" t="s">
        <v>13</v>
      </c>
      <c r="R10" s="9">
        <v>0.85</v>
      </c>
      <c r="S10" s="15" t="s">
        <v>415</v>
      </c>
      <c r="T10" s="15" t="s">
        <v>416</v>
      </c>
      <c r="U10" s="15" t="s">
        <v>13</v>
      </c>
      <c r="V10" s="9">
        <v>1.68</v>
      </c>
      <c r="W10" s="9">
        <v>4.24</v>
      </c>
      <c r="X10" s="9">
        <v>0.9</v>
      </c>
      <c r="Y10" s="9">
        <v>1.1599999999999999</v>
      </c>
      <c r="Z10" s="9">
        <v>4.84</v>
      </c>
      <c r="AA10" s="9">
        <v>5.8</v>
      </c>
      <c r="AB10" s="9">
        <v>3.36</v>
      </c>
      <c r="AC10" s="9">
        <v>5.34</v>
      </c>
    </row>
    <row r="11" spans="1:29" ht="15.5" x14ac:dyDescent="0.35">
      <c r="A11" s="15">
        <v>11</v>
      </c>
      <c r="B11" s="15" t="s">
        <v>387</v>
      </c>
      <c r="C11" s="7">
        <v>42</v>
      </c>
      <c r="D11" s="20">
        <v>1</v>
      </c>
      <c r="E11" s="15" t="s">
        <v>368</v>
      </c>
      <c r="F11" s="15">
        <v>237</v>
      </c>
      <c r="G11" s="19" t="s">
        <v>388</v>
      </c>
      <c r="H11" s="15" t="s">
        <v>389</v>
      </c>
      <c r="I11" s="15" t="s">
        <v>115</v>
      </c>
      <c r="J11" s="15">
        <v>7.0000000000000007E-2</v>
      </c>
      <c r="K11" s="19" t="s">
        <v>388</v>
      </c>
      <c r="L11" s="15" t="s">
        <v>389</v>
      </c>
      <c r="M11" s="15" t="s">
        <v>115</v>
      </c>
      <c r="N11" s="9">
        <v>0</v>
      </c>
      <c r="O11" s="19" t="s">
        <v>388</v>
      </c>
      <c r="P11" s="15" t="s">
        <v>389</v>
      </c>
      <c r="Q11" s="15" t="s">
        <v>115</v>
      </c>
      <c r="R11" s="9">
        <v>0</v>
      </c>
      <c r="S11" s="19" t="s">
        <v>388</v>
      </c>
      <c r="T11" s="15" t="s">
        <v>389</v>
      </c>
      <c r="U11" s="15" t="s">
        <v>115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</row>
    <row r="12" spans="1:29" ht="15.5" x14ac:dyDescent="0.35">
      <c r="A12" s="15">
        <v>12</v>
      </c>
      <c r="B12" s="15" t="s">
        <v>409</v>
      </c>
      <c r="C12" s="7">
        <v>20</v>
      </c>
      <c r="D12" s="16">
        <v>1</v>
      </c>
      <c r="E12" s="15" t="s">
        <v>368</v>
      </c>
      <c r="F12" s="15">
        <v>349</v>
      </c>
      <c r="G12" s="21"/>
      <c r="H12" s="15"/>
      <c r="I12" s="15"/>
      <c r="J12" s="15"/>
      <c r="K12" s="22"/>
      <c r="L12" s="22"/>
      <c r="M12" s="22"/>
      <c r="N12" s="9"/>
      <c r="O12" s="23"/>
      <c r="P12" s="15"/>
      <c r="Q12" s="15"/>
      <c r="R12" s="9"/>
      <c r="S12" s="23"/>
      <c r="T12" s="15"/>
      <c r="U12" s="15"/>
      <c r="V12" s="9"/>
      <c r="W12" s="9"/>
      <c r="X12" s="9"/>
      <c r="Y12" s="9"/>
      <c r="Z12" s="9"/>
      <c r="AA12" s="9"/>
      <c r="AB12" s="9"/>
      <c r="AC12" s="9"/>
    </row>
    <row r="13" spans="1:29" ht="15.5" x14ac:dyDescent="0.35">
      <c r="A13" s="15">
        <v>13</v>
      </c>
      <c r="B13" s="15" t="s">
        <v>410</v>
      </c>
      <c r="C13" s="7">
        <v>20</v>
      </c>
      <c r="D13" s="16">
        <v>1</v>
      </c>
      <c r="E13" s="15" t="s">
        <v>368</v>
      </c>
      <c r="F13" s="15">
        <v>406</v>
      </c>
      <c r="G13" s="22">
        <v>28351</v>
      </c>
      <c r="H13" s="15" t="s">
        <v>353</v>
      </c>
      <c r="I13" s="15" t="s">
        <v>115</v>
      </c>
      <c r="J13" s="15">
        <v>5.0999999999999996</v>
      </c>
      <c r="K13" s="22">
        <v>28351</v>
      </c>
      <c r="L13" s="22" t="s">
        <v>353</v>
      </c>
      <c r="M13" s="22" t="s">
        <v>115</v>
      </c>
      <c r="N13" s="9">
        <v>1.55</v>
      </c>
      <c r="O13" s="22">
        <v>28351</v>
      </c>
      <c r="P13" s="15" t="s">
        <v>353</v>
      </c>
      <c r="Q13" s="15" t="s">
        <v>115</v>
      </c>
      <c r="R13" s="9">
        <v>1.55</v>
      </c>
      <c r="S13" s="22">
        <v>28351</v>
      </c>
      <c r="T13" s="15" t="s">
        <v>353</v>
      </c>
      <c r="U13" s="15" t="s">
        <v>115</v>
      </c>
      <c r="V13" s="9">
        <v>2.02</v>
      </c>
      <c r="W13" s="9">
        <v>2.65</v>
      </c>
      <c r="X13" s="9">
        <v>0.43</v>
      </c>
      <c r="Y13" s="9">
        <v>1.54</v>
      </c>
      <c r="Z13" s="9">
        <v>2.86</v>
      </c>
      <c r="AA13" s="9">
        <v>5.75</v>
      </c>
      <c r="AB13" s="9">
        <v>4.18</v>
      </c>
      <c r="AC13" s="9">
        <v>3.9</v>
      </c>
    </row>
    <row r="14" spans="1:29" ht="15.5" x14ac:dyDescent="0.35">
      <c r="A14" s="15">
        <v>55</v>
      </c>
      <c r="B14" s="15" t="s">
        <v>390</v>
      </c>
      <c r="C14" s="7">
        <v>33</v>
      </c>
      <c r="D14" s="16">
        <v>1</v>
      </c>
      <c r="E14" s="16" t="s">
        <v>367</v>
      </c>
      <c r="F14" s="15">
        <v>334</v>
      </c>
      <c r="G14" s="24" t="s">
        <v>40</v>
      </c>
      <c r="H14" s="15" t="s">
        <v>41</v>
      </c>
      <c r="I14" s="15" t="s">
        <v>13</v>
      </c>
      <c r="J14" s="15">
        <v>10.57</v>
      </c>
      <c r="K14" s="24" t="s">
        <v>40</v>
      </c>
      <c r="L14" s="15" t="s">
        <v>41</v>
      </c>
      <c r="M14" s="15" t="s">
        <v>13</v>
      </c>
      <c r="N14" s="9">
        <v>2.42</v>
      </c>
      <c r="O14" s="25" t="s">
        <v>40</v>
      </c>
      <c r="P14" s="9" t="s">
        <v>41</v>
      </c>
      <c r="Q14" s="9" t="s">
        <v>13</v>
      </c>
      <c r="R14" s="9">
        <v>0.99</v>
      </c>
      <c r="S14" s="25" t="s">
        <v>40</v>
      </c>
      <c r="T14" s="9" t="s">
        <v>41</v>
      </c>
      <c r="U14" s="9" t="s">
        <v>13</v>
      </c>
      <c r="V14" s="9">
        <v>1.06</v>
      </c>
      <c r="W14" s="9">
        <v>2.96</v>
      </c>
      <c r="X14" s="9">
        <v>1.52</v>
      </c>
      <c r="Y14" s="9">
        <v>2.0699999999999998</v>
      </c>
      <c r="Z14" s="9">
        <v>3.45</v>
      </c>
      <c r="AA14" s="9">
        <v>12.03</v>
      </c>
      <c r="AB14" s="9">
        <v>5.0999999999999996</v>
      </c>
      <c r="AC14" s="9">
        <v>4.51</v>
      </c>
    </row>
    <row r="15" spans="1:29" ht="15.5" x14ac:dyDescent="0.35">
      <c r="A15" s="15">
        <v>56</v>
      </c>
      <c r="B15" s="15" t="s">
        <v>391</v>
      </c>
      <c r="C15" s="7">
        <v>15</v>
      </c>
      <c r="D15" s="16">
        <v>1</v>
      </c>
      <c r="E15" s="16" t="s">
        <v>367</v>
      </c>
      <c r="F15" s="15">
        <v>348</v>
      </c>
      <c r="G15" s="24" t="s">
        <v>43</v>
      </c>
      <c r="H15" s="15" t="s">
        <v>44</v>
      </c>
      <c r="I15" s="15" t="s">
        <v>13</v>
      </c>
      <c r="J15" s="15">
        <v>11</v>
      </c>
      <c r="K15" s="24" t="s">
        <v>43</v>
      </c>
      <c r="L15" s="15" t="s">
        <v>44</v>
      </c>
      <c r="M15" s="15" t="s">
        <v>13</v>
      </c>
      <c r="N15" s="9">
        <v>2.2999999999999998</v>
      </c>
      <c r="O15" s="25" t="s">
        <v>43</v>
      </c>
      <c r="P15" s="9" t="s">
        <v>44</v>
      </c>
      <c r="Q15" s="9" t="s">
        <v>13</v>
      </c>
      <c r="R15" s="9">
        <v>1.03</v>
      </c>
      <c r="S15" s="25" t="s">
        <v>43</v>
      </c>
      <c r="T15" s="9" t="s">
        <v>44</v>
      </c>
      <c r="U15" s="9" t="s">
        <v>13</v>
      </c>
      <c r="V15" s="9">
        <v>1.23</v>
      </c>
      <c r="W15" s="9">
        <v>3.55</v>
      </c>
      <c r="X15" s="9">
        <v>2.11</v>
      </c>
      <c r="Y15" s="9">
        <v>2.15</v>
      </c>
      <c r="Z15" s="9">
        <v>3.45</v>
      </c>
      <c r="AA15" s="9">
        <v>8.52</v>
      </c>
      <c r="AB15" s="9">
        <v>4.82</v>
      </c>
      <c r="AC15" s="9">
        <v>4.79</v>
      </c>
    </row>
    <row r="16" spans="1:29" ht="15.5" x14ac:dyDescent="0.35">
      <c r="A16" s="15">
        <v>57</v>
      </c>
      <c r="B16" s="15" t="s">
        <v>392</v>
      </c>
      <c r="C16" s="7">
        <v>6</v>
      </c>
      <c r="D16" s="16">
        <v>0.68</v>
      </c>
      <c r="E16" s="15" t="s">
        <v>366</v>
      </c>
      <c r="F16" s="15">
        <v>183</v>
      </c>
      <c r="G16" s="15" t="s">
        <v>46</v>
      </c>
      <c r="H16" s="15" t="s">
        <v>47</v>
      </c>
      <c r="I16" s="15" t="s">
        <v>13</v>
      </c>
      <c r="J16" s="15">
        <v>5.48</v>
      </c>
      <c r="K16" s="22" t="s">
        <v>46</v>
      </c>
      <c r="L16" s="22" t="s">
        <v>47</v>
      </c>
      <c r="M16" s="15" t="s">
        <v>13</v>
      </c>
      <c r="N16" s="9">
        <v>2.2400000000000002</v>
      </c>
      <c r="O16" s="18" t="s">
        <v>46</v>
      </c>
      <c r="P16" s="18" t="s">
        <v>47</v>
      </c>
      <c r="Q16" s="9" t="s">
        <v>13</v>
      </c>
      <c r="R16" s="9">
        <v>0.62</v>
      </c>
      <c r="S16" s="18" t="s">
        <v>46</v>
      </c>
      <c r="T16" s="18" t="s">
        <v>47</v>
      </c>
      <c r="U16" s="9" t="s">
        <v>13</v>
      </c>
      <c r="V16" s="9">
        <v>1.36</v>
      </c>
      <c r="W16" s="9">
        <v>3.03</v>
      </c>
      <c r="X16" s="9">
        <v>1.84</v>
      </c>
      <c r="Y16" s="9">
        <f>AVERAGE(2.7,2.15,2.16)</f>
        <v>2.3366666666666664</v>
      </c>
      <c r="Z16" s="9">
        <f>AVERAGE(3.67,3.55,3.45)</f>
        <v>3.5566666666666666</v>
      </c>
      <c r="AA16" s="9">
        <f>AVERAGE(12.24, 10.09,10.61)</f>
        <v>10.979999999999999</v>
      </c>
      <c r="AB16" s="9">
        <f>AVERAGE(5.14,3.95,3.05)</f>
        <v>4.0466666666666669</v>
      </c>
      <c r="AC16" s="9">
        <f>AVERAGE(5.41,3.54,3.88)</f>
        <v>4.2766666666666664</v>
      </c>
    </row>
    <row r="17" spans="1:29" ht="15.5" x14ac:dyDescent="0.35">
      <c r="A17" s="15">
        <v>58</v>
      </c>
      <c r="B17" s="15" t="s">
        <v>393</v>
      </c>
      <c r="C17" s="7">
        <v>2</v>
      </c>
      <c r="D17" s="16">
        <v>1</v>
      </c>
      <c r="E17" s="16" t="s">
        <v>367</v>
      </c>
      <c r="F17" s="15">
        <v>316</v>
      </c>
      <c r="G17" s="24" t="s">
        <v>49</v>
      </c>
      <c r="H17" s="24" t="s">
        <v>50</v>
      </c>
      <c r="I17" s="15" t="s">
        <v>13</v>
      </c>
      <c r="J17" s="15">
        <v>10.9</v>
      </c>
      <c r="K17" s="24" t="s">
        <v>49</v>
      </c>
      <c r="L17" s="24" t="s">
        <v>50</v>
      </c>
      <c r="M17" s="15" t="s">
        <v>13</v>
      </c>
      <c r="N17" s="9">
        <v>3.41</v>
      </c>
      <c r="O17" s="25" t="s">
        <v>49</v>
      </c>
      <c r="P17" s="25" t="s">
        <v>50</v>
      </c>
      <c r="Q17" s="9" t="s">
        <v>13</v>
      </c>
      <c r="R17" s="9">
        <v>1.28</v>
      </c>
      <c r="S17" s="25" t="s">
        <v>49</v>
      </c>
      <c r="T17" s="25" t="s">
        <v>50</v>
      </c>
      <c r="U17" s="9" t="s">
        <v>13</v>
      </c>
      <c r="V17" s="9">
        <v>2.2000000000000002</v>
      </c>
      <c r="W17" s="9">
        <v>3.3</v>
      </c>
      <c r="X17" s="9">
        <v>1.86</v>
      </c>
      <c r="Y17" s="9">
        <v>2.13</v>
      </c>
      <c r="Z17" s="9">
        <v>3.63</v>
      </c>
      <c r="AA17" s="9">
        <v>6.49</v>
      </c>
      <c r="AB17" s="9">
        <v>4.88</v>
      </c>
      <c r="AC17" s="9">
        <v>4.78</v>
      </c>
    </row>
    <row r="18" spans="1:29" ht="15.5" x14ac:dyDescent="0.35">
      <c r="A18" s="15">
        <v>59</v>
      </c>
      <c r="B18" s="15" t="s">
        <v>394</v>
      </c>
      <c r="C18" s="7">
        <v>16</v>
      </c>
      <c r="D18" s="16">
        <v>1</v>
      </c>
      <c r="E18" s="16" t="s">
        <v>367</v>
      </c>
      <c r="F18" s="15">
        <v>346</v>
      </c>
      <c r="G18" s="24" t="s">
        <v>52</v>
      </c>
      <c r="H18" s="24" t="s">
        <v>53</v>
      </c>
      <c r="I18" s="15" t="s">
        <v>13</v>
      </c>
      <c r="J18" s="15">
        <v>10.1</v>
      </c>
      <c r="K18" s="24" t="s">
        <v>52</v>
      </c>
      <c r="L18" s="24" t="s">
        <v>53</v>
      </c>
      <c r="M18" s="22" t="s">
        <v>13</v>
      </c>
      <c r="N18" s="9">
        <v>2.42</v>
      </c>
      <c r="O18" s="25" t="s">
        <v>52</v>
      </c>
      <c r="P18" s="25" t="s">
        <v>53</v>
      </c>
      <c r="Q18" s="18" t="s">
        <v>13</v>
      </c>
      <c r="R18" s="9">
        <v>1.35</v>
      </c>
      <c r="S18" s="25" t="s">
        <v>52</v>
      </c>
      <c r="T18" s="25" t="s">
        <v>53</v>
      </c>
      <c r="U18" s="18" t="s">
        <v>13</v>
      </c>
      <c r="V18" s="9">
        <v>1.85</v>
      </c>
      <c r="W18" s="9">
        <v>4.24</v>
      </c>
      <c r="X18" s="9">
        <v>2.21</v>
      </c>
      <c r="Y18" s="9">
        <v>2.35</v>
      </c>
      <c r="Z18" s="9">
        <v>4.1399999999999997</v>
      </c>
      <c r="AA18" s="9">
        <v>8.08</v>
      </c>
      <c r="AB18" s="9">
        <v>6.14</v>
      </c>
      <c r="AC18" s="9">
        <v>5.31</v>
      </c>
    </row>
    <row r="19" spans="1:29" ht="15.5" x14ac:dyDescent="0.35">
      <c r="A19" s="15">
        <v>60</v>
      </c>
      <c r="B19" s="15" t="s">
        <v>395</v>
      </c>
      <c r="C19" s="7">
        <v>15</v>
      </c>
      <c r="D19" s="16">
        <v>1</v>
      </c>
      <c r="E19" s="16" t="s">
        <v>367</v>
      </c>
      <c r="F19" s="15">
        <v>321</v>
      </c>
      <c r="G19" s="24" t="s">
        <v>55</v>
      </c>
      <c r="H19" s="15" t="s">
        <v>56</v>
      </c>
      <c r="I19" s="15" t="s">
        <v>13</v>
      </c>
      <c r="J19" s="15">
        <v>7.16</v>
      </c>
      <c r="K19" s="24" t="s">
        <v>55</v>
      </c>
      <c r="L19" s="15" t="s">
        <v>56</v>
      </c>
      <c r="M19" s="15" t="s">
        <v>13</v>
      </c>
      <c r="N19" s="9">
        <v>2.83</v>
      </c>
      <c r="O19" s="25" t="s">
        <v>55</v>
      </c>
      <c r="P19" s="9" t="s">
        <v>56</v>
      </c>
      <c r="Q19" s="9" t="s">
        <v>13</v>
      </c>
      <c r="R19" s="9">
        <v>0.91</v>
      </c>
      <c r="S19" s="25" t="s">
        <v>55</v>
      </c>
      <c r="T19" s="9" t="s">
        <v>56</v>
      </c>
      <c r="U19" s="9" t="s">
        <v>13</v>
      </c>
      <c r="V19" s="9">
        <v>1.48</v>
      </c>
      <c r="W19" s="9">
        <v>3.84</v>
      </c>
      <c r="X19" s="9">
        <v>2.74</v>
      </c>
      <c r="Y19" s="9">
        <v>2.37</v>
      </c>
      <c r="Z19" s="9">
        <v>3.7</v>
      </c>
      <c r="AA19" s="9">
        <v>8.86</v>
      </c>
      <c r="AB19" s="9">
        <v>5.7</v>
      </c>
      <c r="AC19" s="9">
        <v>5.65</v>
      </c>
    </row>
    <row r="20" spans="1:29" ht="18" x14ac:dyDescent="0.5">
      <c r="A20" s="15">
        <v>61</v>
      </c>
      <c r="B20" s="15" t="s">
        <v>369</v>
      </c>
      <c r="C20" s="7">
        <v>26</v>
      </c>
      <c r="D20" s="16">
        <v>1</v>
      </c>
      <c r="E20" s="16" t="s">
        <v>367</v>
      </c>
      <c r="F20" s="15">
        <v>356</v>
      </c>
      <c r="G20" s="24" t="s">
        <v>11</v>
      </c>
      <c r="H20" s="15" t="s">
        <v>12</v>
      </c>
      <c r="I20" s="15" t="s">
        <v>13</v>
      </c>
      <c r="J20" s="15">
        <v>7.9</v>
      </c>
      <c r="K20" s="24" t="s">
        <v>11</v>
      </c>
      <c r="L20" s="15" t="s">
        <v>12</v>
      </c>
      <c r="M20" s="15" t="s">
        <v>13</v>
      </c>
      <c r="N20" s="9">
        <v>3.7</v>
      </c>
      <c r="O20" s="26" t="s">
        <v>11</v>
      </c>
      <c r="P20" s="9" t="s">
        <v>12</v>
      </c>
      <c r="Q20" s="9" t="s">
        <v>13</v>
      </c>
      <c r="R20" s="9">
        <v>1.3</v>
      </c>
      <c r="S20" s="26" t="s">
        <v>11</v>
      </c>
      <c r="T20" s="9" t="s">
        <v>12</v>
      </c>
      <c r="U20" s="9" t="s">
        <v>13</v>
      </c>
      <c r="V20" s="9">
        <v>1.84</v>
      </c>
      <c r="W20" s="9">
        <v>3.28</v>
      </c>
      <c r="X20" s="9">
        <v>2.6</v>
      </c>
      <c r="Y20" s="9">
        <v>2.4500000000000002</v>
      </c>
      <c r="Z20" s="9">
        <v>4.29</v>
      </c>
      <c r="AA20" s="9">
        <v>8.09</v>
      </c>
      <c r="AB20" s="9">
        <v>5.36</v>
      </c>
      <c r="AC20" s="9">
        <v>6.06</v>
      </c>
    </row>
    <row r="21" spans="1:29" ht="15.5" x14ac:dyDescent="0.35">
      <c r="A21" s="15">
        <v>62</v>
      </c>
      <c r="B21" s="15" t="s">
        <v>370</v>
      </c>
      <c r="C21" s="7">
        <v>37</v>
      </c>
      <c r="D21" s="16">
        <v>1</v>
      </c>
      <c r="E21" s="16" t="s">
        <v>367</v>
      </c>
      <c r="F21" s="15">
        <v>320</v>
      </c>
      <c r="G21" s="24" t="s">
        <v>24</v>
      </c>
      <c r="H21" s="24" t="s">
        <v>25</v>
      </c>
      <c r="I21" s="15" t="s">
        <v>13</v>
      </c>
      <c r="J21" s="15">
        <v>10.6</v>
      </c>
      <c r="K21" s="24" t="s">
        <v>24</v>
      </c>
      <c r="L21" s="24" t="s">
        <v>25</v>
      </c>
      <c r="M21" s="15" t="s">
        <v>13</v>
      </c>
      <c r="N21" s="9">
        <v>2.4</v>
      </c>
      <c r="O21" s="25" t="s">
        <v>24</v>
      </c>
      <c r="P21" s="27" t="s">
        <v>25</v>
      </c>
      <c r="Q21" s="9" t="s">
        <v>13</v>
      </c>
      <c r="R21" s="9">
        <v>1</v>
      </c>
      <c r="S21" s="25" t="s">
        <v>24</v>
      </c>
      <c r="T21" s="27" t="s">
        <v>25</v>
      </c>
      <c r="U21" s="9" t="s">
        <v>13</v>
      </c>
      <c r="V21" s="9">
        <v>2.2400000000000002</v>
      </c>
      <c r="W21" s="9">
        <v>2.58</v>
      </c>
      <c r="X21" s="9">
        <v>1.77</v>
      </c>
      <c r="Y21" s="9">
        <v>2.56</v>
      </c>
      <c r="Z21" s="9">
        <v>3.78</v>
      </c>
      <c r="AA21" s="9">
        <v>6.13</v>
      </c>
      <c r="AB21" s="9">
        <v>5.03</v>
      </c>
      <c r="AC21" s="9">
        <v>5.12</v>
      </c>
    </row>
    <row r="22" spans="1:29" ht="15.5" x14ac:dyDescent="0.35">
      <c r="A22" s="15">
        <v>63</v>
      </c>
      <c r="B22" s="15" t="s">
        <v>396</v>
      </c>
      <c r="C22" s="7">
        <v>33</v>
      </c>
      <c r="D22" s="16">
        <v>1</v>
      </c>
      <c r="E22" s="16" t="s">
        <v>367</v>
      </c>
      <c r="F22" s="15">
        <v>334</v>
      </c>
      <c r="G22" s="24" t="s">
        <v>40</v>
      </c>
      <c r="H22" s="15" t="s">
        <v>41</v>
      </c>
      <c r="I22" s="15" t="s">
        <v>13</v>
      </c>
      <c r="J22" s="15">
        <v>10.57</v>
      </c>
      <c r="K22" s="24" t="s">
        <v>40</v>
      </c>
      <c r="L22" s="15" t="s">
        <v>41</v>
      </c>
      <c r="M22" s="15" t="s">
        <v>13</v>
      </c>
      <c r="N22" s="9">
        <v>2.42</v>
      </c>
      <c r="O22" s="25" t="s">
        <v>40</v>
      </c>
      <c r="P22" s="9" t="s">
        <v>41</v>
      </c>
      <c r="Q22" s="9" t="s">
        <v>13</v>
      </c>
      <c r="R22" s="9">
        <v>0.99</v>
      </c>
      <c r="S22" s="25" t="s">
        <v>40</v>
      </c>
      <c r="T22" s="9" t="s">
        <v>41</v>
      </c>
      <c r="U22" s="9" t="s">
        <v>13</v>
      </c>
      <c r="V22" s="9">
        <v>1.06</v>
      </c>
      <c r="W22" s="9">
        <v>2.96</v>
      </c>
      <c r="X22" s="9">
        <v>1.52</v>
      </c>
      <c r="Y22" s="9">
        <v>2.0699999999999998</v>
      </c>
      <c r="Z22" s="9">
        <v>3.45</v>
      </c>
      <c r="AA22" s="9">
        <v>12.03</v>
      </c>
      <c r="AB22" s="9">
        <v>5.0999999999999996</v>
      </c>
      <c r="AC22" s="9">
        <v>4.51</v>
      </c>
    </row>
    <row r="23" spans="1:29" ht="15.5" x14ac:dyDescent="0.35">
      <c r="A23" s="15">
        <v>64</v>
      </c>
      <c r="B23" s="15" t="s">
        <v>397</v>
      </c>
      <c r="C23" s="7">
        <v>15</v>
      </c>
      <c r="D23" s="16">
        <v>1</v>
      </c>
      <c r="E23" s="16" t="s">
        <v>367</v>
      </c>
      <c r="F23" s="15">
        <v>348</v>
      </c>
      <c r="G23" s="24" t="s">
        <v>43</v>
      </c>
      <c r="H23" s="15" t="s">
        <v>44</v>
      </c>
      <c r="I23" s="15" t="s">
        <v>13</v>
      </c>
      <c r="J23" s="15">
        <v>11</v>
      </c>
      <c r="K23" s="24" t="s">
        <v>43</v>
      </c>
      <c r="L23" s="15" t="s">
        <v>44</v>
      </c>
      <c r="M23" s="15" t="s">
        <v>13</v>
      </c>
      <c r="N23" s="9">
        <v>2.2999999999999998</v>
      </c>
      <c r="O23" s="25" t="s">
        <v>43</v>
      </c>
      <c r="P23" s="9" t="s">
        <v>44</v>
      </c>
      <c r="Q23" s="9" t="s">
        <v>13</v>
      </c>
      <c r="R23" s="9">
        <v>1.03</v>
      </c>
      <c r="S23" s="25" t="s">
        <v>43</v>
      </c>
      <c r="T23" s="9" t="s">
        <v>44</v>
      </c>
      <c r="U23" s="9" t="s">
        <v>13</v>
      </c>
      <c r="V23" s="9">
        <v>1.23</v>
      </c>
      <c r="W23" s="9">
        <v>3.55</v>
      </c>
      <c r="X23" s="9">
        <v>2.11</v>
      </c>
      <c r="Y23" s="9">
        <v>2.15</v>
      </c>
      <c r="Z23" s="9">
        <v>3.45</v>
      </c>
      <c r="AA23" s="9">
        <v>8.52</v>
      </c>
      <c r="AB23" s="9">
        <v>4.82</v>
      </c>
      <c r="AC23" s="9">
        <v>4.79</v>
      </c>
    </row>
    <row r="24" spans="1:29" ht="15.5" x14ac:dyDescent="0.35">
      <c r="A24" s="15">
        <v>65</v>
      </c>
      <c r="B24" s="15" t="s">
        <v>398</v>
      </c>
      <c r="C24" s="7">
        <v>6</v>
      </c>
      <c r="D24" s="16">
        <v>0.68</v>
      </c>
      <c r="E24" s="15" t="s">
        <v>366</v>
      </c>
      <c r="F24" s="15">
        <v>183</v>
      </c>
      <c r="G24" s="15" t="s">
        <v>46</v>
      </c>
      <c r="H24" s="15" t="s">
        <v>47</v>
      </c>
      <c r="I24" s="15" t="s">
        <v>13</v>
      </c>
      <c r="J24" s="15">
        <v>5.48</v>
      </c>
      <c r="K24" s="22" t="s">
        <v>46</v>
      </c>
      <c r="L24" s="22" t="s">
        <v>47</v>
      </c>
      <c r="M24" s="15" t="s">
        <v>13</v>
      </c>
      <c r="N24" s="9">
        <v>2.2400000000000002</v>
      </c>
      <c r="O24" s="18" t="s">
        <v>46</v>
      </c>
      <c r="P24" s="18" t="s">
        <v>47</v>
      </c>
      <c r="Q24" s="9" t="s">
        <v>13</v>
      </c>
      <c r="R24" s="9">
        <v>0.62</v>
      </c>
      <c r="S24" s="18" t="s">
        <v>46</v>
      </c>
      <c r="T24" s="18" t="s">
        <v>47</v>
      </c>
      <c r="U24" s="9" t="s">
        <v>13</v>
      </c>
      <c r="V24" s="9">
        <v>1.36</v>
      </c>
      <c r="W24" s="9">
        <v>3.03</v>
      </c>
      <c r="X24" s="9">
        <v>1.84</v>
      </c>
      <c r="Y24" s="9">
        <f>AVERAGE(2.7,2.15,2.16)</f>
        <v>2.3366666666666664</v>
      </c>
      <c r="Z24" s="9">
        <f>AVERAGE(3.67,3.55,3.45)</f>
        <v>3.5566666666666666</v>
      </c>
      <c r="AA24" s="9">
        <f>AVERAGE(12.24, 10.09,10.61)</f>
        <v>10.979999999999999</v>
      </c>
      <c r="AB24" s="9">
        <f>AVERAGE(5.14,3.95,3.05)</f>
        <v>4.0466666666666669</v>
      </c>
      <c r="AC24" s="9">
        <f>AVERAGE(5.41,3.54,3.88)</f>
        <v>4.2766666666666664</v>
      </c>
    </row>
    <row r="25" spans="1:29" ht="15.5" x14ac:dyDescent="0.35">
      <c r="A25" s="15">
        <v>66</v>
      </c>
      <c r="B25" s="15" t="s">
        <v>399</v>
      </c>
      <c r="C25" s="7">
        <v>2</v>
      </c>
      <c r="D25" s="16">
        <v>1</v>
      </c>
      <c r="E25" s="16" t="s">
        <v>367</v>
      </c>
      <c r="F25" s="15">
        <v>316</v>
      </c>
      <c r="G25" s="24" t="s">
        <v>49</v>
      </c>
      <c r="H25" s="24" t="s">
        <v>50</v>
      </c>
      <c r="I25" s="15" t="s">
        <v>13</v>
      </c>
      <c r="J25" s="15">
        <v>10.9</v>
      </c>
      <c r="K25" s="24" t="s">
        <v>49</v>
      </c>
      <c r="L25" s="24" t="s">
        <v>50</v>
      </c>
      <c r="M25" s="15" t="s">
        <v>13</v>
      </c>
      <c r="N25" s="9">
        <v>3.41</v>
      </c>
      <c r="O25" s="25" t="s">
        <v>49</v>
      </c>
      <c r="P25" s="25" t="s">
        <v>50</v>
      </c>
      <c r="Q25" s="9" t="s">
        <v>13</v>
      </c>
      <c r="R25" s="9">
        <v>1.28</v>
      </c>
      <c r="S25" s="25" t="s">
        <v>49</v>
      </c>
      <c r="T25" s="25" t="s">
        <v>50</v>
      </c>
      <c r="U25" s="9" t="s">
        <v>13</v>
      </c>
      <c r="V25" s="9">
        <v>2.2000000000000002</v>
      </c>
      <c r="W25" s="9">
        <v>3.3</v>
      </c>
      <c r="X25" s="9">
        <v>1.86</v>
      </c>
      <c r="Y25" s="9">
        <v>2.13</v>
      </c>
      <c r="Z25" s="9">
        <v>3.63</v>
      </c>
      <c r="AA25" s="9">
        <v>6.49</v>
      </c>
      <c r="AB25" s="9">
        <v>4.88</v>
      </c>
      <c r="AC25" s="9">
        <v>4.78</v>
      </c>
    </row>
    <row r="26" spans="1:29" ht="15.5" x14ac:dyDescent="0.35">
      <c r="A26" s="15">
        <v>67</v>
      </c>
      <c r="B26" s="15" t="s">
        <v>400</v>
      </c>
      <c r="C26" s="7">
        <v>16</v>
      </c>
      <c r="D26" s="16">
        <v>1</v>
      </c>
      <c r="E26" s="16" t="s">
        <v>367</v>
      </c>
      <c r="F26" s="15">
        <v>346</v>
      </c>
      <c r="G26" s="24" t="s">
        <v>52</v>
      </c>
      <c r="H26" s="24" t="s">
        <v>53</v>
      </c>
      <c r="I26" s="15" t="s">
        <v>13</v>
      </c>
      <c r="J26" s="15">
        <v>10.1</v>
      </c>
      <c r="K26" s="24" t="s">
        <v>52</v>
      </c>
      <c r="L26" s="24" t="s">
        <v>53</v>
      </c>
      <c r="M26" s="22" t="s">
        <v>13</v>
      </c>
      <c r="N26" s="9">
        <v>2.42</v>
      </c>
      <c r="O26" s="25" t="s">
        <v>52</v>
      </c>
      <c r="P26" s="25" t="s">
        <v>53</v>
      </c>
      <c r="Q26" s="18" t="s">
        <v>13</v>
      </c>
      <c r="R26" s="9">
        <v>1.35</v>
      </c>
      <c r="S26" s="25" t="s">
        <v>52</v>
      </c>
      <c r="T26" s="25" t="s">
        <v>53</v>
      </c>
      <c r="U26" s="18" t="s">
        <v>13</v>
      </c>
      <c r="V26" s="9">
        <v>1.85</v>
      </c>
      <c r="W26" s="9">
        <v>4.24</v>
      </c>
      <c r="X26" s="9">
        <v>2.21</v>
      </c>
      <c r="Y26" s="9">
        <v>2.35</v>
      </c>
      <c r="Z26" s="9">
        <v>4.1399999999999997</v>
      </c>
      <c r="AA26" s="9">
        <v>8.08</v>
      </c>
      <c r="AB26" s="9">
        <v>6.14</v>
      </c>
      <c r="AC26" s="9">
        <v>5.31</v>
      </c>
    </row>
    <row r="27" spans="1:29" ht="15.5" x14ac:dyDescent="0.35">
      <c r="A27" s="15">
        <v>68</v>
      </c>
      <c r="B27" s="15" t="s">
        <v>401</v>
      </c>
      <c r="C27" s="7">
        <v>15</v>
      </c>
      <c r="D27" s="16">
        <v>1</v>
      </c>
      <c r="E27" s="16" t="s">
        <v>367</v>
      </c>
      <c r="F27" s="15">
        <v>321</v>
      </c>
      <c r="G27" s="24" t="s">
        <v>55</v>
      </c>
      <c r="H27" s="15" t="s">
        <v>56</v>
      </c>
      <c r="I27" s="15" t="s">
        <v>13</v>
      </c>
      <c r="J27" s="15">
        <v>7.16</v>
      </c>
      <c r="K27" s="24" t="s">
        <v>55</v>
      </c>
      <c r="L27" s="15" t="s">
        <v>56</v>
      </c>
      <c r="M27" s="15" t="s">
        <v>13</v>
      </c>
      <c r="N27" s="9">
        <v>2.83</v>
      </c>
      <c r="O27" s="25" t="s">
        <v>55</v>
      </c>
      <c r="P27" s="9" t="s">
        <v>56</v>
      </c>
      <c r="Q27" s="9" t="s">
        <v>13</v>
      </c>
      <c r="R27" s="9">
        <v>0.91</v>
      </c>
      <c r="S27" s="25" t="s">
        <v>55</v>
      </c>
      <c r="T27" s="9" t="s">
        <v>56</v>
      </c>
      <c r="U27" s="9" t="s">
        <v>13</v>
      </c>
      <c r="V27" s="9">
        <v>1.48</v>
      </c>
      <c r="W27" s="9">
        <v>3.84</v>
      </c>
      <c r="X27" s="9">
        <v>2.74</v>
      </c>
      <c r="Y27" s="9">
        <v>2.37</v>
      </c>
      <c r="Z27" s="9">
        <v>3.7</v>
      </c>
      <c r="AA27" s="9">
        <v>8.86</v>
      </c>
      <c r="AB27" s="9">
        <v>5.7</v>
      </c>
      <c r="AC27" s="9">
        <v>5.65</v>
      </c>
    </row>
    <row r="28" spans="1:29" ht="31" x14ac:dyDescent="0.35">
      <c r="A28" s="28">
        <v>70</v>
      </c>
      <c r="B28" s="16" t="s">
        <v>413</v>
      </c>
      <c r="C28" s="7"/>
      <c r="D28" s="16">
        <f>AVERAGE(D14:D19)</f>
        <v>0.94666666666666666</v>
      </c>
      <c r="E28" s="16" t="s">
        <v>366</v>
      </c>
      <c r="F28" s="16">
        <f>AVERAGE(F14:F19)</f>
        <v>308</v>
      </c>
      <c r="G28" s="17" t="s">
        <v>58</v>
      </c>
      <c r="H28" s="18" t="s">
        <v>59</v>
      </c>
      <c r="I28" s="18" t="s">
        <v>13</v>
      </c>
      <c r="J28" s="16">
        <f>AVERAGE(J14:J19)</f>
        <v>9.201666666666668</v>
      </c>
      <c r="K28" s="17" t="s">
        <v>58</v>
      </c>
      <c r="L28" s="18" t="s">
        <v>59</v>
      </c>
      <c r="M28" s="18" t="s">
        <v>13</v>
      </c>
      <c r="N28" s="9">
        <v>2.63</v>
      </c>
      <c r="O28" s="17" t="s">
        <v>58</v>
      </c>
      <c r="P28" s="18" t="s">
        <v>59</v>
      </c>
      <c r="Q28" s="18" t="s">
        <v>13</v>
      </c>
      <c r="R28" s="9">
        <v>1</v>
      </c>
      <c r="S28" s="17" t="s">
        <v>58</v>
      </c>
      <c r="T28" s="18" t="s">
        <v>59</v>
      </c>
      <c r="U28" s="18" t="s">
        <v>13</v>
      </c>
      <c r="V28" s="9">
        <v>1.94</v>
      </c>
      <c r="W28" s="9">
        <v>2.6</v>
      </c>
      <c r="X28" s="9">
        <v>1.83</v>
      </c>
      <c r="Y28" s="9">
        <f xml:space="preserve"> AVERAGE(2.98, 1.95, 2.23)</f>
        <v>2.3866666666666667</v>
      </c>
      <c r="Z28" s="9">
        <f>AVERAGE(3.75,3.19, 3.48)</f>
        <v>3.4733333333333332</v>
      </c>
      <c r="AA28" s="9">
        <f>AVERAGE(6.08,6.13,6.61)</f>
        <v>6.2733333333333334</v>
      </c>
      <c r="AB28" s="9">
        <f>AVERAGE(4.35,4.29, 4.46)</f>
        <v>4.3666666666666671</v>
      </c>
      <c r="AC28" s="9">
        <f>AVERAGE(4.55, 4.01, 4.28)</f>
        <v>4.28</v>
      </c>
    </row>
    <row r="29" spans="1:29" ht="31" x14ac:dyDescent="0.35">
      <c r="A29" s="15">
        <v>71</v>
      </c>
      <c r="B29" s="15" t="s">
        <v>373</v>
      </c>
      <c r="C29" s="7">
        <v>82</v>
      </c>
      <c r="D29" s="16">
        <v>1</v>
      </c>
      <c r="E29" s="16" t="s">
        <v>367</v>
      </c>
      <c r="F29" s="15">
        <v>320.8</v>
      </c>
      <c r="G29" s="15" t="s">
        <v>89</v>
      </c>
      <c r="H29" s="15" t="s">
        <v>90</v>
      </c>
      <c r="I29" s="15" t="s">
        <v>13</v>
      </c>
      <c r="J29" s="15">
        <v>19.75</v>
      </c>
      <c r="K29" s="22" t="s">
        <v>89</v>
      </c>
      <c r="L29" s="22" t="s">
        <v>90</v>
      </c>
      <c r="M29" s="15" t="s">
        <v>13</v>
      </c>
      <c r="N29" s="9">
        <v>6.63</v>
      </c>
      <c r="O29" s="17" t="s">
        <v>89</v>
      </c>
      <c r="P29" s="18" t="s">
        <v>90</v>
      </c>
      <c r="Q29" s="9" t="s">
        <v>13</v>
      </c>
      <c r="R29" s="9">
        <v>1.0900000000000001</v>
      </c>
      <c r="S29" s="17" t="s">
        <v>89</v>
      </c>
      <c r="T29" s="18" t="s">
        <v>90</v>
      </c>
      <c r="U29" s="9" t="s">
        <v>13</v>
      </c>
      <c r="V29" s="9">
        <v>0.8</v>
      </c>
      <c r="W29" s="9">
        <v>4.01</v>
      </c>
      <c r="X29" s="9">
        <v>1.0900000000000001</v>
      </c>
      <c r="Y29" s="9">
        <f>AVERAGE(2.8,2.71,2.7,2.55)</f>
        <v>2.6900000000000004</v>
      </c>
      <c r="Z29" s="9">
        <f xml:space="preserve"> AVERAGE(4.17,4.27,4.23,4.59)</f>
        <v>4.3149999999999995</v>
      </c>
      <c r="AA29" s="9">
        <f>AVERAGE(7.85,7.93,7.78,8.14)</f>
        <v>7.9249999999999998</v>
      </c>
      <c r="AB29" s="9">
        <f>AVERAGE(5.85,5.91,5.9,5.01)</f>
        <v>5.6675000000000004</v>
      </c>
      <c r="AC29" s="9">
        <f>AVERAGE(4.9,5.21,5.07,5.53)</f>
        <v>5.1775000000000002</v>
      </c>
    </row>
    <row r="30" spans="1:29" ht="46.5" x14ac:dyDescent="0.35">
      <c r="A30" s="15">
        <v>72</v>
      </c>
      <c r="B30" s="15" t="s">
        <v>374</v>
      </c>
      <c r="C30" s="7">
        <v>82</v>
      </c>
      <c r="D30" s="16">
        <f>AVERAGE(D18:D20)</f>
        <v>1</v>
      </c>
      <c r="E30" s="16" t="s">
        <v>367</v>
      </c>
      <c r="F30" s="16">
        <f>AVERAGE(F18:F20)</f>
        <v>341</v>
      </c>
      <c r="G30" s="17" t="s">
        <v>89</v>
      </c>
      <c r="H30" s="18" t="s">
        <v>90</v>
      </c>
      <c r="I30" s="9" t="s">
        <v>13</v>
      </c>
      <c r="J30" s="16">
        <f>AVERAGE(J18:J20)</f>
        <v>8.3866666666666649</v>
      </c>
      <c r="K30" s="17" t="s">
        <v>89</v>
      </c>
      <c r="L30" s="18" t="s">
        <v>90</v>
      </c>
      <c r="M30" s="9" t="s">
        <v>13</v>
      </c>
      <c r="N30" s="9">
        <v>6.63</v>
      </c>
      <c r="O30" s="17" t="s">
        <v>89</v>
      </c>
      <c r="P30" s="18" t="s">
        <v>90</v>
      </c>
      <c r="Q30" s="9" t="s">
        <v>13</v>
      </c>
      <c r="R30" s="9">
        <v>1.0900000000000001</v>
      </c>
      <c r="S30" s="17" t="s">
        <v>89</v>
      </c>
      <c r="T30" s="18" t="s">
        <v>90</v>
      </c>
      <c r="U30" s="9" t="s">
        <v>13</v>
      </c>
      <c r="V30" s="9">
        <v>0.8</v>
      </c>
      <c r="W30" s="9">
        <v>4.01</v>
      </c>
      <c r="X30" s="9">
        <v>1.0900000000000001</v>
      </c>
      <c r="Y30" s="9">
        <f>AVERAGE(2.8,2.71,2.7,2.55)</f>
        <v>2.6900000000000004</v>
      </c>
      <c r="Z30" s="9">
        <f xml:space="preserve"> AVERAGE(4.17,4.27,4.23,4.59)</f>
        <v>4.3149999999999995</v>
      </c>
      <c r="AA30" s="9">
        <f>AVERAGE(7.85,7.93,7.78,8.14)</f>
        <v>7.9249999999999998</v>
      </c>
      <c r="AB30" s="9">
        <f>AVERAGE(5.85,5.91,5.9,5.01)</f>
        <v>5.6675000000000004</v>
      </c>
      <c r="AC30" s="9">
        <f>AVERAGE(4.9,5.21,5.07,5.53)</f>
        <v>5.1775000000000002</v>
      </c>
    </row>
    <row r="31" spans="1:29" ht="15.5" x14ac:dyDescent="0.35">
      <c r="A31" s="15">
        <v>73</v>
      </c>
      <c r="B31" s="15" t="s">
        <v>375</v>
      </c>
      <c r="C31" s="7"/>
      <c r="D31" s="16">
        <v>1</v>
      </c>
      <c r="E31" s="16" t="s">
        <v>367</v>
      </c>
      <c r="F31" s="15">
        <v>0</v>
      </c>
      <c r="G31" s="15">
        <v>2047</v>
      </c>
      <c r="H31" s="15" t="s">
        <v>114</v>
      </c>
      <c r="I31" s="15" t="s">
        <v>115</v>
      </c>
      <c r="J31" s="15">
        <v>0</v>
      </c>
      <c r="K31" s="22">
        <v>2047</v>
      </c>
      <c r="L31" s="22" t="s">
        <v>114</v>
      </c>
      <c r="M31" s="22" t="s">
        <v>115</v>
      </c>
      <c r="N31" s="9">
        <v>0</v>
      </c>
      <c r="O31" s="15">
        <v>2047</v>
      </c>
      <c r="P31" s="15" t="s">
        <v>114</v>
      </c>
      <c r="Q31" s="15" t="s">
        <v>115</v>
      </c>
      <c r="R31" s="9">
        <v>0</v>
      </c>
      <c r="S31" s="15">
        <v>2047</v>
      </c>
      <c r="T31" s="15" t="s">
        <v>114</v>
      </c>
      <c r="U31" s="15" t="s">
        <v>115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</row>
    <row r="32" spans="1:29" ht="15.5" x14ac:dyDescent="0.35">
      <c r="A32" s="15">
        <v>74</v>
      </c>
      <c r="B32" s="15" t="s">
        <v>376</v>
      </c>
      <c r="C32" s="7">
        <v>42</v>
      </c>
      <c r="D32" s="16">
        <v>1</v>
      </c>
      <c r="E32" s="16" t="s">
        <v>367</v>
      </c>
      <c r="F32" s="15">
        <v>398</v>
      </c>
      <c r="G32" s="15" t="s">
        <v>117</v>
      </c>
      <c r="H32" s="15" t="s">
        <v>118</v>
      </c>
      <c r="I32" s="15" t="s">
        <v>13</v>
      </c>
      <c r="J32" s="15">
        <v>0.1</v>
      </c>
      <c r="K32" s="15" t="s">
        <v>117</v>
      </c>
      <c r="L32" s="15" t="s">
        <v>118</v>
      </c>
      <c r="M32" s="15" t="s">
        <v>13</v>
      </c>
      <c r="N32" s="9">
        <v>0</v>
      </c>
      <c r="O32" s="15" t="s">
        <v>117</v>
      </c>
      <c r="P32" s="15" t="s">
        <v>118</v>
      </c>
      <c r="Q32" s="15" t="s">
        <v>13</v>
      </c>
      <c r="R32" s="9">
        <v>0</v>
      </c>
      <c r="S32" s="15" t="s">
        <v>117</v>
      </c>
      <c r="T32" s="15" t="s">
        <v>118</v>
      </c>
      <c r="U32" s="15" t="s">
        <v>13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</row>
    <row r="33" spans="1:29" ht="15.5" x14ac:dyDescent="0.35">
      <c r="A33" s="15">
        <v>75</v>
      </c>
      <c r="B33" s="15" t="s">
        <v>386</v>
      </c>
      <c r="C33" s="7">
        <v>149</v>
      </c>
      <c r="D33" s="16">
        <v>1</v>
      </c>
      <c r="E33" s="16" t="s">
        <v>367</v>
      </c>
      <c r="F33" s="15">
        <v>900</v>
      </c>
      <c r="G33" s="15" t="s">
        <v>141</v>
      </c>
      <c r="H33" s="15" t="s">
        <v>142</v>
      </c>
      <c r="I33" s="15" t="s">
        <v>13</v>
      </c>
      <c r="J33" s="15">
        <v>0</v>
      </c>
      <c r="K33" s="15" t="s">
        <v>141</v>
      </c>
      <c r="L33" s="15" t="s">
        <v>142</v>
      </c>
      <c r="M33" s="15" t="s">
        <v>13</v>
      </c>
      <c r="N33" s="9">
        <v>0</v>
      </c>
      <c r="O33" s="15" t="s">
        <v>141</v>
      </c>
      <c r="P33" s="15" t="s">
        <v>142</v>
      </c>
      <c r="Q33" s="15" t="s">
        <v>13</v>
      </c>
      <c r="R33" s="9">
        <v>0</v>
      </c>
      <c r="S33" s="15" t="s">
        <v>141</v>
      </c>
      <c r="T33" s="15" t="s">
        <v>142</v>
      </c>
      <c r="U33" s="15" t="s">
        <v>13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</row>
    <row r="34" spans="1:29" ht="15.5" x14ac:dyDescent="0.35">
      <c r="A34" s="15">
        <v>92</v>
      </c>
      <c r="B34" s="15" t="s">
        <v>112</v>
      </c>
      <c r="C34" s="7">
        <v>195</v>
      </c>
      <c r="D34" s="16">
        <v>1</v>
      </c>
      <c r="E34" s="16" t="s">
        <v>367</v>
      </c>
      <c r="F34" s="15">
        <v>59</v>
      </c>
      <c r="G34" s="42">
        <v>1256</v>
      </c>
      <c r="H34" s="15" t="s">
        <v>454</v>
      </c>
      <c r="I34" s="15" t="s">
        <v>115</v>
      </c>
      <c r="J34" s="15">
        <v>10.3</v>
      </c>
      <c r="K34" s="42">
        <v>1256</v>
      </c>
      <c r="L34" s="15" t="s">
        <v>454</v>
      </c>
      <c r="M34" s="15" t="s">
        <v>115</v>
      </c>
      <c r="N34" s="9">
        <v>8.08</v>
      </c>
      <c r="O34" s="42">
        <v>1256</v>
      </c>
      <c r="P34" s="15" t="s">
        <v>454</v>
      </c>
      <c r="Q34" s="15" t="s">
        <v>115</v>
      </c>
      <c r="R34" s="9">
        <v>1.29</v>
      </c>
      <c r="S34" s="42">
        <v>1256</v>
      </c>
      <c r="T34" s="15" t="s">
        <v>454</v>
      </c>
      <c r="U34" s="15" t="s">
        <v>115</v>
      </c>
      <c r="V34" s="9">
        <v>0.81</v>
      </c>
      <c r="W34" s="9">
        <v>3.98</v>
      </c>
      <c r="X34" s="9">
        <v>2.84</v>
      </c>
      <c r="Y34" s="9">
        <v>2.84</v>
      </c>
      <c r="Z34" s="9">
        <v>5.1100000000000003</v>
      </c>
      <c r="AA34" s="9">
        <v>10</v>
      </c>
      <c r="AB34" s="9">
        <v>4.9800000000000004</v>
      </c>
      <c r="AC34" s="9">
        <v>6.48</v>
      </c>
    </row>
    <row r="35" spans="1:29" ht="15.5" x14ac:dyDescent="0.35">
      <c r="A35" s="15">
        <v>93</v>
      </c>
      <c r="B35" s="15" t="s">
        <v>266</v>
      </c>
      <c r="C35" s="8">
        <v>203</v>
      </c>
      <c r="D35" s="16">
        <v>0.65</v>
      </c>
      <c r="E35" s="15" t="s">
        <v>367</v>
      </c>
      <c r="F35" s="15">
        <v>43.94</v>
      </c>
      <c r="G35" s="15" t="s">
        <v>267</v>
      </c>
      <c r="H35" s="15" t="s">
        <v>268</v>
      </c>
      <c r="I35" s="15" t="s">
        <v>13</v>
      </c>
      <c r="J35" s="15">
        <v>1.05</v>
      </c>
      <c r="K35" s="22" t="s">
        <v>267</v>
      </c>
      <c r="L35" s="22" t="s">
        <v>268</v>
      </c>
      <c r="M35" s="15" t="s">
        <v>13</v>
      </c>
      <c r="N35" s="9">
        <v>2.73</v>
      </c>
      <c r="O35" s="18" t="s">
        <v>267</v>
      </c>
      <c r="P35" s="18" t="s">
        <v>268</v>
      </c>
      <c r="Q35" s="9" t="s">
        <v>13</v>
      </c>
      <c r="R35" s="9">
        <v>0.71</v>
      </c>
      <c r="S35" s="18" t="s">
        <v>267</v>
      </c>
      <c r="T35" s="18" t="s">
        <v>268</v>
      </c>
      <c r="U35" s="9" t="s">
        <v>13</v>
      </c>
      <c r="V35" s="9">
        <v>1.1499999999999999</v>
      </c>
      <c r="W35" s="9">
        <v>3.3</v>
      </c>
      <c r="X35" s="9">
        <v>0.85</v>
      </c>
      <c r="Y35" s="9">
        <f>AVERAGE(2.4,1.53,1.33,1.94)</f>
        <v>1.7999999999999998</v>
      </c>
      <c r="Z35" s="9">
        <f>AVERAGE(1.67,2.2,2.54,4.25)</f>
        <v>2.665</v>
      </c>
      <c r="AA35" s="9">
        <f>AVERAGE(4.25,5.49,3.82,4.87)</f>
        <v>4.6074999999999999</v>
      </c>
      <c r="AB35" s="9">
        <f>AVERAGE(3.18,2.75,2.95,4.85)</f>
        <v>3.4324999999999997</v>
      </c>
      <c r="AC35" s="9">
        <f>AVERAGE(2.99,5.42,3.63,2.4)</f>
        <v>3.61</v>
      </c>
    </row>
    <row r="36" spans="1:29" ht="15.5" x14ac:dyDescent="0.35">
      <c r="A36" s="15">
        <v>94</v>
      </c>
      <c r="B36" s="15" t="s">
        <v>288</v>
      </c>
      <c r="C36" s="7">
        <v>100</v>
      </c>
      <c r="D36" s="16">
        <v>1</v>
      </c>
      <c r="E36" s="15" t="s">
        <v>368</v>
      </c>
      <c r="F36" s="15">
        <v>199</v>
      </c>
      <c r="G36" s="15" t="s">
        <v>289</v>
      </c>
      <c r="H36" s="15" t="s">
        <v>290</v>
      </c>
      <c r="I36" s="15" t="s">
        <v>13</v>
      </c>
      <c r="J36" s="15">
        <v>2.6</v>
      </c>
      <c r="K36" s="22" t="s">
        <v>289</v>
      </c>
      <c r="L36" s="22" t="s">
        <v>290</v>
      </c>
      <c r="M36" s="22" t="s">
        <v>13</v>
      </c>
      <c r="N36" s="9">
        <v>2.3199999999999998</v>
      </c>
      <c r="O36" s="18" t="s">
        <v>289</v>
      </c>
      <c r="P36" s="18" t="s">
        <v>290</v>
      </c>
      <c r="Q36" s="18" t="s">
        <v>13</v>
      </c>
      <c r="R36" s="9">
        <v>1.365</v>
      </c>
      <c r="S36" s="18" t="s">
        <v>289</v>
      </c>
      <c r="T36" s="18" t="s">
        <v>290</v>
      </c>
      <c r="U36" s="18" t="s">
        <v>13</v>
      </c>
      <c r="V36" s="9">
        <v>1.27</v>
      </c>
      <c r="W36" s="9">
        <v>3.36</v>
      </c>
      <c r="X36" s="9">
        <v>1.05</v>
      </c>
      <c r="Y36" s="9">
        <f>AVERAGE(1.21,1.16)</f>
        <v>1.1850000000000001</v>
      </c>
      <c r="Z36" s="9">
        <f>AVERAGE(2.25,4.84)</f>
        <v>3.5449999999999999</v>
      </c>
      <c r="AA36" s="9">
        <f>AVERAGE(5.8,4.22)</f>
        <v>5.01</v>
      </c>
      <c r="AB36" s="9">
        <f>AVERAGE(3.36,2.73)</f>
        <v>3.0449999999999999</v>
      </c>
      <c r="AC36" s="9">
        <f>AVERAGE(2.31,5.34)</f>
        <v>3.8250000000000002</v>
      </c>
    </row>
    <row r="37" spans="1:29" ht="18" x14ac:dyDescent="0.5">
      <c r="A37" s="15">
        <v>101</v>
      </c>
      <c r="B37" s="15" t="s">
        <v>10</v>
      </c>
      <c r="C37" s="7">
        <v>26</v>
      </c>
      <c r="D37" s="16">
        <v>1</v>
      </c>
      <c r="E37" s="16" t="s">
        <v>367</v>
      </c>
      <c r="F37" s="15">
        <v>356</v>
      </c>
      <c r="G37" s="24" t="s">
        <v>11</v>
      </c>
      <c r="H37" s="15" t="s">
        <v>12</v>
      </c>
      <c r="I37" s="15" t="s">
        <v>13</v>
      </c>
      <c r="J37" s="15">
        <v>7.9</v>
      </c>
      <c r="K37" s="24" t="s">
        <v>11</v>
      </c>
      <c r="L37" s="15" t="s">
        <v>12</v>
      </c>
      <c r="M37" s="15" t="s">
        <v>13</v>
      </c>
      <c r="N37" s="9">
        <v>3.7</v>
      </c>
      <c r="O37" s="26" t="s">
        <v>11</v>
      </c>
      <c r="P37" s="9" t="s">
        <v>12</v>
      </c>
      <c r="Q37" s="9" t="s">
        <v>13</v>
      </c>
      <c r="R37" s="9">
        <v>1.3</v>
      </c>
      <c r="S37" s="26" t="s">
        <v>11</v>
      </c>
      <c r="T37" s="9" t="s">
        <v>12</v>
      </c>
      <c r="U37" s="9" t="s">
        <v>13</v>
      </c>
      <c r="V37" s="9">
        <v>1.84</v>
      </c>
      <c r="W37" s="9">
        <v>3.28</v>
      </c>
      <c r="X37" s="9">
        <v>2.6</v>
      </c>
      <c r="Y37" s="9">
        <v>2.4500000000000002</v>
      </c>
      <c r="Z37" s="9">
        <v>4.29</v>
      </c>
      <c r="AA37" s="9">
        <v>8.09</v>
      </c>
      <c r="AB37" s="9">
        <v>5.36</v>
      </c>
      <c r="AC37" s="9">
        <v>6.06</v>
      </c>
    </row>
    <row r="38" spans="1:29" ht="18" x14ac:dyDescent="0.5">
      <c r="A38" s="15">
        <v>102</v>
      </c>
      <c r="B38" s="15" t="s">
        <v>14</v>
      </c>
      <c r="C38" s="7">
        <v>26</v>
      </c>
      <c r="D38" s="16">
        <v>1</v>
      </c>
      <c r="E38" s="16" t="s">
        <v>367</v>
      </c>
      <c r="F38" s="15">
        <v>356</v>
      </c>
      <c r="G38" s="24" t="s">
        <v>11</v>
      </c>
      <c r="H38" s="15" t="s">
        <v>12</v>
      </c>
      <c r="I38" s="15" t="s">
        <v>13</v>
      </c>
      <c r="J38" s="15">
        <v>7.9</v>
      </c>
      <c r="K38" s="24" t="s">
        <v>11</v>
      </c>
      <c r="L38" s="15" t="s">
        <v>12</v>
      </c>
      <c r="M38" s="15" t="s">
        <v>13</v>
      </c>
      <c r="N38" s="9">
        <v>3.7</v>
      </c>
      <c r="O38" s="26" t="s">
        <v>11</v>
      </c>
      <c r="P38" s="9" t="s">
        <v>12</v>
      </c>
      <c r="Q38" s="9" t="s">
        <v>13</v>
      </c>
      <c r="R38" s="9">
        <v>1.3</v>
      </c>
      <c r="S38" s="26" t="s">
        <v>11</v>
      </c>
      <c r="T38" s="9" t="s">
        <v>12</v>
      </c>
      <c r="U38" s="9" t="s">
        <v>13</v>
      </c>
      <c r="V38" s="9">
        <v>1.84</v>
      </c>
      <c r="W38" s="9">
        <v>3.28</v>
      </c>
      <c r="X38" s="9">
        <v>2.6</v>
      </c>
      <c r="Y38" s="9">
        <v>2.4500000000000002</v>
      </c>
      <c r="Z38" s="9">
        <v>4.29</v>
      </c>
      <c r="AA38" s="9">
        <v>8.09</v>
      </c>
      <c r="AB38" s="9">
        <v>5.36</v>
      </c>
      <c r="AC38" s="9">
        <v>6.06</v>
      </c>
    </row>
    <row r="39" spans="1:29" ht="18" x14ac:dyDescent="0.5">
      <c r="A39" s="15">
        <v>103</v>
      </c>
      <c r="B39" s="15" t="s">
        <v>15</v>
      </c>
      <c r="C39" s="7">
        <v>22</v>
      </c>
      <c r="D39" s="16">
        <v>1</v>
      </c>
      <c r="E39" s="16" t="s">
        <v>367</v>
      </c>
      <c r="F39" s="15">
        <v>354</v>
      </c>
      <c r="G39" s="24" t="s">
        <v>16</v>
      </c>
      <c r="H39" s="15" t="s">
        <v>17</v>
      </c>
      <c r="I39" s="15" t="s">
        <v>13</v>
      </c>
      <c r="J39" s="15">
        <v>7.4</v>
      </c>
      <c r="K39" s="24" t="s">
        <v>16</v>
      </c>
      <c r="L39" s="15" t="s">
        <v>17</v>
      </c>
      <c r="M39" s="15" t="s">
        <v>13</v>
      </c>
      <c r="N39" s="9">
        <v>3.6</v>
      </c>
      <c r="O39" s="29" t="s">
        <v>16</v>
      </c>
      <c r="P39" s="9" t="s">
        <v>17</v>
      </c>
      <c r="Q39" s="9" t="s">
        <v>13</v>
      </c>
      <c r="R39" s="9">
        <v>1.1000000000000001</v>
      </c>
      <c r="S39" s="29" t="s">
        <v>16</v>
      </c>
      <c r="T39" s="9" t="s">
        <v>17</v>
      </c>
      <c r="U39" s="9" t="s">
        <v>13</v>
      </c>
      <c r="V39" s="9">
        <v>1.65</v>
      </c>
      <c r="W39" s="9">
        <v>3.17</v>
      </c>
      <c r="X39" s="9">
        <v>2.11</v>
      </c>
      <c r="Y39" s="9">
        <v>2.2799999999999998</v>
      </c>
      <c r="Z39" s="9">
        <v>3.62</v>
      </c>
      <c r="AA39" s="9">
        <v>8.0500000000000007</v>
      </c>
      <c r="AB39" s="9">
        <v>5.22</v>
      </c>
      <c r="AC39" s="9">
        <v>5.4</v>
      </c>
    </row>
    <row r="40" spans="1:29" ht="18" x14ac:dyDescent="0.5">
      <c r="A40" s="15">
        <v>104</v>
      </c>
      <c r="B40" s="15" t="s">
        <v>18</v>
      </c>
      <c r="C40" s="7">
        <v>22</v>
      </c>
      <c r="D40" s="16">
        <v>1</v>
      </c>
      <c r="E40" s="16" t="s">
        <v>367</v>
      </c>
      <c r="F40" s="15">
        <v>362</v>
      </c>
      <c r="G40" s="24" t="s">
        <v>19</v>
      </c>
      <c r="H40" s="15" t="s">
        <v>20</v>
      </c>
      <c r="I40" s="15" t="s">
        <v>13</v>
      </c>
      <c r="J40" s="15">
        <v>7.5</v>
      </c>
      <c r="K40" s="24" t="s">
        <v>19</v>
      </c>
      <c r="L40" s="15" t="s">
        <v>20</v>
      </c>
      <c r="M40" s="15" t="s">
        <v>13</v>
      </c>
      <c r="N40" s="9">
        <v>3.14</v>
      </c>
      <c r="O40" s="26" t="s">
        <v>19</v>
      </c>
      <c r="P40" s="9" t="s">
        <v>20</v>
      </c>
      <c r="Q40" s="9" t="s">
        <v>13</v>
      </c>
      <c r="R40" s="9">
        <v>1.1000000000000001</v>
      </c>
      <c r="S40" s="26" t="s">
        <v>19</v>
      </c>
      <c r="T40" s="9" t="s">
        <v>20</v>
      </c>
      <c r="U40" s="9" t="s">
        <v>13</v>
      </c>
      <c r="V40" s="9">
        <v>1.34</v>
      </c>
      <c r="W40" s="9">
        <v>3.03</v>
      </c>
      <c r="X40" s="9">
        <v>2</v>
      </c>
      <c r="Y40" s="9">
        <v>2.11</v>
      </c>
      <c r="Z40" s="9">
        <v>3.68</v>
      </c>
      <c r="AA40" s="9">
        <v>7.75</v>
      </c>
      <c r="AB40" s="9">
        <v>5.33</v>
      </c>
      <c r="AC40" s="9">
        <v>5.37</v>
      </c>
    </row>
    <row r="41" spans="1:29" ht="15.5" x14ac:dyDescent="0.35">
      <c r="A41" s="15">
        <v>105</v>
      </c>
      <c r="B41" s="15" t="s">
        <v>21</v>
      </c>
      <c r="C41" s="7">
        <v>22</v>
      </c>
      <c r="D41" s="16">
        <v>1</v>
      </c>
      <c r="E41" s="16" t="s">
        <v>367</v>
      </c>
      <c r="F41" s="15">
        <v>362</v>
      </c>
      <c r="G41" s="24" t="s">
        <v>19</v>
      </c>
      <c r="H41" s="15" t="s">
        <v>20</v>
      </c>
      <c r="I41" s="15" t="s">
        <v>13</v>
      </c>
      <c r="J41" s="15">
        <v>7.5</v>
      </c>
      <c r="K41" s="24" t="s">
        <v>19</v>
      </c>
      <c r="L41" s="15" t="s">
        <v>20</v>
      </c>
      <c r="M41" s="15" t="s">
        <v>13</v>
      </c>
      <c r="N41" s="9">
        <v>3.14</v>
      </c>
      <c r="O41" s="30" t="s">
        <v>19</v>
      </c>
      <c r="P41" s="9" t="s">
        <v>20</v>
      </c>
      <c r="Q41" s="9" t="s">
        <v>13</v>
      </c>
      <c r="R41" s="9">
        <v>1.1000000000000001</v>
      </c>
      <c r="S41" s="30" t="s">
        <v>19</v>
      </c>
      <c r="T41" s="9" t="s">
        <v>20</v>
      </c>
      <c r="U41" s="9" t="s">
        <v>13</v>
      </c>
      <c r="V41" s="9">
        <v>1.34</v>
      </c>
      <c r="W41" s="9">
        <v>3.03</v>
      </c>
      <c r="X41" s="9">
        <v>2</v>
      </c>
      <c r="Y41" s="9">
        <v>2.11</v>
      </c>
      <c r="Z41" s="9">
        <v>3.68</v>
      </c>
      <c r="AA41" s="9">
        <v>7.75</v>
      </c>
      <c r="AB41" s="9">
        <v>5.33</v>
      </c>
      <c r="AC41" s="9">
        <v>5.37</v>
      </c>
    </row>
    <row r="42" spans="1:29" ht="18" x14ac:dyDescent="0.5">
      <c r="A42" s="15">
        <v>106</v>
      </c>
      <c r="B42" s="15" t="s">
        <v>22</v>
      </c>
      <c r="C42" s="7">
        <v>22</v>
      </c>
      <c r="D42" s="16">
        <v>1</v>
      </c>
      <c r="E42" s="16" t="s">
        <v>367</v>
      </c>
      <c r="F42" s="15">
        <v>356</v>
      </c>
      <c r="G42" s="24" t="s">
        <v>11</v>
      </c>
      <c r="H42" s="15" t="s">
        <v>12</v>
      </c>
      <c r="I42" s="15" t="s">
        <v>13</v>
      </c>
      <c r="J42" s="15">
        <v>7.9</v>
      </c>
      <c r="K42" s="24" t="s">
        <v>11</v>
      </c>
      <c r="L42" s="15" t="s">
        <v>12</v>
      </c>
      <c r="M42" s="15" t="s">
        <v>13</v>
      </c>
      <c r="N42" s="9">
        <v>3.7</v>
      </c>
      <c r="O42" s="26" t="s">
        <v>11</v>
      </c>
      <c r="P42" s="9" t="s">
        <v>12</v>
      </c>
      <c r="Q42" s="9" t="s">
        <v>13</v>
      </c>
      <c r="R42" s="9">
        <v>1.3</v>
      </c>
      <c r="S42" s="26" t="s">
        <v>11</v>
      </c>
      <c r="T42" s="9" t="s">
        <v>12</v>
      </c>
      <c r="U42" s="9" t="s">
        <v>13</v>
      </c>
      <c r="V42" s="9">
        <v>1.84</v>
      </c>
      <c r="W42" s="9">
        <v>3.28</v>
      </c>
      <c r="X42" s="9">
        <v>2.6</v>
      </c>
      <c r="Y42" s="9">
        <v>2.4500000000000002</v>
      </c>
      <c r="Z42" s="9">
        <v>4.29</v>
      </c>
      <c r="AA42" s="9">
        <v>8.09</v>
      </c>
      <c r="AB42" s="9">
        <v>5.36</v>
      </c>
      <c r="AC42" s="9">
        <v>6.06</v>
      </c>
    </row>
    <row r="43" spans="1:29" ht="15.5" x14ac:dyDescent="0.35">
      <c r="A43" s="15">
        <v>107</v>
      </c>
      <c r="B43" s="15" t="s">
        <v>23</v>
      </c>
      <c r="C43" s="7">
        <v>37</v>
      </c>
      <c r="D43" s="16">
        <v>1</v>
      </c>
      <c r="E43" s="16" t="s">
        <v>367</v>
      </c>
      <c r="F43" s="15">
        <v>320</v>
      </c>
      <c r="G43" s="24" t="s">
        <v>24</v>
      </c>
      <c r="H43" s="24" t="s">
        <v>25</v>
      </c>
      <c r="I43" s="15" t="s">
        <v>13</v>
      </c>
      <c r="J43" s="15">
        <v>10.6</v>
      </c>
      <c r="K43" s="24" t="s">
        <v>24</v>
      </c>
      <c r="L43" s="24" t="s">
        <v>25</v>
      </c>
      <c r="M43" s="15" t="s">
        <v>13</v>
      </c>
      <c r="N43" s="9">
        <v>2.4</v>
      </c>
      <c r="O43" s="25" t="s">
        <v>24</v>
      </c>
      <c r="P43" s="27" t="s">
        <v>25</v>
      </c>
      <c r="Q43" s="9" t="s">
        <v>13</v>
      </c>
      <c r="R43" s="9">
        <v>1</v>
      </c>
      <c r="S43" s="25" t="s">
        <v>24</v>
      </c>
      <c r="T43" s="27" t="s">
        <v>25</v>
      </c>
      <c r="U43" s="9" t="s">
        <v>13</v>
      </c>
      <c r="V43" s="9">
        <v>2.2400000000000002</v>
      </c>
      <c r="W43" s="9">
        <v>2.58</v>
      </c>
      <c r="X43" s="9">
        <v>1.77</v>
      </c>
      <c r="Y43" s="9">
        <v>2.56</v>
      </c>
      <c r="Z43" s="9">
        <v>3.78</v>
      </c>
      <c r="AA43" s="9">
        <v>6.13</v>
      </c>
      <c r="AB43" s="9">
        <v>5.03</v>
      </c>
      <c r="AC43" s="9">
        <v>5.12</v>
      </c>
    </row>
    <row r="44" spans="1:29" ht="15.5" x14ac:dyDescent="0.35">
      <c r="A44" s="15">
        <v>108</v>
      </c>
      <c r="B44" s="15" t="s">
        <v>26</v>
      </c>
      <c r="C44" s="7">
        <v>37</v>
      </c>
      <c r="D44" s="16">
        <v>1</v>
      </c>
      <c r="E44" s="16" t="s">
        <v>367</v>
      </c>
      <c r="F44" s="15">
        <v>320</v>
      </c>
      <c r="G44" s="24" t="s">
        <v>24</v>
      </c>
      <c r="H44" s="24" t="s">
        <v>25</v>
      </c>
      <c r="I44" s="15" t="s">
        <v>13</v>
      </c>
      <c r="J44" s="15">
        <v>10.6</v>
      </c>
      <c r="K44" s="24" t="s">
        <v>24</v>
      </c>
      <c r="L44" s="24" t="s">
        <v>25</v>
      </c>
      <c r="M44" s="15" t="s">
        <v>13</v>
      </c>
      <c r="N44" s="9">
        <v>2.4</v>
      </c>
      <c r="O44" s="30" t="s">
        <v>24</v>
      </c>
      <c r="P44" s="27" t="s">
        <v>25</v>
      </c>
      <c r="Q44" s="9" t="s">
        <v>13</v>
      </c>
      <c r="R44" s="9">
        <v>1</v>
      </c>
      <c r="S44" s="30" t="s">
        <v>24</v>
      </c>
      <c r="T44" s="27" t="s">
        <v>25</v>
      </c>
      <c r="U44" s="9" t="s">
        <v>13</v>
      </c>
      <c r="V44" s="9">
        <v>2.2400000000000002</v>
      </c>
      <c r="W44" s="9">
        <v>2.58</v>
      </c>
      <c r="X44" s="9">
        <v>1.77</v>
      </c>
      <c r="Y44" s="9">
        <v>2.56</v>
      </c>
      <c r="Z44" s="9">
        <v>3.78</v>
      </c>
      <c r="AA44" s="9">
        <v>6.13</v>
      </c>
      <c r="AB44" s="9">
        <v>5.03</v>
      </c>
      <c r="AC44" s="9">
        <v>5.12</v>
      </c>
    </row>
    <row r="45" spans="1:29" ht="15.5" x14ac:dyDescent="0.35">
      <c r="A45" s="15">
        <v>110</v>
      </c>
      <c r="B45" s="15" t="s">
        <v>27</v>
      </c>
      <c r="C45" s="7">
        <v>36</v>
      </c>
      <c r="D45" s="16">
        <v>1</v>
      </c>
      <c r="E45" s="16" t="s">
        <v>367</v>
      </c>
      <c r="F45" s="15">
        <v>352</v>
      </c>
      <c r="G45" s="24" t="s">
        <v>28</v>
      </c>
      <c r="H45" s="15" t="s">
        <v>29</v>
      </c>
      <c r="I45" s="15" t="s">
        <v>13</v>
      </c>
      <c r="J45" s="15">
        <v>10.4</v>
      </c>
      <c r="K45" s="24" t="s">
        <v>28</v>
      </c>
      <c r="L45" s="15" t="s">
        <v>29</v>
      </c>
      <c r="M45" s="15" t="s">
        <v>13</v>
      </c>
      <c r="N45" s="9">
        <v>2.1</v>
      </c>
      <c r="O45" s="25" t="s">
        <v>28</v>
      </c>
      <c r="P45" s="9" t="s">
        <v>29</v>
      </c>
      <c r="Q45" s="9" t="s">
        <v>13</v>
      </c>
      <c r="R45" s="9">
        <v>1.04</v>
      </c>
      <c r="S45" s="25" t="s">
        <v>28</v>
      </c>
      <c r="T45" s="9" t="s">
        <v>29</v>
      </c>
      <c r="U45" s="9" t="s">
        <v>13</v>
      </c>
      <c r="V45" s="9">
        <v>2.2400000000000002</v>
      </c>
      <c r="W45" s="9">
        <v>2.58</v>
      </c>
      <c r="X45" s="9">
        <v>1.77</v>
      </c>
      <c r="Y45" s="9">
        <v>1.95</v>
      </c>
      <c r="Z45" s="9">
        <v>3.19</v>
      </c>
      <c r="AA45" s="9">
        <v>6.22</v>
      </c>
      <c r="AB45" s="9">
        <v>4.29</v>
      </c>
      <c r="AC45" s="9">
        <v>4.01</v>
      </c>
    </row>
    <row r="46" spans="1:29" ht="15.5" x14ac:dyDescent="0.35">
      <c r="A46" s="15">
        <v>111</v>
      </c>
      <c r="B46" s="15" t="s">
        <v>30</v>
      </c>
      <c r="C46" s="7">
        <v>37</v>
      </c>
      <c r="D46" s="16">
        <v>1</v>
      </c>
      <c r="E46" s="16" t="s">
        <v>367</v>
      </c>
      <c r="F46" s="15">
        <v>334</v>
      </c>
      <c r="G46" s="24" t="s">
        <v>31</v>
      </c>
      <c r="H46" s="15" t="s">
        <v>32</v>
      </c>
      <c r="I46" s="15" t="s">
        <v>13</v>
      </c>
      <c r="J46" s="15">
        <v>11.4</v>
      </c>
      <c r="K46" s="24" t="s">
        <v>31</v>
      </c>
      <c r="L46" s="15" t="s">
        <v>32</v>
      </c>
      <c r="M46" s="15" t="s">
        <v>13</v>
      </c>
      <c r="N46" s="9">
        <v>2.5</v>
      </c>
      <c r="O46" s="30" t="s">
        <v>31</v>
      </c>
      <c r="P46" s="9" t="s">
        <v>427</v>
      </c>
      <c r="Q46" s="9" t="s">
        <v>13</v>
      </c>
      <c r="R46" s="9">
        <v>1.04</v>
      </c>
      <c r="S46" s="30" t="s">
        <v>31</v>
      </c>
      <c r="T46" s="9" t="s">
        <v>427</v>
      </c>
      <c r="U46" s="9" t="s">
        <v>13</v>
      </c>
      <c r="V46" s="9">
        <v>1.79</v>
      </c>
      <c r="W46" s="9">
        <v>2.71</v>
      </c>
      <c r="X46" s="9">
        <v>1.57</v>
      </c>
      <c r="Y46" s="9">
        <v>2.38</v>
      </c>
      <c r="Z46" s="9">
        <v>3.43</v>
      </c>
      <c r="AA46" s="9">
        <v>6.71</v>
      </c>
      <c r="AB46" s="9">
        <v>4.7699999999999996</v>
      </c>
      <c r="AC46" s="9">
        <v>4.47</v>
      </c>
    </row>
    <row r="47" spans="1:29" ht="15.5" x14ac:dyDescent="0.35">
      <c r="A47" s="15">
        <v>112</v>
      </c>
      <c r="B47" s="15" t="s">
        <v>33</v>
      </c>
      <c r="C47" s="7">
        <v>37</v>
      </c>
      <c r="D47" s="16">
        <v>1</v>
      </c>
      <c r="E47" s="16" t="s">
        <v>367</v>
      </c>
      <c r="F47" s="15">
        <v>338</v>
      </c>
      <c r="G47" s="24" t="s">
        <v>34</v>
      </c>
      <c r="H47" s="15" t="s">
        <v>35</v>
      </c>
      <c r="I47" s="15" t="s">
        <v>13</v>
      </c>
      <c r="J47" s="15">
        <v>9.6999999999999993</v>
      </c>
      <c r="K47" s="24" t="s">
        <v>34</v>
      </c>
      <c r="L47" s="22" t="s">
        <v>35</v>
      </c>
      <c r="M47" s="15" t="s">
        <v>13</v>
      </c>
      <c r="N47" s="9">
        <v>1.83</v>
      </c>
      <c r="O47" s="25" t="s">
        <v>34</v>
      </c>
      <c r="P47" s="18" t="s">
        <v>35</v>
      </c>
      <c r="Q47" s="9" t="s">
        <v>13</v>
      </c>
      <c r="R47" s="9">
        <v>1.07</v>
      </c>
      <c r="S47" s="25" t="s">
        <v>36</v>
      </c>
      <c r="T47" s="9" t="s">
        <v>37</v>
      </c>
      <c r="U47" s="9" t="s">
        <v>13</v>
      </c>
      <c r="V47" s="9">
        <v>1.83</v>
      </c>
      <c r="W47" s="9">
        <v>2.2599999999999998</v>
      </c>
      <c r="X47" s="9">
        <v>1.17</v>
      </c>
      <c r="Y47" s="9">
        <v>1.63</v>
      </c>
      <c r="Z47" s="9">
        <v>1.46</v>
      </c>
      <c r="AA47" s="9">
        <v>5.63</v>
      </c>
      <c r="AB47" s="9">
        <v>4.96</v>
      </c>
      <c r="AC47" s="9">
        <v>3.71</v>
      </c>
    </row>
    <row r="48" spans="1:29" ht="15.5" x14ac:dyDescent="0.35">
      <c r="A48" s="15">
        <v>114</v>
      </c>
      <c r="B48" s="15" t="s">
        <v>38</v>
      </c>
      <c r="C48" s="7">
        <v>37</v>
      </c>
      <c r="D48" s="16">
        <v>1</v>
      </c>
      <c r="E48" s="16" t="s">
        <v>367</v>
      </c>
      <c r="F48" s="15">
        <v>320</v>
      </c>
      <c r="G48" s="24" t="s">
        <v>24</v>
      </c>
      <c r="H48" s="24" t="s">
        <v>25</v>
      </c>
      <c r="I48" s="15" t="s">
        <v>13</v>
      </c>
      <c r="J48" s="15">
        <v>10.6</v>
      </c>
      <c r="K48" s="24" t="s">
        <v>24</v>
      </c>
      <c r="L48" s="24" t="s">
        <v>25</v>
      </c>
      <c r="M48" s="15" t="s">
        <v>13</v>
      </c>
      <c r="N48" s="9">
        <v>2.4</v>
      </c>
      <c r="O48" s="25" t="s">
        <v>24</v>
      </c>
      <c r="P48" s="27" t="s">
        <v>25</v>
      </c>
      <c r="Q48" s="9" t="s">
        <v>13</v>
      </c>
      <c r="R48" s="9">
        <v>1</v>
      </c>
      <c r="S48" s="25" t="s">
        <v>24</v>
      </c>
      <c r="T48" s="27" t="s">
        <v>25</v>
      </c>
      <c r="U48" s="9" t="s">
        <v>13</v>
      </c>
      <c r="V48" s="9">
        <v>2.2400000000000002</v>
      </c>
      <c r="W48" s="9">
        <v>2.58</v>
      </c>
      <c r="X48" s="9">
        <v>1.77</v>
      </c>
      <c r="Y48" s="9">
        <v>2.56</v>
      </c>
      <c r="Z48" s="9">
        <v>3.78</v>
      </c>
      <c r="AA48" s="9">
        <v>6.13</v>
      </c>
      <c r="AB48" s="9">
        <v>5.03</v>
      </c>
      <c r="AC48" s="9">
        <v>5.12</v>
      </c>
    </row>
    <row r="49" spans="1:29" ht="15.5" x14ac:dyDescent="0.35">
      <c r="A49" s="15">
        <v>115</v>
      </c>
      <c r="B49" s="15" t="s">
        <v>39</v>
      </c>
      <c r="C49" s="7">
        <v>33</v>
      </c>
      <c r="D49" s="16">
        <v>1</v>
      </c>
      <c r="E49" s="16" t="s">
        <v>367</v>
      </c>
      <c r="F49" s="15">
        <v>334</v>
      </c>
      <c r="G49" s="24" t="s">
        <v>40</v>
      </c>
      <c r="H49" s="15" t="s">
        <v>41</v>
      </c>
      <c r="I49" s="15" t="s">
        <v>13</v>
      </c>
      <c r="J49" s="15">
        <v>10.57</v>
      </c>
      <c r="K49" s="24" t="s">
        <v>40</v>
      </c>
      <c r="L49" s="15" t="s">
        <v>41</v>
      </c>
      <c r="M49" s="15" t="s">
        <v>13</v>
      </c>
      <c r="N49" s="9">
        <v>2.42</v>
      </c>
      <c r="O49" s="25" t="s">
        <v>40</v>
      </c>
      <c r="P49" s="9" t="s">
        <v>41</v>
      </c>
      <c r="Q49" s="9" t="s">
        <v>13</v>
      </c>
      <c r="R49" s="9">
        <v>0.99</v>
      </c>
      <c r="S49" s="25" t="s">
        <v>40</v>
      </c>
      <c r="T49" s="9" t="s">
        <v>41</v>
      </c>
      <c r="U49" s="9" t="s">
        <v>13</v>
      </c>
      <c r="V49" s="9">
        <v>1.06</v>
      </c>
      <c r="W49" s="9">
        <v>2.96</v>
      </c>
      <c r="X49" s="9">
        <v>1.52</v>
      </c>
      <c r="Y49" s="9">
        <v>2.0699999999999998</v>
      </c>
      <c r="Z49" s="9">
        <v>3.45</v>
      </c>
      <c r="AA49" s="9">
        <v>12.03</v>
      </c>
      <c r="AB49" s="9">
        <v>5.0999999999999996</v>
      </c>
      <c r="AC49" s="9">
        <v>4.51</v>
      </c>
    </row>
    <row r="50" spans="1:29" ht="15.5" x14ac:dyDescent="0.35">
      <c r="A50" s="15">
        <v>116</v>
      </c>
      <c r="B50" s="15" t="s">
        <v>42</v>
      </c>
      <c r="C50" s="7">
        <v>15</v>
      </c>
      <c r="D50" s="16">
        <v>1</v>
      </c>
      <c r="E50" s="16" t="s">
        <v>367</v>
      </c>
      <c r="F50" s="15">
        <v>348</v>
      </c>
      <c r="G50" s="24" t="s">
        <v>43</v>
      </c>
      <c r="H50" s="15" t="s">
        <v>44</v>
      </c>
      <c r="I50" s="15" t="s">
        <v>13</v>
      </c>
      <c r="J50" s="15">
        <v>11</v>
      </c>
      <c r="K50" s="24" t="s">
        <v>43</v>
      </c>
      <c r="L50" s="15" t="s">
        <v>44</v>
      </c>
      <c r="M50" s="15" t="s">
        <v>13</v>
      </c>
      <c r="N50" s="9">
        <v>2.2999999999999998</v>
      </c>
      <c r="O50" s="25" t="s">
        <v>43</v>
      </c>
      <c r="P50" s="9" t="s">
        <v>44</v>
      </c>
      <c r="Q50" s="9" t="s">
        <v>13</v>
      </c>
      <c r="R50" s="9">
        <v>1.03</v>
      </c>
      <c r="S50" s="25" t="s">
        <v>43</v>
      </c>
      <c r="T50" s="9" t="s">
        <v>44</v>
      </c>
      <c r="U50" s="9" t="s">
        <v>13</v>
      </c>
      <c r="V50" s="9">
        <v>1.23</v>
      </c>
      <c r="W50" s="9">
        <v>3.55</v>
      </c>
      <c r="X50" s="9">
        <v>2.11</v>
      </c>
      <c r="Y50" s="9">
        <v>2.15</v>
      </c>
      <c r="Z50" s="9">
        <v>3.45</v>
      </c>
      <c r="AA50" s="9">
        <v>8.52</v>
      </c>
      <c r="AB50" s="9">
        <v>4.82</v>
      </c>
      <c r="AC50" s="9">
        <v>4.79</v>
      </c>
    </row>
    <row r="51" spans="1:29" ht="15.5" x14ac:dyDescent="0.35">
      <c r="A51" s="15">
        <v>117</v>
      </c>
      <c r="B51" s="15" t="s">
        <v>45</v>
      </c>
      <c r="C51" s="7">
        <v>6</v>
      </c>
      <c r="D51" s="16">
        <v>0.68</v>
      </c>
      <c r="E51" s="15" t="s">
        <v>366</v>
      </c>
      <c r="F51" s="15">
        <v>183</v>
      </c>
      <c r="G51" s="15" t="s">
        <v>46</v>
      </c>
      <c r="H51" s="15" t="s">
        <v>47</v>
      </c>
      <c r="I51" s="15" t="s">
        <v>13</v>
      </c>
      <c r="J51" s="15">
        <v>5.48</v>
      </c>
      <c r="K51" s="22" t="s">
        <v>46</v>
      </c>
      <c r="L51" s="22" t="s">
        <v>47</v>
      </c>
      <c r="M51" s="15" t="s">
        <v>13</v>
      </c>
      <c r="N51" s="9">
        <v>2.2400000000000002</v>
      </c>
      <c r="O51" s="18" t="s">
        <v>46</v>
      </c>
      <c r="P51" s="18" t="s">
        <v>47</v>
      </c>
      <c r="Q51" s="9" t="s">
        <v>13</v>
      </c>
      <c r="R51" s="9">
        <v>0.62</v>
      </c>
      <c r="S51" s="18" t="s">
        <v>46</v>
      </c>
      <c r="T51" s="18" t="s">
        <v>47</v>
      </c>
      <c r="U51" s="9" t="s">
        <v>13</v>
      </c>
      <c r="V51" s="9">
        <v>1.36</v>
      </c>
      <c r="W51" s="9">
        <v>3.03</v>
      </c>
      <c r="X51" s="9">
        <v>1.84</v>
      </c>
      <c r="Y51" s="9">
        <f>AVERAGE(2.7,2.15,2.16)</f>
        <v>2.3366666666666664</v>
      </c>
      <c r="Z51" s="9">
        <f>AVERAGE(3.67,3.55,3.45)</f>
        <v>3.5566666666666666</v>
      </c>
      <c r="AA51" s="9">
        <f>AVERAGE(12.24, 10.09,10.61)</f>
        <v>10.979999999999999</v>
      </c>
      <c r="AB51" s="9">
        <f>AVERAGE(5.14,3.95,3.05)</f>
        <v>4.0466666666666669</v>
      </c>
      <c r="AC51" s="9">
        <f>AVERAGE(5.41,3.54,3.88)</f>
        <v>4.2766666666666664</v>
      </c>
    </row>
    <row r="52" spans="1:29" ht="15.5" x14ac:dyDescent="0.35">
      <c r="A52" s="15">
        <v>118</v>
      </c>
      <c r="B52" s="15" t="s">
        <v>48</v>
      </c>
      <c r="C52" s="7">
        <v>2</v>
      </c>
      <c r="D52" s="16">
        <v>1</v>
      </c>
      <c r="E52" s="16" t="s">
        <v>367</v>
      </c>
      <c r="F52" s="15">
        <v>316</v>
      </c>
      <c r="G52" s="24" t="s">
        <v>49</v>
      </c>
      <c r="H52" s="24" t="s">
        <v>50</v>
      </c>
      <c r="I52" s="15" t="s">
        <v>13</v>
      </c>
      <c r="J52" s="15">
        <v>10.9</v>
      </c>
      <c r="K52" s="24" t="s">
        <v>49</v>
      </c>
      <c r="L52" s="24" t="s">
        <v>50</v>
      </c>
      <c r="M52" s="15" t="s">
        <v>13</v>
      </c>
      <c r="N52" s="9">
        <v>3.41</v>
      </c>
      <c r="O52" s="25" t="s">
        <v>49</v>
      </c>
      <c r="P52" s="25" t="s">
        <v>50</v>
      </c>
      <c r="Q52" s="9" t="s">
        <v>13</v>
      </c>
      <c r="R52" s="9">
        <v>1.28</v>
      </c>
      <c r="S52" s="25" t="s">
        <v>49</v>
      </c>
      <c r="T52" s="25" t="s">
        <v>50</v>
      </c>
      <c r="U52" s="9" t="s">
        <v>13</v>
      </c>
      <c r="V52" s="9">
        <v>2.2000000000000002</v>
      </c>
      <c r="W52" s="9">
        <v>3.3</v>
      </c>
      <c r="X52" s="9">
        <v>1.86</v>
      </c>
      <c r="Y52" s="9">
        <v>2.13</v>
      </c>
      <c r="Z52" s="9">
        <v>3.63</v>
      </c>
      <c r="AA52" s="9">
        <v>6.49</v>
      </c>
      <c r="AB52" s="9">
        <v>4.88</v>
      </c>
      <c r="AC52" s="9">
        <v>4.78</v>
      </c>
    </row>
    <row r="53" spans="1:29" ht="15.5" x14ac:dyDescent="0.35">
      <c r="A53" s="15">
        <v>120</v>
      </c>
      <c r="B53" s="15" t="s">
        <v>51</v>
      </c>
      <c r="C53" s="7">
        <v>16</v>
      </c>
      <c r="D53" s="16">
        <v>1</v>
      </c>
      <c r="E53" s="16" t="s">
        <v>367</v>
      </c>
      <c r="F53" s="15">
        <v>346</v>
      </c>
      <c r="G53" s="24" t="s">
        <v>52</v>
      </c>
      <c r="H53" s="24" t="s">
        <v>53</v>
      </c>
      <c r="I53" s="15" t="s">
        <v>13</v>
      </c>
      <c r="J53" s="15">
        <v>10.1</v>
      </c>
      <c r="K53" s="24" t="s">
        <v>52</v>
      </c>
      <c r="L53" s="24" t="s">
        <v>53</v>
      </c>
      <c r="M53" s="22" t="s">
        <v>13</v>
      </c>
      <c r="N53" s="9">
        <v>2.42</v>
      </c>
      <c r="O53" s="25" t="s">
        <v>52</v>
      </c>
      <c r="P53" s="25" t="s">
        <v>53</v>
      </c>
      <c r="Q53" s="18" t="s">
        <v>13</v>
      </c>
      <c r="R53" s="9">
        <v>1.35</v>
      </c>
      <c r="S53" s="25" t="s">
        <v>52</v>
      </c>
      <c r="T53" s="25" t="s">
        <v>53</v>
      </c>
      <c r="U53" s="18" t="s">
        <v>13</v>
      </c>
      <c r="V53" s="9">
        <v>1.85</v>
      </c>
      <c r="W53" s="9">
        <v>4.24</v>
      </c>
      <c r="X53" s="9">
        <v>2.21</v>
      </c>
      <c r="Y53" s="9">
        <v>2.35</v>
      </c>
      <c r="Z53" s="9">
        <v>4.1399999999999997</v>
      </c>
      <c r="AA53" s="9">
        <v>8.08</v>
      </c>
      <c r="AB53" s="9">
        <v>6.14</v>
      </c>
      <c r="AC53" s="9">
        <v>5.31</v>
      </c>
    </row>
    <row r="54" spans="1:29" ht="15.5" x14ac:dyDescent="0.35">
      <c r="A54" s="15">
        <v>121</v>
      </c>
      <c r="B54" s="15" t="s">
        <v>54</v>
      </c>
      <c r="C54" s="7">
        <v>15</v>
      </c>
      <c r="D54" s="16">
        <v>1</v>
      </c>
      <c r="E54" s="16" t="s">
        <v>367</v>
      </c>
      <c r="F54" s="15">
        <v>321</v>
      </c>
      <c r="G54" s="24" t="s">
        <v>55</v>
      </c>
      <c r="H54" s="15" t="s">
        <v>56</v>
      </c>
      <c r="I54" s="15" t="s">
        <v>13</v>
      </c>
      <c r="J54" s="15">
        <v>7.16</v>
      </c>
      <c r="K54" s="24" t="s">
        <v>55</v>
      </c>
      <c r="L54" s="15" t="s">
        <v>56</v>
      </c>
      <c r="M54" s="15" t="s">
        <v>13</v>
      </c>
      <c r="N54" s="9">
        <v>2.83</v>
      </c>
      <c r="O54" s="25" t="s">
        <v>55</v>
      </c>
      <c r="P54" s="9" t="s">
        <v>56</v>
      </c>
      <c r="Q54" s="9" t="s">
        <v>13</v>
      </c>
      <c r="R54" s="9">
        <v>0.91</v>
      </c>
      <c r="S54" s="25" t="s">
        <v>55</v>
      </c>
      <c r="T54" s="9" t="s">
        <v>56</v>
      </c>
      <c r="U54" s="9" t="s">
        <v>13</v>
      </c>
      <c r="V54" s="9">
        <v>1.48</v>
      </c>
      <c r="W54" s="9">
        <v>3.84</v>
      </c>
      <c r="X54" s="9">
        <v>2.74</v>
      </c>
      <c r="Y54" s="9">
        <v>2.37</v>
      </c>
      <c r="Z54" s="9">
        <v>3.7</v>
      </c>
      <c r="AA54" s="9">
        <v>8.86</v>
      </c>
      <c r="AB54" s="9">
        <v>5.7</v>
      </c>
      <c r="AC54" s="9">
        <v>5.65</v>
      </c>
    </row>
    <row r="55" spans="1:29" ht="31" x14ac:dyDescent="0.35">
      <c r="A55" s="15">
        <v>122</v>
      </c>
      <c r="B55" s="15" t="s">
        <v>57</v>
      </c>
      <c r="C55" s="7">
        <v>20</v>
      </c>
      <c r="D55" s="16">
        <v>1</v>
      </c>
      <c r="E55" s="16" t="s">
        <v>367</v>
      </c>
      <c r="F55" s="15">
        <v>341</v>
      </c>
      <c r="G55" s="15" t="s">
        <v>58</v>
      </c>
      <c r="H55" s="15" t="s">
        <v>59</v>
      </c>
      <c r="I55" s="15" t="s">
        <v>13</v>
      </c>
      <c r="J55" s="15">
        <v>12.1</v>
      </c>
      <c r="K55" s="22" t="s">
        <v>58</v>
      </c>
      <c r="L55" s="22" t="s">
        <v>59</v>
      </c>
      <c r="M55" s="22" t="s">
        <v>13</v>
      </c>
      <c r="N55" s="9">
        <v>2.63</v>
      </c>
      <c r="O55" s="17" t="s">
        <v>58</v>
      </c>
      <c r="P55" s="18" t="s">
        <v>59</v>
      </c>
      <c r="Q55" s="18" t="s">
        <v>13</v>
      </c>
      <c r="R55" s="9">
        <v>1</v>
      </c>
      <c r="S55" s="17" t="s">
        <v>58</v>
      </c>
      <c r="T55" s="18" t="s">
        <v>59</v>
      </c>
      <c r="U55" s="18" t="s">
        <v>13</v>
      </c>
      <c r="V55" s="9">
        <v>1.94</v>
      </c>
      <c r="W55" s="9">
        <v>2.6</v>
      </c>
      <c r="X55" s="9">
        <v>1.83</v>
      </c>
      <c r="Y55" s="9">
        <f xml:space="preserve"> AVERAGE(2.98, 1.95, 2.23)</f>
        <v>2.3866666666666667</v>
      </c>
      <c r="Z55" s="9">
        <f>AVERAGE(3.75,3.19, 3.48)</f>
        <v>3.4733333333333332</v>
      </c>
      <c r="AA55" s="9">
        <f>AVERAGE(6.08,6.13,6.61)</f>
        <v>6.2733333333333334</v>
      </c>
      <c r="AB55" s="9">
        <f>AVERAGE(4.35,4.29, 4.46)</f>
        <v>4.3666666666666671</v>
      </c>
      <c r="AC55" s="9">
        <f>AVERAGE(4.55, 4.01, 4.28)</f>
        <v>4.28</v>
      </c>
    </row>
    <row r="56" spans="1:29" ht="15.5" x14ac:dyDescent="0.35">
      <c r="A56" s="15">
        <v>139</v>
      </c>
      <c r="B56" s="15" t="s">
        <v>60</v>
      </c>
      <c r="C56" s="7">
        <v>44</v>
      </c>
      <c r="D56" s="16">
        <v>1</v>
      </c>
      <c r="E56" s="16" t="s">
        <v>367</v>
      </c>
      <c r="F56" s="15">
        <v>80</v>
      </c>
      <c r="G56" s="24" t="s">
        <v>61</v>
      </c>
      <c r="H56" s="15" t="s">
        <v>62</v>
      </c>
      <c r="I56" s="15" t="s">
        <v>13</v>
      </c>
      <c r="J56" s="15">
        <v>1.03</v>
      </c>
      <c r="K56" s="24" t="s">
        <v>61</v>
      </c>
      <c r="L56" s="15" t="s">
        <v>62</v>
      </c>
      <c r="M56" s="15" t="s">
        <v>13</v>
      </c>
      <c r="N56" s="9">
        <v>2.96</v>
      </c>
      <c r="O56" s="25" t="s">
        <v>61</v>
      </c>
      <c r="P56" s="9" t="s">
        <v>62</v>
      </c>
      <c r="Q56" s="9" t="s">
        <v>13</v>
      </c>
      <c r="R56" s="9">
        <v>0.7</v>
      </c>
      <c r="S56" s="25" t="s">
        <v>61</v>
      </c>
      <c r="T56" s="9" t="s">
        <v>62</v>
      </c>
      <c r="U56" s="9" t="s">
        <v>13</v>
      </c>
      <c r="V56" s="9">
        <v>1.44</v>
      </c>
      <c r="W56" s="9">
        <v>5</v>
      </c>
      <c r="X56" s="9">
        <v>0.8</v>
      </c>
      <c r="Y56" s="9">
        <v>2.0099999999999998</v>
      </c>
      <c r="Z56" s="9">
        <v>2.3199999999999998</v>
      </c>
      <c r="AA56" s="9">
        <v>7.51</v>
      </c>
      <c r="AB56" s="9">
        <v>5.29</v>
      </c>
      <c r="AC56" s="9">
        <v>4.72</v>
      </c>
    </row>
    <row r="57" spans="1:29" ht="15.5" x14ac:dyDescent="0.35">
      <c r="A57" s="15">
        <v>140</v>
      </c>
      <c r="B57" s="15" t="s">
        <v>63</v>
      </c>
      <c r="C57" s="7">
        <v>82</v>
      </c>
      <c r="D57" s="16">
        <v>1</v>
      </c>
      <c r="E57" s="16" t="s">
        <v>367</v>
      </c>
      <c r="F57" s="15">
        <v>331</v>
      </c>
      <c r="G57" s="15" t="s">
        <v>64</v>
      </c>
      <c r="H57" s="15" t="s">
        <v>65</v>
      </c>
      <c r="I57" s="15" t="s">
        <v>13</v>
      </c>
      <c r="J57" s="15">
        <v>21.7</v>
      </c>
      <c r="K57" s="15" t="s">
        <v>64</v>
      </c>
      <c r="L57" s="15" t="s">
        <v>65</v>
      </c>
      <c r="M57" s="15" t="s">
        <v>13</v>
      </c>
      <c r="N57" s="9">
        <v>6.16</v>
      </c>
      <c r="O57" s="9" t="s">
        <v>64</v>
      </c>
      <c r="P57" s="9" t="s">
        <v>65</v>
      </c>
      <c r="Q57" s="9" t="s">
        <v>13</v>
      </c>
      <c r="R57" s="9">
        <v>0.71</v>
      </c>
      <c r="S57" s="9" t="s">
        <v>64</v>
      </c>
      <c r="T57" s="9" t="s">
        <v>65</v>
      </c>
      <c r="U57" s="9" t="s">
        <v>13</v>
      </c>
      <c r="V57" s="9">
        <v>0.67</v>
      </c>
      <c r="W57" s="9">
        <v>3.26</v>
      </c>
      <c r="X57" s="9">
        <v>0.87</v>
      </c>
      <c r="Y57" s="9">
        <v>3.16</v>
      </c>
      <c r="Z57" s="9">
        <v>3.42</v>
      </c>
      <c r="AA57" s="9">
        <v>6.73</v>
      </c>
      <c r="AB57" s="9">
        <v>8.76</v>
      </c>
      <c r="AC57" s="9">
        <v>4.38</v>
      </c>
    </row>
    <row r="58" spans="1:29" ht="15.5" x14ac:dyDescent="0.35">
      <c r="A58" s="15">
        <v>141</v>
      </c>
      <c r="B58" s="15" t="s">
        <v>66</v>
      </c>
      <c r="C58" s="7">
        <v>82</v>
      </c>
      <c r="D58" s="16">
        <v>1</v>
      </c>
      <c r="E58" s="16" t="s">
        <v>367</v>
      </c>
      <c r="F58" s="15">
        <v>331</v>
      </c>
      <c r="G58" s="15" t="s">
        <v>67</v>
      </c>
      <c r="H58" s="15" t="s">
        <v>68</v>
      </c>
      <c r="I58" s="15" t="s">
        <v>13</v>
      </c>
      <c r="J58" s="15">
        <v>21.5</v>
      </c>
      <c r="K58" s="22" t="s">
        <v>67</v>
      </c>
      <c r="L58" s="22" t="s">
        <v>68</v>
      </c>
      <c r="M58" s="22" t="s">
        <v>13</v>
      </c>
      <c r="N58" s="9">
        <v>6.1</v>
      </c>
      <c r="O58" s="18" t="s">
        <v>67</v>
      </c>
      <c r="P58" s="18" t="s">
        <v>68</v>
      </c>
      <c r="Q58" s="18" t="s">
        <v>13</v>
      </c>
      <c r="R58" s="9">
        <v>1.0900000000000001</v>
      </c>
      <c r="S58" s="18" t="s">
        <v>67</v>
      </c>
      <c r="T58" s="18" t="s">
        <v>68</v>
      </c>
      <c r="U58" s="18" t="s">
        <v>13</v>
      </c>
      <c r="V58" s="9">
        <v>0.84</v>
      </c>
      <c r="W58" s="9">
        <v>3.24</v>
      </c>
      <c r="X58" s="9">
        <v>1.1200000000000001</v>
      </c>
      <c r="Y58" s="9">
        <v>2.39</v>
      </c>
      <c r="Z58" s="9">
        <v>4.25</v>
      </c>
      <c r="AA58" s="9">
        <v>6.91</v>
      </c>
      <c r="AB58" s="9">
        <v>5.97</v>
      </c>
      <c r="AC58" s="9">
        <v>4.09</v>
      </c>
    </row>
    <row r="59" spans="1:29" ht="15.5" x14ac:dyDescent="0.35">
      <c r="A59" s="15">
        <v>142</v>
      </c>
      <c r="B59" s="15" t="s">
        <v>69</v>
      </c>
      <c r="C59" s="7">
        <v>82</v>
      </c>
      <c r="D59" s="16">
        <v>1</v>
      </c>
      <c r="E59" s="16" t="s">
        <v>367</v>
      </c>
      <c r="F59" s="15">
        <v>287</v>
      </c>
      <c r="G59" s="22" t="s">
        <v>70</v>
      </c>
      <c r="H59" s="22" t="s">
        <v>71</v>
      </c>
      <c r="I59" s="22" t="s">
        <v>13</v>
      </c>
      <c r="J59" s="15">
        <v>18.8</v>
      </c>
      <c r="K59" s="22" t="s">
        <v>70</v>
      </c>
      <c r="L59" s="22" t="s">
        <v>71</v>
      </c>
      <c r="M59" s="15" t="s">
        <v>13</v>
      </c>
      <c r="N59" s="9">
        <v>6.6</v>
      </c>
      <c r="O59" s="18" t="s">
        <v>70</v>
      </c>
      <c r="P59" s="18" t="s">
        <v>71</v>
      </c>
      <c r="Q59" s="9" t="s">
        <v>13</v>
      </c>
      <c r="R59" s="9">
        <v>0.95</v>
      </c>
      <c r="S59" s="18" t="s">
        <v>70</v>
      </c>
      <c r="T59" s="18" t="s">
        <v>71</v>
      </c>
      <c r="U59" s="9" t="s">
        <v>13</v>
      </c>
      <c r="V59" s="9">
        <v>1.27</v>
      </c>
      <c r="W59" s="9">
        <v>3.55</v>
      </c>
      <c r="X59" s="9">
        <v>1.1599999999999999</v>
      </c>
      <c r="Y59" s="9">
        <v>2.5099999999999998</v>
      </c>
      <c r="Z59" s="9">
        <v>4.34</v>
      </c>
      <c r="AA59" s="9">
        <v>74</v>
      </c>
      <c r="AB59" s="9">
        <v>6.26</v>
      </c>
      <c r="AC59" s="9">
        <v>4.58</v>
      </c>
    </row>
    <row r="60" spans="1:29" ht="15.5" x14ac:dyDescent="0.35">
      <c r="A60" s="15">
        <v>143</v>
      </c>
      <c r="B60" s="15" t="s">
        <v>72</v>
      </c>
      <c r="C60" s="7">
        <v>82</v>
      </c>
      <c r="D60" s="16">
        <v>1</v>
      </c>
      <c r="E60" s="16" t="s">
        <v>367</v>
      </c>
      <c r="F60" s="15">
        <v>310</v>
      </c>
      <c r="G60" s="15" t="s">
        <v>73</v>
      </c>
      <c r="H60" s="15" t="s">
        <v>74</v>
      </c>
      <c r="I60" s="15" t="s">
        <v>13</v>
      </c>
      <c r="J60" s="15">
        <v>23.2</v>
      </c>
      <c r="K60" s="22" t="s">
        <v>73</v>
      </c>
      <c r="L60" s="22" t="s">
        <v>74</v>
      </c>
      <c r="M60" s="15" t="s">
        <v>13</v>
      </c>
      <c r="N60" s="9">
        <v>6.3</v>
      </c>
      <c r="O60" s="18" t="s">
        <v>73</v>
      </c>
      <c r="P60" s="18" t="s">
        <v>74</v>
      </c>
      <c r="Q60" s="9" t="s">
        <v>13</v>
      </c>
      <c r="R60" s="9">
        <v>1.1299999999999999</v>
      </c>
      <c r="S60" s="9" t="s">
        <v>428</v>
      </c>
      <c r="T60" s="9" t="s">
        <v>75</v>
      </c>
      <c r="U60" s="9" t="s">
        <v>13</v>
      </c>
      <c r="V60" s="9">
        <v>0.43</v>
      </c>
      <c r="W60" s="9">
        <v>3.36</v>
      </c>
      <c r="X60" s="9">
        <v>1.05</v>
      </c>
      <c r="Y60" s="9">
        <v>2.5499999999999998</v>
      </c>
      <c r="Z60" s="9">
        <v>4.07</v>
      </c>
      <c r="AA60" s="9">
        <v>7.9</v>
      </c>
      <c r="AB60" s="9">
        <v>6.2</v>
      </c>
      <c r="AC60" s="9">
        <v>5.21</v>
      </c>
    </row>
    <row r="61" spans="1:29" ht="15.5" x14ac:dyDescent="0.35">
      <c r="A61" s="15">
        <v>144</v>
      </c>
      <c r="B61" s="15" t="s">
        <v>76</v>
      </c>
      <c r="C61" s="7">
        <v>81</v>
      </c>
      <c r="D61" s="16">
        <v>1</v>
      </c>
      <c r="E61" s="16" t="s">
        <v>367</v>
      </c>
      <c r="F61" s="15">
        <v>310.5</v>
      </c>
      <c r="G61" s="15" t="s">
        <v>77</v>
      </c>
      <c r="H61" s="15" t="s">
        <v>78</v>
      </c>
      <c r="I61" s="15" t="s">
        <v>13</v>
      </c>
      <c r="J61" s="15">
        <v>23.42</v>
      </c>
      <c r="K61" s="22" t="s">
        <v>77</v>
      </c>
      <c r="L61" s="22" t="s">
        <v>78</v>
      </c>
      <c r="M61" s="22" t="s">
        <v>13</v>
      </c>
      <c r="N61" s="9">
        <v>6.45</v>
      </c>
      <c r="O61" s="18" t="s">
        <v>77</v>
      </c>
      <c r="P61" s="18" t="s">
        <v>78</v>
      </c>
      <c r="Q61" s="18" t="s">
        <v>13</v>
      </c>
      <c r="R61" s="9">
        <v>0.79</v>
      </c>
      <c r="S61" s="18" t="s">
        <v>77</v>
      </c>
      <c r="T61" s="18" t="s">
        <v>78</v>
      </c>
      <c r="U61" s="18" t="s">
        <v>13</v>
      </c>
      <c r="V61" s="9">
        <v>0.87</v>
      </c>
      <c r="W61" s="9">
        <v>3.33</v>
      </c>
      <c r="X61" s="9">
        <v>0.91</v>
      </c>
      <c r="Y61" s="9">
        <f>AVERAGE(1.93,2.07)</f>
        <v>2</v>
      </c>
      <c r="Z61" s="9">
        <f>AVERAGE(3.74,4.17)</f>
        <v>3.9550000000000001</v>
      </c>
      <c r="AA61" s="9">
        <f>AVERAGE(7.1,7.36)</f>
        <v>7.23</v>
      </c>
      <c r="AB61" s="9">
        <f>AVERAGE(5.1,4.61)</f>
        <v>4.8550000000000004</v>
      </c>
      <c r="AC61" s="9">
        <f>AVERAGE(5.02,4.85)</f>
        <v>4.9349999999999996</v>
      </c>
    </row>
    <row r="62" spans="1:29" ht="15.5" x14ac:dyDescent="0.35">
      <c r="A62" s="15">
        <v>145</v>
      </c>
      <c r="B62" s="15" t="s">
        <v>79</v>
      </c>
      <c r="C62" s="7">
        <v>82</v>
      </c>
      <c r="D62" s="16">
        <v>1</v>
      </c>
      <c r="E62" s="16" t="s">
        <v>367</v>
      </c>
      <c r="F62" s="15">
        <v>307</v>
      </c>
      <c r="G62" s="24" t="s">
        <v>80</v>
      </c>
      <c r="H62" s="15" t="s">
        <v>81</v>
      </c>
      <c r="I62" s="15" t="s">
        <v>13</v>
      </c>
      <c r="J62" s="15">
        <v>22.5</v>
      </c>
      <c r="K62" s="24" t="s">
        <v>80</v>
      </c>
      <c r="L62" s="22" t="s">
        <v>81</v>
      </c>
      <c r="M62" s="22" t="s">
        <v>13</v>
      </c>
      <c r="N62" s="9">
        <v>6.28</v>
      </c>
      <c r="O62" s="31" t="s">
        <v>80</v>
      </c>
      <c r="P62" s="18" t="s">
        <v>81</v>
      </c>
      <c r="Q62" s="18" t="s">
        <v>13</v>
      </c>
      <c r="R62" s="9">
        <v>2.0499999999999998</v>
      </c>
      <c r="S62" s="31" t="s">
        <v>80</v>
      </c>
      <c r="T62" s="18" t="s">
        <v>81</v>
      </c>
      <c r="U62" s="18" t="s">
        <v>13</v>
      </c>
      <c r="V62" s="9">
        <v>0.54</v>
      </c>
      <c r="W62" s="9">
        <v>2.93</v>
      </c>
      <c r="X62" s="9">
        <v>1.24</v>
      </c>
      <c r="Y62" s="9">
        <f>AVERAGE(2.64,2.85)</f>
        <v>2.7450000000000001</v>
      </c>
      <c r="Z62" s="9">
        <f>AVERAGE(3.75,3.42)</f>
        <v>3.585</v>
      </c>
      <c r="AA62" s="9">
        <f>AVERAGE(7.93,7.58)</f>
        <v>7.7549999999999999</v>
      </c>
      <c r="AB62" s="9">
        <f>AVERAGE(5.68,5.9)</f>
        <v>5.79</v>
      </c>
      <c r="AC62" s="9">
        <f>AVERAGE(4.11,4.61)</f>
        <v>4.3600000000000003</v>
      </c>
    </row>
    <row r="63" spans="1:29" ht="15.5" x14ac:dyDescent="0.35">
      <c r="A63" s="15">
        <v>146</v>
      </c>
      <c r="B63" s="15" t="s">
        <v>82</v>
      </c>
      <c r="C63" s="7">
        <v>93</v>
      </c>
      <c r="D63" s="16">
        <v>1</v>
      </c>
      <c r="E63" s="16" t="s">
        <v>367</v>
      </c>
      <c r="F63" s="15">
        <v>303</v>
      </c>
      <c r="G63" s="15" t="s">
        <v>83</v>
      </c>
      <c r="H63" s="15" t="s">
        <v>84</v>
      </c>
      <c r="I63" s="15" t="s">
        <v>13</v>
      </c>
      <c r="J63" s="15">
        <v>20.3</v>
      </c>
      <c r="K63" s="22" t="s">
        <v>83</v>
      </c>
      <c r="L63" s="22" t="s">
        <v>84</v>
      </c>
      <c r="M63" s="22" t="s">
        <v>13</v>
      </c>
      <c r="N63" s="9">
        <v>7.12</v>
      </c>
      <c r="O63" s="18" t="s">
        <v>83</v>
      </c>
      <c r="P63" s="18" t="s">
        <v>84</v>
      </c>
      <c r="Q63" s="18" t="s">
        <v>13</v>
      </c>
      <c r="R63" s="9">
        <v>0.86</v>
      </c>
      <c r="S63" s="18" t="s">
        <v>83</v>
      </c>
      <c r="T63" s="18" t="s">
        <v>84</v>
      </c>
      <c r="U63" s="18" t="s">
        <v>13</v>
      </c>
      <c r="V63" s="9">
        <v>0.82</v>
      </c>
      <c r="W63" s="9">
        <v>3.65</v>
      </c>
      <c r="X63" s="9">
        <v>0.68</v>
      </c>
      <c r="Y63" s="9">
        <v>2.34</v>
      </c>
      <c r="Z63" s="9">
        <v>3.87</v>
      </c>
      <c r="AA63" s="9">
        <v>7.02</v>
      </c>
      <c r="AB63" s="9">
        <v>4.76</v>
      </c>
      <c r="AC63" s="9">
        <v>4.67</v>
      </c>
    </row>
    <row r="64" spans="1:29" ht="15.5" x14ac:dyDescent="0.35">
      <c r="A64" s="15">
        <v>147</v>
      </c>
      <c r="B64" s="15" t="s">
        <v>85</v>
      </c>
      <c r="C64" s="7">
        <v>82</v>
      </c>
      <c r="D64" s="16">
        <v>1</v>
      </c>
      <c r="E64" s="16" t="s">
        <v>367</v>
      </c>
      <c r="F64" s="15">
        <v>345</v>
      </c>
      <c r="G64" s="15" t="s">
        <v>86</v>
      </c>
      <c r="H64" s="24" t="s">
        <v>87</v>
      </c>
      <c r="I64" s="15" t="s">
        <v>13</v>
      </c>
      <c r="J64" s="15">
        <v>28.2</v>
      </c>
      <c r="K64" s="15" t="s">
        <v>86</v>
      </c>
      <c r="L64" s="24" t="s">
        <v>87</v>
      </c>
      <c r="M64" s="15" t="s">
        <v>13</v>
      </c>
      <c r="N64" s="9"/>
      <c r="O64" s="9" t="s">
        <v>86</v>
      </c>
      <c r="P64" s="27" t="s">
        <v>87</v>
      </c>
      <c r="Q64" s="9" t="s">
        <v>13</v>
      </c>
      <c r="R64" s="9"/>
      <c r="S64" s="9" t="s">
        <v>86</v>
      </c>
      <c r="T64" s="27" t="s">
        <v>87</v>
      </c>
      <c r="U64" s="9" t="s">
        <v>13</v>
      </c>
      <c r="V64" s="9"/>
      <c r="W64" s="9"/>
      <c r="X64" s="9"/>
      <c r="Y64" s="9"/>
      <c r="Z64" s="9"/>
      <c r="AA64" s="9"/>
      <c r="AB64" s="9"/>
      <c r="AC64" s="9"/>
    </row>
    <row r="65" spans="1:29" ht="31" x14ac:dyDescent="0.35">
      <c r="A65" s="15">
        <v>148</v>
      </c>
      <c r="B65" s="15" t="s">
        <v>88</v>
      </c>
      <c r="C65" s="7">
        <v>82</v>
      </c>
      <c r="D65" s="16">
        <v>1</v>
      </c>
      <c r="E65" s="16" t="s">
        <v>367</v>
      </c>
      <c r="F65" s="15">
        <v>320.8</v>
      </c>
      <c r="G65" s="15" t="s">
        <v>89</v>
      </c>
      <c r="H65" s="15" t="s">
        <v>90</v>
      </c>
      <c r="I65" s="15" t="s">
        <v>13</v>
      </c>
      <c r="J65" s="15">
        <v>19.75</v>
      </c>
      <c r="K65" s="22" t="s">
        <v>89</v>
      </c>
      <c r="L65" s="22" t="s">
        <v>90</v>
      </c>
      <c r="M65" s="15" t="s">
        <v>13</v>
      </c>
      <c r="N65" s="9">
        <v>6.63</v>
      </c>
      <c r="O65" s="17" t="s">
        <v>89</v>
      </c>
      <c r="P65" s="18" t="s">
        <v>90</v>
      </c>
      <c r="Q65" s="9" t="s">
        <v>13</v>
      </c>
      <c r="R65" s="9">
        <v>1.0900000000000001</v>
      </c>
      <c r="S65" s="17" t="s">
        <v>89</v>
      </c>
      <c r="T65" s="18" t="s">
        <v>90</v>
      </c>
      <c r="U65" s="9" t="s">
        <v>13</v>
      </c>
      <c r="V65" s="9">
        <v>0.8</v>
      </c>
      <c r="W65" s="9">
        <v>4.01</v>
      </c>
      <c r="X65" s="9">
        <v>1.0900000000000001</v>
      </c>
      <c r="Y65" s="9">
        <f>AVERAGE(2.8,2.71,2.7,2.55)</f>
        <v>2.6900000000000004</v>
      </c>
      <c r="Z65" s="9">
        <f xml:space="preserve"> AVERAGE(4.17,4.27,4.23,4.59)</f>
        <v>4.3149999999999995</v>
      </c>
      <c r="AA65" s="9">
        <f>AVERAGE(7.85,7.93,7.78,8.14)</f>
        <v>7.9249999999999998</v>
      </c>
      <c r="AB65" s="9">
        <f>AVERAGE(5.85,5.91,5.9,5.01)</f>
        <v>5.6675000000000004</v>
      </c>
      <c r="AC65" s="9">
        <f>AVERAGE(4.9,5.21,5.07,5.53)</f>
        <v>5.1775000000000002</v>
      </c>
    </row>
    <row r="66" spans="1:29" ht="15.5" x14ac:dyDescent="0.35">
      <c r="A66" s="15">
        <v>150</v>
      </c>
      <c r="B66" s="15" t="s">
        <v>372</v>
      </c>
      <c r="C66" s="7">
        <v>82</v>
      </c>
      <c r="D66" s="16">
        <v>1</v>
      </c>
      <c r="E66" s="16" t="s">
        <v>367</v>
      </c>
      <c r="F66" s="15">
        <v>331</v>
      </c>
      <c r="G66" s="15" t="s">
        <v>67</v>
      </c>
      <c r="H66" s="15" t="s">
        <v>68</v>
      </c>
      <c r="I66" s="15" t="s">
        <v>13</v>
      </c>
      <c r="J66" s="15">
        <v>21.5</v>
      </c>
      <c r="K66" s="22" t="s">
        <v>67</v>
      </c>
      <c r="L66" s="22" t="s">
        <v>68</v>
      </c>
      <c r="M66" s="22" t="s">
        <v>13</v>
      </c>
      <c r="N66" s="9">
        <v>6.1</v>
      </c>
      <c r="O66" s="18" t="s">
        <v>67</v>
      </c>
      <c r="P66" s="18" t="s">
        <v>68</v>
      </c>
      <c r="Q66" s="18" t="s">
        <v>13</v>
      </c>
      <c r="R66" s="9">
        <v>1.0900000000000001</v>
      </c>
      <c r="S66" s="18" t="s">
        <v>67</v>
      </c>
      <c r="T66" s="18" t="s">
        <v>68</v>
      </c>
      <c r="U66" s="18" t="s">
        <v>13</v>
      </c>
      <c r="V66" s="9">
        <v>0.84</v>
      </c>
      <c r="W66" s="9">
        <v>3.24</v>
      </c>
      <c r="X66" s="9">
        <v>1.1200000000000001</v>
      </c>
      <c r="Y66" s="9">
        <v>2.39</v>
      </c>
      <c r="Z66" s="9">
        <v>4.25</v>
      </c>
      <c r="AA66" s="9">
        <v>6.91</v>
      </c>
      <c r="AB66" s="9">
        <v>5.97</v>
      </c>
      <c r="AC66" s="9">
        <v>4.09</v>
      </c>
    </row>
    <row r="67" spans="1:29" ht="15.5" x14ac:dyDescent="0.35">
      <c r="A67" s="15">
        <v>152</v>
      </c>
      <c r="B67" s="15" t="s">
        <v>91</v>
      </c>
      <c r="C67" s="7">
        <v>82</v>
      </c>
      <c r="D67" s="16">
        <v>1</v>
      </c>
      <c r="E67" s="16" t="s">
        <v>367</v>
      </c>
      <c r="F67" s="15">
        <v>300.67058823529402</v>
      </c>
      <c r="G67" s="15" t="s">
        <v>92</v>
      </c>
      <c r="H67" s="15"/>
      <c r="I67" s="15" t="s">
        <v>13</v>
      </c>
      <c r="J67" s="15">
        <v>21.874117647058799</v>
      </c>
      <c r="K67" s="15" t="s">
        <v>92</v>
      </c>
      <c r="L67" s="15"/>
      <c r="M67" s="15" t="s">
        <v>13</v>
      </c>
      <c r="N67" s="9">
        <v>6.1</v>
      </c>
      <c r="O67" s="18" t="s">
        <v>67</v>
      </c>
      <c r="P67" s="18" t="s">
        <v>68</v>
      </c>
      <c r="Q67" s="18" t="s">
        <v>13</v>
      </c>
      <c r="R67" s="9">
        <v>1.0900000000000001</v>
      </c>
      <c r="S67" s="18" t="s">
        <v>67</v>
      </c>
      <c r="T67" s="18" t="s">
        <v>68</v>
      </c>
      <c r="U67" s="18" t="s">
        <v>13</v>
      </c>
      <c r="V67" s="9">
        <v>0.84</v>
      </c>
      <c r="W67" s="9">
        <v>3.24</v>
      </c>
      <c r="X67" s="9">
        <v>1.1200000000000001</v>
      </c>
      <c r="Y67" s="9">
        <v>2.39</v>
      </c>
      <c r="Z67" s="9">
        <v>4.25</v>
      </c>
      <c r="AA67" s="9">
        <v>6.91</v>
      </c>
      <c r="AB67" s="9">
        <v>5.97</v>
      </c>
      <c r="AC67" s="9">
        <v>4.09</v>
      </c>
    </row>
    <row r="68" spans="1:29" ht="15.5" x14ac:dyDescent="0.35">
      <c r="A68" s="15">
        <v>158</v>
      </c>
      <c r="B68" s="15" t="s">
        <v>403</v>
      </c>
      <c r="C68" s="7">
        <v>82</v>
      </c>
      <c r="D68" s="16">
        <v>1</v>
      </c>
      <c r="E68" s="16" t="s">
        <v>367</v>
      </c>
      <c r="F68" s="15">
        <v>320.8</v>
      </c>
      <c r="G68" s="15" t="s">
        <v>89</v>
      </c>
      <c r="H68" s="15" t="s">
        <v>90</v>
      </c>
      <c r="I68" s="15" t="s">
        <v>13</v>
      </c>
      <c r="J68" s="15">
        <v>19.75</v>
      </c>
      <c r="K68" s="22" t="s">
        <v>89</v>
      </c>
      <c r="L68" s="22" t="s">
        <v>90</v>
      </c>
      <c r="M68" s="15" t="s">
        <v>13</v>
      </c>
      <c r="N68" s="9">
        <v>6.1</v>
      </c>
      <c r="O68" s="18" t="s">
        <v>67</v>
      </c>
      <c r="P68" s="18" t="s">
        <v>68</v>
      </c>
      <c r="Q68" s="18" t="s">
        <v>13</v>
      </c>
      <c r="R68" s="9">
        <v>1.0900000000000001</v>
      </c>
      <c r="S68" s="18" t="s">
        <v>67</v>
      </c>
      <c r="T68" s="18" t="s">
        <v>68</v>
      </c>
      <c r="U68" s="18" t="s">
        <v>13</v>
      </c>
      <c r="V68" s="9">
        <v>0.84</v>
      </c>
      <c r="W68" s="9">
        <v>3.24</v>
      </c>
      <c r="X68" s="9">
        <v>1.1200000000000001</v>
      </c>
      <c r="Y68" s="9">
        <v>2.39</v>
      </c>
      <c r="Z68" s="9">
        <v>4.25</v>
      </c>
      <c r="AA68" s="9">
        <v>6.91</v>
      </c>
      <c r="AB68" s="9">
        <v>5.97</v>
      </c>
      <c r="AC68" s="9">
        <v>4.09</v>
      </c>
    </row>
    <row r="69" spans="1:29" ht="15.5" x14ac:dyDescent="0.35">
      <c r="A69" s="15">
        <v>160</v>
      </c>
      <c r="B69" s="15" t="s">
        <v>93</v>
      </c>
      <c r="C69" s="7">
        <v>193</v>
      </c>
      <c r="D69" s="16">
        <v>1</v>
      </c>
      <c r="E69" s="16" t="s">
        <v>367</v>
      </c>
      <c r="F69" s="15">
        <v>107</v>
      </c>
      <c r="G69" s="15" t="s">
        <v>94</v>
      </c>
      <c r="H69" s="15" t="s">
        <v>95</v>
      </c>
      <c r="I69" s="15" t="s">
        <v>13</v>
      </c>
      <c r="J69" s="15">
        <v>3.68</v>
      </c>
      <c r="K69" s="22" t="s">
        <v>94</v>
      </c>
      <c r="L69" s="22" t="s">
        <v>95</v>
      </c>
      <c r="M69" s="15" t="s">
        <v>13</v>
      </c>
      <c r="N69" s="9">
        <v>7.87</v>
      </c>
      <c r="O69" s="18" t="s">
        <v>94</v>
      </c>
      <c r="P69" s="18" t="s">
        <v>95</v>
      </c>
      <c r="Q69" s="9" t="s">
        <v>13</v>
      </c>
      <c r="R69" s="9">
        <v>1.3</v>
      </c>
      <c r="S69" s="18" t="s">
        <v>94</v>
      </c>
      <c r="T69" s="18" t="s">
        <v>95</v>
      </c>
      <c r="U69" s="9" t="s">
        <v>13</v>
      </c>
      <c r="V69" s="9">
        <v>1.25</v>
      </c>
      <c r="W69" s="9">
        <v>4.42</v>
      </c>
      <c r="X69" s="9">
        <v>2.46</v>
      </c>
      <c r="Y69" s="9">
        <v>2.08</v>
      </c>
      <c r="Z69" s="9">
        <v>5.3</v>
      </c>
      <c r="AA69" s="9">
        <v>9.83</v>
      </c>
      <c r="AB69" s="9">
        <v>4.26</v>
      </c>
      <c r="AC69" s="9">
        <v>5.86</v>
      </c>
    </row>
    <row r="70" spans="1:29" ht="15.5" x14ac:dyDescent="0.35">
      <c r="A70" s="15">
        <v>162</v>
      </c>
      <c r="B70" s="15" t="s">
        <v>96</v>
      </c>
      <c r="C70" s="7">
        <v>193</v>
      </c>
      <c r="D70" s="16">
        <v>1</v>
      </c>
      <c r="E70" s="15" t="s">
        <v>368</v>
      </c>
      <c r="F70" s="15">
        <v>496</v>
      </c>
      <c r="G70" s="15" t="s">
        <v>97</v>
      </c>
      <c r="H70" s="15" t="s">
        <v>98</v>
      </c>
      <c r="I70" s="15" t="s">
        <v>13</v>
      </c>
      <c r="J70" s="15">
        <v>25.8</v>
      </c>
      <c r="K70" s="15" t="s">
        <v>97</v>
      </c>
      <c r="L70" s="15" t="s">
        <v>98</v>
      </c>
      <c r="M70" s="15" t="s">
        <v>13</v>
      </c>
      <c r="N70" s="9">
        <v>7.87</v>
      </c>
      <c r="O70" s="18" t="s">
        <v>94</v>
      </c>
      <c r="P70" s="18" t="s">
        <v>95</v>
      </c>
      <c r="Q70" s="9" t="s">
        <v>13</v>
      </c>
      <c r="R70" s="9">
        <v>1.3</v>
      </c>
      <c r="S70" s="18" t="s">
        <v>94</v>
      </c>
      <c r="T70" s="18" t="s">
        <v>95</v>
      </c>
      <c r="U70" s="9" t="s">
        <v>13</v>
      </c>
      <c r="V70" s="9">
        <v>1.25</v>
      </c>
      <c r="W70" s="9">
        <v>4.42</v>
      </c>
      <c r="X70" s="9">
        <v>2.46</v>
      </c>
      <c r="Y70" s="9">
        <v>2.08</v>
      </c>
      <c r="Z70" s="9">
        <v>5.3</v>
      </c>
      <c r="AA70" s="9">
        <v>9.83</v>
      </c>
      <c r="AB70" s="9">
        <v>4.26</v>
      </c>
      <c r="AC70" s="9">
        <v>5.86</v>
      </c>
    </row>
    <row r="71" spans="1:29" ht="15.5" x14ac:dyDescent="0.35">
      <c r="A71" s="15">
        <v>163</v>
      </c>
      <c r="B71" s="15" t="s">
        <v>99</v>
      </c>
      <c r="C71" s="7">
        <v>193</v>
      </c>
      <c r="D71" s="16">
        <v>1</v>
      </c>
      <c r="E71" s="15" t="s">
        <v>367</v>
      </c>
      <c r="F71" s="15">
        <v>60</v>
      </c>
      <c r="G71" s="15" t="s">
        <v>100</v>
      </c>
      <c r="H71" s="15" t="s">
        <v>101</v>
      </c>
      <c r="I71" s="15" t="s">
        <v>102</v>
      </c>
      <c r="J71" s="15">
        <v>3</v>
      </c>
      <c r="K71" s="22" t="s">
        <v>100</v>
      </c>
      <c r="L71" s="22" t="s">
        <v>101</v>
      </c>
      <c r="M71" s="22" t="s">
        <v>102</v>
      </c>
      <c r="N71" s="18">
        <v>8.41</v>
      </c>
      <c r="O71" s="19" t="s">
        <v>445</v>
      </c>
      <c r="P71" s="18" t="s">
        <v>452</v>
      </c>
      <c r="Q71" s="18" t="s">
        <v>115</v>
      </c>
      <c r="R71" s="9">
        <v>1.32</v>
      </c>
      <c r="S71" s="19" t="s">
        <v>445</v>
      </c>
      <c r="T71" s="18" t="s">
        <v>452</v>
      </c>
      <c r="U71" s="18" t="s">
        <v>115</v>
      </c>
      <c r="V71" s="9">
        <v>0.59</v>
      </c>
      <c r="W71" s="9">
        <v>4.5</v>
      </c>
      <c r="X71" s="9">
        <v>2.42</v>
      </c>
      <c r="Y71" s="9">
        <v>2.94</v>
      </c>
      <c r="Z71" s="9">
        <v>5.34</v>
      </c>
      <c r="AA71" s="9">
        <v>10.1</v>
      </c>
      <c r="AB71" s="9">
        <v>5.2</v>
      </c>
      <c r="AC71" s="9">
        <v>6.74</v>
      </c>
    </row>
    <row r="72" spans="1:29" ht="15.5" x14ac:dyDescent="0.35">
      <c r="A72" s="15">
        <v>164</v>
      </c>
      <c r="B72" s="15" t="s">
        <v>103</v>
      </c>
      <c r="C72" s="7">
        <v>193</v>
      </c>
      <c r="D72" s="16">
        <v>1</v>
      </c>
      <c r="E72" s="15" t="s">
        <v>367</v>
      </c>
      <c r="F72" s="15">
        <v>900</v>
      </c>
      <c r="G72" s="15" t="s">
        <v>104</v>
      </c>
      <c r="H72" s="15" t="s">
        <v>105</v>
      </c>
      <c r="I72" s="15" t="s">
        <v>13</v>
      </c>
      <c r="J72" s="15">
        <v>0</v>
      </c>
      <c r="K72" s="15" t="s">
        <v>104</v>
      </c>
      <c r="L72" s="15" t="s">
        <v>105</v>
      </c>
      <c r="M72" s="15" t="s">
        <v>13</v>
      </c>
      <c r="N72" s="9">
        <v>7.88</v>
      </c>
      <c r="O72" s="19" t="s">
        <v>446</v>
      </c>
      <c r="P72" s="18" t="s">
        <v>453</v>
      </c>
      <c r="Q72" s="9"/>
      <c r="R72" s="9">
        <v>1.41</v>
      </c>
      <c r="S72" s="9"/>
      <c r="T72" s="18" t="s">
        <v>453</v>
      </c>
      <c r="U72" s="18" t="s">
        <v>115</v>
      </c>
      <c r="V72" s="9">
        <v>0</v>
      </c>
      <c r="W72" s="9">
        <v>4.47</v>
      </c>
      <c r="X72" s="9">
        <v>2.4700000000000002</v>
      </c>
      <c r="Y72" s="9">
        <v>2.1800000000000002</v>
      </c>
      <c r="Z72" s="9">
        <v>4</v>
      </c>
      <c r="AA72" s="9">
        <v>9.1</v>
      </c>
      <c r="AB72" s="9">
        <v>4.54</v>
      </c>
      <c r="AC72" s="9">
        <v>5.45</v>
      </c>
    </row>
    <row r="73" spans="1:29" ht="15.5" x14ac:dyDescent="0.35">
      <c r="A73" s="15">
        <v>165</v>
      </c>
      <c r="B73" s="15" t="s">
        <v>106</v>
      </c>
      <c r="C73" s="7">
        <v>193</v>
      </c>
      <c r="D73" s="16">
        <v>1</v>
      </c>
      <c r="E73" s="15" t="s">
        <v>368</v>
      </c>
      <c r="F73" s="15">
        <v>729</v>
      </c>
      <c r="G73" s="15" t="s">
        <v>107</v>
      </c>
      <c r="H73" s="15" t="s">
        <v>108</v>
      </c>
      <c r="I73" s="15" t="s">
        <v>13</v>
      </c>
      <c r="J73" s="15">
        <v>0.9</v>
      </c>
      <c r="K73" s="15" t="s">
        <v>107</v>
      </c>
      <c r="L73" s="15" t="s">
        <v>108</v>
      </c>
      <c r="M73" s="15" t="s">
        <v>13</v>
      </c>
      <c r="N73" s="9">
        <v>7.88</v>
      </c>
      <c r="O73" s="19" t="s">
        <v>446</v>
      </c>
      <c r="P73" s="18" t="s">
        <v>453</v>
      </c>
      <c r="Q73" s="9"/>
      <c r="R73" s="9">
        <v>1.41</v>
      </c>
      <c r="S73" s="9"/>
      <c r="T73" s="18" t="s">
        <v>453</v>
      </c>
      <c r="U73" s="18" t="s">
        <v>115</v>
      </c>
      <c r="V73" s="9">
        <v>0</v>
      </c>
      <c r="W73" s="9">
        <v>4.47</v>
      </c>
      <c r="X73" s="9">
        <v>2.4700000000000002</v>
      </c>
      <c r="Y73" s="9">
        <v>2.1800000000000002</v>
      </c>
      <c r="Z73" s="9">
        <v>4</v>
      </c>
      <c r="AA73" s="9">
        <v>9.1</v>
      </c>
      <c r="AB73" s="9">
        <v>4.54</v>
      </c>
      <c r="AC73" s="9">
        <v>5.45</v>
      </c>
    </row>
    <row r="74" spans="1:29" ht="15.5" x14ac:dyDescent="0.35">
      <c r="A74" s="15">
        <v>166</v>
      </c>
      <c r="B74" s="15" t="s">
        <v>109</v>
      </c>
      <c r="C74" s="7">
        <v>193</v>
      </c>
      <c r="D74" s="16">
        <v>1</v>
      </c>
      <c r="E74" s="15" t="s">
        <v>368</v>
      </c>
      <c r="F74" s="15">
        <v>99</v>
      </c>
      <c r="G74" s="24" t="s">
        <v>110</v>
      </c>
      <c r="H74" s="15" t="s">
        <v>111</v>
      </c>
      <c r="I74" s="15" t="s">
        <v>102</v>
      </c>
      <c r="J74" s="15">
        <v>3</v>
      </c>
      <c r="K74" s="24" t="s">
        <v>110</v>
      </c>
      <c r="L74" s="22" t="s">
        <v>111</v>
      </c>
      <c r="M74" s="22" t="s">
        <v>102</v>
      </c>
      <c r="N74" s="18">
        <v>7.37</v>
      </c>
      <c r="O74" s="27"/>
      <c r="P74" s="9"/>
      <c r="Q74" s="9"/>
      <c r="R74" s="9">
        <v>5.29</v>
      </c>
      <c r="S74" s="27"/>
      <c r="T74" s="9"/>
      <c r="U74" s="9"/>
      <c r="V74" s="9">
        <v>0.83</v>
      </c>
      <c r="W74" s="9">
        <v>4.17</v>
      </c>
      <c r="X74" s="9">
        <v>2.31</v>
      </c>
      <c r="Y74" s="9">
        <f>0.088*100/3.5</f>
        <v>2.5142857142857138</v>
      </c>
      <c r="Z74" s="9">
        <f>0.195*100/3.5</f>
        <v>5.5714285714285712</v>
      </c>
      <c r="AA74" s="9">
        <f>0.316*100/3.5</f>
        <v>9.0285714285714285</v>
      </c>
      <c r="AB74" s="9">
        <f>0.157*100/3.5</f>
        <v>4.4857142857142858</v>
      </c>
      <c r="AC74" s="9">
        <f>0.217*100/3.5</f>
        <v>6.2</v>
      </c>
    </row>
    <row r="75" spans="1:29" ht="15.5" x14ac:dyDescent="0.35">
      <c r="A75" s="15">
        <v>167</v>
      </c>
      <c r="B75" s="15" t="s">
        <v>112</v>
      </c>
      <c r="C75" s="7">
        <v>193</v>
      </c>
      <c r="D75" s="16">
        <v>1</v>
      </c>
      <c r="E75" s="15" t="s">
        <v>367</v>
      </c>
      <c r="F75" s="15">
        <v>14</v>
      </c>
      <c r="G75" s="15" t="s">
        <v>384</v>
      </c>
      <c r="H75" s="15" t="s">
        <v>385</v>
      </c>
      <c r="I75" s="15" t="s">
        <v>13</v>
      </c>
      <c r="J75" s="15">
        <v>0.74</v>
      </c>
      <c r="K75" s="15" t="s">
        <v>384</v>
      </c>
      <c r="L75" s="15" t="s">
        <v>385</v>
      </c>
      <c r="M75" s="15" t="s">
        <v>13</v>
      </c>
      <c r="N75" s="9">
        <v>5.79</v>
      </c>
      <c r="O75" s="17" t="s">
        <v>429</v>
      </c>
      <c r="P75" s="18" t="s">
        <v>430</v>
      </c>
      <c r="Q75" s="18" t="s">
        <v>13</v>
      </c>
      <c r="R75" s="9">
        <v>1.0900000000000001</v>
      </c>
      <c r="S75" s="17" t="s">
        <v>429</v>
      </c>
      <c r="T75" s="18" t="s">
        <v>430</v>
      </c>
      <c r="U75" s="18" t="s">
        <v>13</v>
      </c>
      <c r="V75" s="9">
        <v>0.73</v>
      </c>
      <c r="W75" s="9">
        <v>4.5</v>
      </c>
      <c r="X75" s="18">
        <v>2.1</v>
      </c>
      <c r="Y75" s="9">
        <f>AVERAGE(2.04,1.47)</f>
        <v>1.7549999999999999</v>
      </c>
      <c r="Z75" s="9">
        <f>AVERAGE(4.79,4.93)</f>
        <v>4.8599999999999994</v>
      </c>
      <c r="AA75" s="9">
        <f>AVERAGE(9.76,10.34)</f>
        <v>10.050000000000001</v>
      </c>
      <c r="AB75" s="9">
        <v>5.08</v>
      </c>
      <c r="AC75" s="9">
        <f>AVERAGE(5.68,6.1)</f>
        <v>5.89</v>
      </c>
    </row>
    <row r="76" spans="1:29" ht="15.5" x14ac:dyDescent="0.35">
      <c r="A76" s="15">
        <v>170</v>
      </c>
      <c r="B76" s="15" t="s">
        <v>113</v>
      </c>
      <c r="C76" s="7"/>
      <c r="D76" s="16">
        <v>1</v>
      </c>
      <c r="E76" s="15" t="s">
        <v>367</v>
      </c>
      <c r="F76" s="15">
        <v>0</v>
      </c>
      <c r="G76" s="15">
        <v>2047</v>
      </c>
      <c r="H76" s="15" t="s">
        <v>114</v>
      </c>
      <c r="I76" s="15" t="s">
        <v>115</v>
      </c>
      <c r="J76" s="15">
        <v>0</v>
      </c>
      <c r="K76" s="22">
        <v>2047</v>
      </c>
      <c r="L76" s="22" t="s">
        <v>114</v>
      </c>
      <c r="M76" s="22" t="s">
        <v>115</v>
      </c>
      <c r="N76" s="9">
        <v>0</v>
      </c>
      <c r="O76" s="18">
        <v>2047</v>
      </c>
      <c r="P76" s="18" t="s">
        <v>114</v>
      </c>
      <c r="Q76" s="18" t="s">
        <v>115</v>
      </c>
      <c r="R76" s="9">
        <v>0</v>
      </c>
      <c r="S76" s="18">
        <v>2047</v>
      </c>
      <c r="T76" s="18" t="s">
        <v>114</v>
      </c>
      <c r="U76" s="18" t="s">
        <v>115</v>
      </c>
      <c r="V76" s="9">
        <v>0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</row>
    <row r="77" spans="1:29" ht="15.5" x14ac:dyDescent="0.35">
      <c r="A77" s="15">
        <v>171</v>
      </c>
      <c r="B77" s="15" t="s">
        <v>116</v>
      </c>
      <c r="C77" s="7">
        <v>42</v>
      </c>
      <c r="D77" s="16">
        <v>1</v>
      </c>
      <c r="E77" s="15" t="s">
        <v>367</v>
      </c>
      <c r="F77" s="15">
        <v>398</v>
      </c>
      <c r="G77" s="15" t="s">
        <v>117</v>
      </c>
      <c r="H77" s="15" t="s">
        <v>118</v>
      </c>
      <c r="I77" s="15" t="s">
        <v>13</v>
      </c>
      <c r="J77" s="15">
        <v>0.1</v>
      </c>
      <c r="K77" s="15" t="s">
        <v>117</v>
      </c>
      <c r="L77" s="15" t="s">
        <v>118</v>
      </c>
      <c r="M77" s="15" t="s">
        <v>13</v>
      </c>
      <c r="N77" s="9">
        <v>2.73</v>
      </c>
      <c r="O77" s="9" t="s">
        <v>117</v>
      </c>
      <c r="P77" s="9" t="s">
        <v>118</v>
      </c>
      <c r="Q77" s="9" t="s">
        <v>13</v>
      </c>
      <c r="R77" s="9">
        <v>0.59</v>
      </c>
      <c r="S77" s="9" t="s">
        <v>117</v>
      </c>
      <c r="T77" s="9" t="s">
        <v>118</v>
      </c>
      <c r="U77" s="9" t="s">
        <v>13</v>
      </c>
      <c r="V77" s="9">
        <v>0.52</v>
      </c>
      <c r="W77" s="9">
        <v>3.02</v>
      </c>
      <c r="X77" s="9">
        <v>0.4</v>
      </c>
      <c r="Y77" s="9">
        <v>1.64</v>
      </c>
      <c r="Z77" s="9">
        <v>2.27</v>
      </c>
      <c r="AA77" s="9">
        <v>2.97</v>
      </c>
      <c r="AB77" s="9">
        <v>4.82</v>
      </c>
      <c r="AC77" s="9">
        <v>3.45</v>
      </c>
    </row>
    <row r="78" spans="1:29" ht="15.5" x14ac:dyDescent="0.35">
      <c r="A78" s="15">
        <v>172</v>
      </c>
      <c r="B78" s="15" t="s">
        <v>119</v>
      </c>
      <c r="C78" s="7">
        <v>42</v>
      </c>
      <c r="D78" s="16">
        <v>1</v>
      </c>
      <c r="E78" s="15" t="s">
        <v>368</v>
      </c>
      <c r="F78" s="15">
        <v>398</v>
      </c>
      <c r="G78" s="15" t="s">
        <v>117</v>
      </c>
      <c r="H78" s="15" t="s">
        <v>118</v>
      </c>
      <c r="I78" s="15" t="s">
        <v>13</v>
      </c>
      <c r="J78" s="15">
        <v>1.85</v>
      </c>
      <c r="K78" s="15" t="s">
        <v>117</v>
      </c>
      <c r="L78" s="15" t="s">
        <v>118</v>
      </c>
      <c r="M78" s="15" t="s">
        <v>13</v>
      </c>
      <c r="N78" s="9">
        <v>2.73</v>
      </c>
      <c r="O78" s="9" t="s">
        <v>117</v>
      </c>
      <c r="P78" s="9" t="s">
        <v>118</v>
      </c>
      <c r="Q78" s="9" t="s">
        <v>13</v>
      </c>
      <c r="R78" s="9">
        <v>0.59</v>
      </c>
      <c r="S78" s="9" t="s">
        <v>117</v>
      </c>
      <c r="T78" s="9" t="s">
        <v>118</v>
      </c>
      <c r="U78" s="9" t="s">
        <v>13</v>
      </c>
      <c r="V78" s="9">
        <v>0.52</v>
      </c>
      <c r="W78" s="9">
        <v>3.02</v>
      </c>
      <c r="X78" s="9">
        <v>0.4</v>
      </c>
      <c r="Y78" s="9">
        <v>1.64</v>
      </c>
      <c r="Z78" s="9">
        <v>2.27</v>
      </c>
      <c r="AA78" s="9">
        <v>2.97</v>
      </c>
      <c r="AB78" s="9">
        <v>4.82</v>
      </c>
      <c r="AC78" s="9">
        <v>3.45</v>
      </c>
    </row>
    <row r="79" spans="1:29" ht="15.5" x14ac:dyDescent="0.35">
      <c r="A79" s="15">
        <v>173</v>
      </c>
      <c r="B79" s="15" t="s">
        <v>120</v>
      </c>
      <c r="C79" s="7">
        <v>42</v>
      </c>
      <c r="D79" s="16">
        <v>1</v>
      </c>
      <c r="E79" s="15" t="s">
        <v>367</v>
      </c>
      <c r="F79" s="15">
        <v>354</v>
      </c>
      <c r="G79" s="15" t="s">
        <v>121</v>
      </c>
      <c r="H79" s="15" t="s">
        <v>122</v>
      </c>
      <c r="I79" s="15" t="s">
        <v>13</v>
      </c>
      <c r="J79" s="15">
        <v>1.9</v>
      </c>
      <c r="K79" s="15" t="s">
        <v>121</v>
      </c>
      <c r="L79" s="15" t="s">
        <v>122</v>
      </c>
      <c r="M79" s="15" t="s">
        <v>13</v>
      </c>
      <c r="N79" s="9">
        <v>2.73</v>
      </c>
      <c r="O79" s="9" t="s">
        <v>121</v>
      </c>
      <c r="P79" s="9" t="s">
        <v>122</v>
      </c>
      <c r="Q79" s="9" t="s">
        <v>13</v>
      </c>
      <c r="R79" s="9">
        <v>0.59</v>
      </c>
      <c r="S79" s="9" t="s">
        <v>121</v>
      </c>
      <c r="T79" s="9" t="s">
        <v>122</v>
      </c>
      <c r="U79" s="9" t="s">
        <v>13</v>
      </c>
      <c r="V79" s="9">
        <v>0.49</v>
      </c>
      <c r="W79" s="9">
        <v>2.1800000000000002</v>
      </c>
      <c r="X79" s="9">
        <v>0.44</v>
      </c>
      <c r="Y79" s="9">
        <v>1.64</v>
      </c>
      <c r="Z79" s="9">
        <v>2.27</v>
      </c>
      <c r="AA79" s="9">
        <v>2.97</v>
      </c>
      <c r="AB79" s="9">
        <v>4.82</v>
      </c>
      <c r="AC79" s="9">
        <v>3.45</v>
      </c>
    </row>
    <row r="80" spans="1:29" ht="15.5" x14ac:dyDescent="0.35">
      <c r="A80" s="15">
        <v>174</v>
      </c>
      <c r="B80" s="15" t="s">
        <v>123</v>
      </c>
      <c r="C80" s="7">
        <v>42</v>
      </c>
      <c r="D80" s="16">
        <v>1</v>
      </c>
      <c r="E80" s="15" t="s">
        <v>367</v>
      </c>
      <c r="F80" s="15">
        <v>535</v>
      </c>
      <c r="G80" s="22">
        <v>19120</v>
      </c>
      <c r="H80" s="22" t="s">
        <v>124</v>
      </c>
      <c r="I80" s="22" t="s">
        <v>115</v>
      </c>
      <c r="J80" s="15">
        <v>7.65</v>
      </c>
      <c r="K80" s="22">
        <v>19120</v>
      </c>
      <c r="L80" s="22" t="s">
        <v>124</v>
      </c>
      <c r="M80" s="22" t="s">
        <v>115</v>
      </c>
      <c r="N80" s="9">
        <v>2.73</v>
      </c>
      <c r="O80" s="9" t="s">
        <v>121</v>
      </c>
      <c r="P80" s="9" t="s">
        <v>122</v>
      </c>
      <c r="Q80" s="9" t="s">
        <v>13</v>
      </c>
      <c r="R80" s="9">
        <v>0.59</v>
      </c>
      <c r="S80" s="9" t="s">
        <v>121</v>
      </c>
      <c r="T80" s="9" t="s">
        <v>122</v>
      </c>
      <c r="U80" s="9" t="s">
        <v>13</v>
      </c>
      <c r="V80" s="9">
        <v>0.49</v>
      </c>
      <c r="W80" s="9">
        <v>2.1800000000000002</v>
      </c>
      <c r="X80" s="9">
        <v>0.44</v>
      </c>
      <c r="Y80" s="9">
        <v>1.64</v>
      </c>
      <c r="Z80" s="9">
        <v>2.27</v>
      </c>
      <c r="AA80" s="9">
        <v>2.97</v>
      </c>
      <c r="AB80" s="9">
        <v>4.82</v>
      </c>
      <c r="AC80" s="9">
        <v>3.45</v>
      </c>
    </row>
    <row r="81" spans="1:29" ht="15.5" x14ac:dyDescent="0.35">
      <c r="A81" s="15">
        <v>175</v>
      </c>
      <c r="B81" s="15" t="s">
        <v>125</v>
      </c>
      <c r="C81" s="7">
        <v>42</v>
      </c>
      <c r="D81" s="16">
        <v>1</v>
      </c>
      <c r="E81" s="15" t="s">
        <v>368</v>
      </c>
      <c r="F81" s="15">
        <v>319</v>
      </c>
      <c r="G81" s="15" t="s">
        <v>126</v>
      </c>
      <c r="H81" s="15" t="s">
        <v>127</v>
      </c>
      <c r="I81" s="15" t="s">
        <v>13</v>
      </c>
      <c r="J81" s="15">
        <v>0.3</v>
      </c>
      <c r="K81" s="15" t="s">
        <v>126</v>
      </c>
      <c r="L81" s="15" t="s">
        <v>127</v>
      </c>
      <c r="M81" s="15" t="s">
        <v>13</v>
      </c>
      <c r="N81" s="9">
        <v>2.67</v>
      </c>
      <c r="O81" s="9" t="s">
        <v>126</v>
      </c>
      <c r="P81" s="9" t="s">
        <v>127</v>
      </c>
      <c r="Q81" s="9" t="s">
        <v>13</v>
      </c>
      <c r="R81" s="9">
        <v>1.33</v>
      </c>
      <c r="S81" s="9" t="s">
        <v>126</v>
      </c>
      <c r="T81" s="9" t="s">
        <v>127</v>
      </c>
      <c r="U81" s="9" t="s">
        <v>13</v>
      </c>
      <c r="V81" s="9">
        <v>1</v>
      </c>
      <c r="W81" s="9">
        <v>1.33</v>
      </c>
      <c r="X81" s="9">
        <v>0.33</v>
      </c>
      <c r="Y81" s="9">
        <v>0.33</v>
      </c>
      <c r="Z81" s="9">
        <v>2.7</v>
      </c>
      <c r="AA81" s="9">
        <v>3.33</v>
      </c>
      <c r="AB81" s="9">
        <v>3.67</v>
      </c>
      <c r="AC81" s="9">
        <v>3</v>
      </c>
    </row>
    <row r="82" spans="1:29" ht="15.5" x14ac:dyDescent="0.35">
      <c r="A82" s="15">
        <v>178</v>
      </c>
      <c r="B82" s="15" t="s">
        <v>404</v>
      </c>
      <c r="C82" s="7"/>
      <c r="D82" s="16">
        <v>1</v>
      </c>
      <c r="E82" s="15" t="s">
        <v>368</v>
      </c>
      <c r="F82" s="15">
        <v>0</v>
      </c>
      <c r="G82" s="15">
        <v>2047</v>
      </c>
      <c r="H82" s="15" t="s">
        <v>114</v>
      </c>
      <c r="I82" s="15" t="s">
        <v>115</v>
      </c>
      <c r="J82" s="15">
        <v>0</v>
      </c>
      <c r="K82" s="22">
        <v>2047</v>
      </c>
      <c r="L82" s="22" t="s">
        <v>114</v>
      </c>
      <c r="M82" s="22" t="s">
        <v>115</v>
      </c>
      <c r="N82" s="9">
        <v>0</v>
      </c>
      <c r="O82" s="18">
        <v>2047</v>
      </c>
      <c r="P82" s="18" t="s">
        <v>114</v>
      </c>
      <c r="Q82" s="18" t="s">
        <v>115</v>
      </c>
      <c r="R82" s="9">
        <v>0</v>
      </c>
      <c r="S82" s="18">
        <v>2047</v>
      </c>
      <c r="T82" s="18" t="s">
        <v>114</v>
      </c>
      <c r="U82" s="18" t="s">
        <v>115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</row>
    <row r="83" spans="1:29" ht="15.5" x14ac:dyDescent="0.35">
      <c r="A83" s="15">
        <v>180</v>
      </c>
      <c r="B83" s="15" t="s">
        <v>128</v>
      </c>
      <c r="C83" s="7">
        <v>136</v>
      </c>
      <c r="D83" s="16">
        <v>1</v>
      </c>
      <c r="E83" s="15" t="s">
        <v>368</v>
      </c>
      <c r="F83" s="15">
        <v>900</v>
      </c>
      <c r="G83" s="24" t="s">
        <v>129</v>
      </c>
      <c r="H83" s="24" t="s">
        <v>130</v>
      </c>
      <c r="I83" s="15" t="s">
        <v>13</v>
      </c>
      <c r="J83" s="15"/>
      <c r="K83" s="24" t="s">
        <v>129</v>
      </c>
      <c r="L83" s="24" t="s">
        <v>130</v>
      </c>
      <c r="M83" s="15" t="s">
        <v>13</v>
      </c>
      <c r="N83" s="9">
        <v>0</v>
      </c>
      <c r="O83" s="31" t="s">
        <v>129</v>
      </c>
      <c r="P83" s="31" t="s">
        <v>431</v>
      </c>
      <c r="Q83" s="9" t="s">
        <v>13</v>
      </c>
      <c r="R83" s="9">
        <v>0</v>
      </c>
      <c r="S83" s="31" t="s">
        <v>129</v>
      </c>
      <c r="T83" s="31" t="s">
        <v>431</v>
      </c>
      <c r="U83" s="9" t="s">
        <v>13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</row>
    <row r="84" spans="1:29" ht="15.5" x14ac:dyDescent="0.35">
      <c r="A84" s="15">
        <v>181</v>
      </c>
      <c r="B84" s="15" t="s">
        <v>131</v>
      </c>
      <c r="C84" s="7">
        <v>102</v>
      </c>
      <c r="D84" s="16">
        <v>1</v>
      </c>
      <c r="E84" s="15" t="s">
        <v>368</v>
      </c>
      <c r="F84" s="15">
        <v>900</v>
      </c>
      <c r="G84" s="15" t="s">
        <v>132</v>
      </c>
      <c r="H84" s="15" t="s">
        <v>133</v>
      </c>
      <c r="I84" s="15" t="s">
        <v>13</v>
      </c>
      <c r="J84" s="15"/>
      <c r="K84" s="15" t="s">
        <v>132</v>
      </c>
      <c r="L84" s="15" t="s">
        <v>133</v>
      </c>
      <c r="M84" s="15" t="s">
        <v>13</v>
      </c>
      <c r="N84" s="9">
        <v>0</v>
      </c>
      <c r="O84" s="9" t="s">
        <v>132</v>
      </c>
      <c r="P84" s="9" t="s">
        <v>133</v>
      </c>
      <c r="Q84" s="9" t="s">
        <v>13</v>
      </c>
      <c r="R84" s="9">
        <v>0</v>
      </c>
      <c r="S84" s="9" t="s">
        <v>132</v>
      </c>
      <c r="T84" s="9" t="s">
        <v>133</v>
      </c>
      <c r="U84" s="9" t="s">
        <v>13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</row>
    <row r="85" spans="1:29" ht="15.5" x14ac:dyDescent="0.35">
      <c r="A85" s="15">
        <v>182</v>
      </c>
      <c r="B85" s="15" t="s">
        <v>134</v>
      </c>
      <c r="C85" s="7">
        <v>127</v>
      </c>
      <c r="D85" s="16">
        <v>1</v>
      </c>
      <c r="E85" s="15" t="s">
        <v>368</v>
      </c>
      <c r="F85" s="15">
        <v>900</v>
      </c>
      <c r="G85" s="24" t="s">
        <v>135</v>
      </c>
      <c r="H85" s="15" t="s">
        <v>136</v>
      </c>
      <c r="I85" s="15" t="s">
        <v>13</v>
      </c>
      <c r="J85" s="15">
        <v>0</v>
      </c>
      <c r="K85" s="24" t="s">
        <v>135</v>
      </c>
      <c r="L85" s="22" t="s">
        <v>136</v>
      </c>
      <c r="M85" s="22" t="s">
        <v>13</v>
      </c>
      <c r="N85" s="9">
        <v>0</v>
      </c>
      <c r="O85" s="27" t="s">
        <v>135</v>
      </c>
      <c r="P85" s="18" t="s">
        <v>136</v>
      </c>
      <c r="Q85" s="18" t="s">
        <v>13</v>
      </c>
      <c r="R85" s="9">
        <v>0</v>
      </c>
      <c r="S85" s="27" t="s">
        <v>135</v>
      </c>
      <c r="T85" s="18" t="s">
        <v>136</v>
      </c>
      <c r="U85" s="18" t="s">
        <v>13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</row>
    <row r="86" spans="1:29" ht="15.5" x14ac:dyDescent="0.35">
      <c r="A86" s="15">
        <v>183</v>
      </c>
      <c r="B86" s="15" t="s">
        <v>137</v>
      </c>
      <c r="C86" s="7">
        <v>119</v>
      </c>
      <c r="D86" s="16">
        <v>1</v>
      </c>
      <c r="E86" s="15" t="s">
        <v>368</v>
      </c>
      <c r="F86" s="15">
        <v>900</v>
      </c>
      <c r="G86" s="15" t="s">
        <v>138</v>
      </c>
      <c r="H86" s="15" t="s">
        <v>139</v>
      </c>
      <c r="I86" s="15" t="s">
        <v>13</v>
      </c>
      <c r="J86" s="15"/>
      <c r="K86" s="15" t="s">
        <v>138</v>
      </c>
      <c r="L86" s="15" t="s">
        <v>139</v>
      </c>
      <c r="M86" s="15" t="s">
        <v>13</v>
      </c>
      <c r="N86" s="9">
        <v>0</v>
      </c>
      <c r="O86" s="9" t="s">
        <v>138</v>
      </c>
      <c r="P86" s="9" t="s">
        <v>139</v>
      </c>
      <c r="Q86" s="9" t="s">
        <v>13</v>
      </c>
      <c r="R86" s="9">
        <v>0</v>
      </c>
      <c r="S86" s="9" t="s">
        <v>138</v>
      </c>
      <c r="T86" s="9" t="s">
        <v>139</v>
      </c>
      <c r="U86" s="9" t="s">
        <v>13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</row>
    <row r="87" spans="1:29" ht="15.5" x14ac:dyDescent="0.35">
      <c r="A87" s="15">
        <v>184</v>
      </c>
      <c r="B87" s="15" t="s">
        <v>140</v>
      </c>
      <c r="C87" s="7">
        <v>142</v>
      </c>
      <c r="D87" s="16">
        <v>1</v>
      </c>
      <c r="E87" s="15" t="s">
        <v>368</v>
      </c>
      <c r="F87" s="15">
        <v>900</v>
      </c>
      <c r="G87" s="15" t="s">
        <v>141</v>
      </c>
      <c r="H87" s="15" t="s">
        <v>142</v>
      </c>
      <c r="I87" s="15" t="s">
        <v>13</v>
      </c>
      <c r="J87" s="15"/>
      <c r="K87" s="15" t="s">
        <v>141</v>
      </c>
      <c r="L87" s="15" t="s">
        <v>142</v>
      </c>
      <c r="M87" s="15" t="s">
        <v>13</v>
      </c>
      <c r="N87" s="9">
        <v>0</v>
      </c>
      <c r="O87" s="9" t="s">
        <v>141</v>
      </c>
      <c r="P87" s="9" t="s">
        <v>142</v>
      </c>
      <c r="Q87" s="9" t="s">
        <v>13</v>
      </c>
      <c r="R87" s="9">
        <v>0</v>
      </c>
      <c r="S87" s="9" t="s">
        <v>141</v>
      </c>
      <c r="T87" s="9" t="s">
        <v>142</v>
      </c>
      <c r="U87" s="9" t="s">
        <v>13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</row>
    <row r="88" spans="1:29" ht="15.5" x14ac:dyDescent="0.35">
      <c r="A88" s="15">
        <v>185</v>
      </c>
      <c r="B88" s="15" t="s">
        <v>143</v>
      </c>
      <c r="C88" s="7">
        <v>149</v>
      </c>
      <c r="D88" s="16">
        <v>1</v>
      </c>
      <c r="E88" s="15" t="s">
        <v>368</v>
      </c>
      <c r="F88" s="15">
        <v>900</v>
      </c>
      <c r="G88" s="15" t="s">
        <v>141</v>
      </c>
      <c r="H88" s="15" t="s">
        <v>142</v>
      </c>
      <c r="I88" s="15" t="s">
        <v>13</v>
      </c>
      <c r="J88" s="15"/>
      <c r="K88" s="15" t="s">
        <v>141</v>
      </c>
      <c r="L88" s="15" t="s">
        <v>142</v>
      </c>
      <c r="M88" s="15" t="s">
        <v>13</v>
      </c>
      <c r="N88" s="9">
        <v>0</v>
      </c>
      <c r="O88" s="9" t="s">
        <v>141</v>
      </c>
      <c r="P88" s="9" t="s">
        <v>142</v>
      </c>
      <c r="Q88" s="9" t="s">
        <v>13</v>
      </c>
      <c r="R88" s="9">
        <v>0</v>
      </c>
      <c r="S88" s="9" t="s">
        <v>141</v>
      </c>
      <c r="T88" s="9" t="s">
        <v>142</v>
      </c>
      <c r="U88" s="9" t="s">
        <v>13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</row>
    <row r="89" spans="1:29" ht="15.5" x14ac:dyDescent="0.35">
      <c r="A89" s="15">
        <v>188</v>
      </c>
      <c r="B89" s="15" t="s">
        <v>402</v>
      </c>
      <c r="C89" s="7">
        <v>149</v>
      </c>
      <c r="D89" s="16">
        <v>1</v>
      </c>
      <c r="E89" s="15" t="s">
        <v>368</v>
      </c>
      <c r="F89" s="15">
        <v>900</v>
      </c>
      <c r="G89" s="15" t="s">
        <v>141</v>
      </c>
      <c r="H89" s="15" t="s">
        <v>142</v>
      </c>
      <c r="I89" s="15" t="s">
        <v>13</v>
      </c>
      <c r="J89" s="15"/>
      <c r="K89" s="15" t="s">
        <v>141</v>
      </c>
      <c r="L89" s="15" t="s">
        <v>142</v>
      </c>
      <c r="M89" s="15" t="s">
        <v>13</v>
      </c>
      <c r="N89" s="9">
        <v>0</v>
      </c>
      <c r="O89" s="9" t="s">
        <v>141</v>
      </c>
      <c r="P89" s="9" t="s">
        <v>142</v>
      </c>
      <c r="Q89" s="9" t="s">
        <v>13</v>
      </c>
      <c r="R89" s="9">
        <v>0</v>
      </c>
      <c r="S89" s="9" t="s">
        <v>141</v>
      </c>
      <c r="T89" s="9" t="s">
        <v>142</v>
      </c>
      <c r="U89" s="9" t="s">
        <v>13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</row>
    <row r="90" spans="1:29" ht="15.5" x14ac:dyDescent="0.35">
      <c r="A90" s="15">
        <v>190</v>
      </c>
      <c r="B90" s="15" t="s">
        <v>144</v>
      </c>
      <c r="C90" s="7">
        <v>172</v>
      </c>
      <c r="D90" s="32">
        <v>0.87</v>
      </c>
      <c r="E90" s="9" t="s">
        <v>367</v>
      </c>
      <c r="F90" s="15">
        <v>135</v>
      </c>
      <c r="G90" s="15" t="s">
        <v>145</v>
      </c>
      <c r="H90" s="15" t="s">
        <v>146</v>
      </c>
      <c r="I90" s="15" t="s">
        <v>13</v>
      </c>
      <c r="J90" s="15">
        <v>13.3</v>
      </c>
      <c r="K90" s="15" t="s">
        <v>145</v>
      </c>
      <c r="L90" s="15" t="s">
        <v>146</v>
      </c>
      <c r="M90" s="15" t="s">
        <v>13</v>
      </c>
      <c r="N90" s="9">
        <v>8.3699999999999992</v>
      </c>
      <c r="O90" s="33" t="s">
        <v>145</v>
      </c>
      <c r="P90" s="9" t="s">
        <v>146</v>
      </c>
      <c r="Q90" s="9" t="s">
        <v>13</v>
      </c>
      <c r="R90" s="9">
        <v>1.59</v>
      </c>
      <c r="S90" s="33" t="s">
        <v>145</v>
      </c>
      <c r="T90" s="9" t="s">
        <v>146</v>
      </c>
      <c r="U90" s="9" t="s">
        <v>13</v>
      </c>
      <c r="V90" s="9">
        <v>9.5299999999999994</v>
      </c>
      <c r="W90" s="9">
        <v>6.34</v>
      </c>
      <c r="X90" s="9">
        <v>6.72</v>
      </c>
      <c r="Y90" s="9">
        <v>4.6500000000000004</v>
      </c>
      <c r="Z90" s="9">
        <v>2.15</v>
      </c>
      <c r="AA90" s="9">
        <v>7.95</v>
      </c>
      <c r="AB90" s="9">
        <v>6.29</v>
      </c>
      <c r="AC90" s="9">
        <v>5.82</v>
      </c>
    </row>
    <row r="91" spans="1:29" ht="46.5" x14ac:dyDescent="0.35">
      <c r="A91" s="15">
        <v>191</v>
      </c>
      <c r="B91" s="15" t="s">
        <v>147</v>
      </c>
      <c r="C91" s="7">
        <v>155</v>
      </c>
      <c r="D91" s="32">
        <v>0.57999999999999996</v>
      </c>
      <c r="E91" s="9" t="s">
        <v>367</v>
      </c>
      <c r="F91" s="15">
        <v>108</v>
      </c>
      <c r="G91" s="15" t="s">
        <v>148</v>
      </c>
      <c r="H91" s="15" t="s">
        <v>149</v>
      </c>
      <c r="I91" s="15" t="s">
        <v>13</v>
      </c>
      <c r="J91" s="15">
        <v>19</v>
      </c>
      <c r="K91" s="22" t="s">
        <v>148</v>
      </c>
      <c r="L91" s="22" t="s">
        <v>149</v>
      </c>
      <c r="M91" s="22" t="s">
        <v>13</v>
      </c>
      <c r="N91" s="9">
        <v>6.64</v>
      </c>
      <c r="O91" s="17" t="s">
        <v>148</v>
      </c>
      <c r="P91" s="18" t="s">
        <v>149</v>
      </c>
      <c r="Q91" s="18" t="s">
        <v>13</v>
      </c>
      <c r="R91" s="18">
        <v>1.0900000000000001</v>
      </c>
      <c r="S91" s="17" t="s">
        <v>148</v>
      </c>
      <c r="T91" s="18" t="s">
        <v>149</v>
      </c>
      <c r="U91" s="18" t="s">
        <v>13</v>
      </c>
      <c r="V91" s="9">
        <v>4.41</v>
      </c>
      <c r="W91" s="9">
        <v>4.8899999999999997</v>
      </c>
      <c r="X91" s="9">
        <v>3.45</v>
      </c>
      <c r="Y91" s="9">
        <f>AVERAGE(4.77,3.63,4.35,3.6,2.03)</f>
        <v>3.6759999999999997</v>
      </c>
      <c r="Z91" s="9">
        <f>AVERAGE(4.64,4.65,4.78,4.55,4.09)</f>
        <v>4.5419999999999998</v>
      </c>
      <c r="AA91" s="9">
        <f>AVERAGE(6.27,7.72,7.83,8.03,7.91)</f>
        <v>7.5520000000000014</v>
      </c>
      <c r="AB91" s="9">
        <f>AVERAGE(5.25,5.04,5.4,5.26,4.6)</f>
        <v>5.1099999999999994</v>
      </c>
      <c r="AC91" s="9">
        <f>AVERAGE(5.39,5.06,5.47,5.07,5.63)</f>
        <v>5.3239999999999998</v>
      </c>
    </row>
    <row r="92" spans="1:29" ht="46.5" x14ac:dyDescent="0.35">
      <c r="A92" s="15">
        <v>192</v>
      </c>
      <c r="B92" s="15" t="s">
        <v>150</v>
      </c>
      <c r="C92" s="7">
        <v>247</v>
      </c>
      <c r="D92" s="16">
        <v>0.75</v>
      </c>
      <c r="E92" s="15" t="s">
        <v>367</v>
      </c>
      <c r="F92" s="15">
        <v>152</v>
      </c>
      <c r="G92" s="15" t="s">
        <v>151</v>
      </c>
      <c r="H92" s="15" t="s">
        <v>152</v>
      </c>
      <c r="I92" s="15" t="s">
        <v>13</v>
      </c>
      <c r="J92" s="15">
        <v>21.12</v>
      </c>
      <c r="K92" s="22" t="s">
        <v>151</v>
      </c>
      <c r="L92" s="22" t="s">
        <v>152</v>
      </c>
      <c r="M92" s="22" t="s">
        <v>13</v>
      </c>
      <c r="N92" s="9">
        <v>8.11</v>
      </c>
      <c r="O92" s="17" t="s">
        <v>151</v>
      </c>
      <c r="P92" s="18" t="s">
        <v>152</v>
      </c>
      <c r="Q92" s="18" t="s">
        <v>13</v>
      </c>
      <c r="R92" s="9">
        <v>1.46</v>
      </c>
      <c r="S92" s="17" t="s">
        <v>151</v>
      </c>
      <c r="T92" s="18" t="s">
        <v>152</v>
      </c>
      <c r="U92" s="18" t="s">
        <v>13</v>
      </c>
      <c r="V92" s="9">
        <v>9.48</v>
      </c>
      <c r="W92" s="9">
        <v>4.9000000000000004</v>
      </c>
      <c r="X92" s="9">
        <v>5.41</v>
      </c>
      <c r="Y92" s="9">
        <f>AVERAGE(4.71,5.09,5.38)</f>
        <v>5.0599999999999996</v>
      </c>
      <c r="Z92" s="9">
        <f>AVERAGE(3.33,3.53,3.63)</f>
        <v>3.4966666666666661</v>
      </c>
      <c r="AA92" s="9">
        <f>AVERAGE(7.66,6.24,6.81)</f>
        <v>6.9033333333333333</v>
      </c>
      <c r="AB92" s="9">
        <f>AVERAGE(7.29,7.06,7.76)</f>
        <v>7.37</v>
      </c>
      <c r="AC92" s="9">
        <f>AVERAGE(4.71,4.45,4.51)</f>
        <v>4.5566666666666666</v>
      </c>
    </row>
    <row r="93" spans="1:29" ht="15.5" x14ac:dyDescent="0.35">
      <c r="A93" s="15">
        <v>193</v>
      </c>
      <c r="B93" s="15" t="s">
        <v>153</v>
      </c>
      <c r="C93" s="7">
        <v>162</v>
      </c>
      <c r="D93" s="16">
        <v>1</v>
      </c>
      <c r="E93" s="15" t="s">
        <v>367</v>
      </c>
      <c r="F93" s="15">
        <v>155.69999999999999</v>
      </c>
      <c r="G93" s="15" t="s">
        <v>154</v>
      </c>
      <c r="H93" s="15" t="s">
        <v>155</v>
      </c>
      <c r="I93" s="15" t="s">
        <v>13</v>
      </c>
      <c r="J93" s="15">
        <v>21.15</v>
      </c>
      <c r="K93" s="22" t="s">
        <v>154</v>
      </c>
      <c r="L93" s="22" t="s">
        <v>155</v>
      </c>
      <c r="M93" s="15" t="s">
        <v>13</v>
      </c>
      <c r="N93" s="9">
        <v>8.2100000000000009</v>
      </c>
      <c r="O93" s="18" t="s">
        <v>154</v>
      </c>
      <c r="P93" s="18" t="s">
        <v>155</v>
      </c>
      <c r="Q93" s="9" t="s">
        <v>13</v>
      </c>
      <c r="R93" s="9">
        <v>1.47</v>
      </c>
      <c r="S93" s="18" t="s">
        <v>154</v>
      </c>
      <c r="T93" s="18" t="s">
        <v>155</v>
      </c>
      <c r="U93" s="9" t="s">
        <v>13</v>
      </c>
      <c r="V93" s="9">
        <v>9.43</v>
      </c>
      <c r="W93" s="9">
        <v>5.26</v>
      </c>
      <c r="X93" s="9">
        <v>5.38</v>
      </c>
      <c r="Y93" s="9">
        <f>AVERAGE(5.09,5.51,5.07)</f>
        <v>5.2233333333333336</v>
      </c>
      <c r="Z93" s="9">
        <f>AVERAGE(3.85,3.82,3.67)</f>
        <v>3.78</v>
      </c>
      <c r="AA93" s="9">
        <f>AVERAGE(7.57,5.67,6.43)</f>
        <v>6.5566666666666675</v>
      </c>
      <c r="AB93" s="9">
        <f>AVERAGE(7.84,6.51,7)</f>
        <v>7.1166666666666671</v>
      </c>
      <c r="AC93" s="9">
        <f>AVERAGE(4.91,5.32,4.67)</f>
        <v>4.9666666666666668</v>
      </c>
    </row>
    <row r="94" spans="1:29" ht="46.5" x14ac:dyDescent="0.35">
      <c r="A94" s="15">
        <v>194</v>
      </c>
      <c r="B94" s="15" t="s">
        <v>156</v>
      </c>
      <c r="C94" s="7">
        <v>247</v>
      </c>
      <c r="D94" s="16">
        <v>1</v>
      </c>
      <c r="E94" s="15" t="s">
        <v>367</v>
      </c>
      <c r="F94" s="15">
        <v>211.7</v>
      </c>
      <c r="G94" s="15" t="s">
        <v>157</v>
      </c>
      <c r="H94" s="15" t="s">
        <v>158</v>
      </c>
      <c r="I94" s="15" t="s">
        <v>13</v>
      </c>
      <c r="J94" s="15">
        <v>18.47</v>
      </c>
      <c r="K94" s="22" t="s">
        <v>157</v>
      </c>
      <c r="L94" s="22" t="s">
        <v>158</v>
      </c>
      <c r="M94" s="22" t="s">
        <v>13</v>
      </c>
      <c r="N94" s="9">
        <v>8.14</v>
      </c>
      <c r="O94" s="18" t="s">
        <v>442</v>
      </c>
      <c r="P94" s="17" t="s">
        <v>158</v>
      </c>
      <c r="Q94" s="18" t="s">
        <v>13</v>
      </c>
      <c r="R94" s="9">
        <v>1.37</v>
      </c>
      <c r="S94" s="18" t="s">
        <v>442</v>
      </c>
      <c r="T94" s="17" t="s">
        <v>158</v>
      </c>
      <c r="U94" s="18" t="s">
        <v>13</v>
      </c>
      <c r="V94" s="9">
        <v>9.42</v>
      </c>
      <c r="W94" s="9">
        <v>4.53</v>
      </c>
      <c r="X94" s="9">
        <v>5.79</v>
      </c>
      <c r="Y94" s="9">
        <f>AVERAGE(4.38,4.42,4.91)</f>
        <v>4.57</v>
      </c>
      <c r="Z94" s="9">
        <f>AVERAGE(3.86,4.08,4.47)</f>
        <v>4.1366666666666667</v>
      </c>
      <c r="AA94" s="9">
        <f>AVERAGE(5.5,5.97,6.49)</f>
        <v>5.9866666666666672</v>
      </c>
      <c r="AB94" s="9">
        <f>AVERAGE(6.51,7.3,7.62)</f>
        <v>7.1433333333333335</v>
      </c>
      <c r="AC94" s="9">
        <f>AVERAGE(4.41,4.37,5.09)</f>
        <v>4.623333333333334</v>
      </c>
    </row>
    <row r="95" spans="1:29" ht="15.5" x14ac:dyDescent="0.35">
      <c r="A95" s="15">
        <v>195</v>
      </c>
      <c r="B95" s="15" t="s">
        <v>159</v>
      </c>
      <c r="C95" s="7">
        <v>182</v>
      </c>
      <c r="D95" s="16">
        <v>0.77</v>
      </c>
      <c r="E95" s="15" t="s">
        <v>367</v>
      </c>
      <c r="F95" s="15">
        <v>250</v>
      </c>
      <c r="G95" s="15" t="s">
        <v>160</v>
      </c>
      <c r="H95" s="22" t="s">
        <v>161</v>
      </c>
      <c r="I95" s="15" t="s">
        <v>13</v>
      </c>
      <c r="J95" s="15">
        <v>19.809999999999999</v>
      </c>
      <c r="K95" s="22" t="s">
        <v>160</v>
      </c>
      <c r="L95" s="22" t="s">
        <v>161</v>
      </c>
      <c r="M95" s="22" t="s">
        <v>13</v>
      </c>
      <c r="N95" s="9">
        <v>7.22</v>
      </c>
      <c r="O95" s="18" t="s">
        <v>160</v>
      </c>
      <c r="P95" s="18" t="s">
        <v>161</v>
      </c>
      <c r="Q95" s="18" t="s">
        <v>13</v>
      </c>
      <c r="R95" s="9">
        <v>3.56</v>
      </c>
      <c r="S95" s="18" t="s">
        <v>160</v>
      </c>
      <c r="T95" s="18" t="s">
        <v>161</v>
      </c>
      <c r="U95" s="18" t="s">
        <v>13</v>
      </c>
      <c r="V95" s="9">
        <v>9.19</v>
      </c>
      <c r="W95" s="9">
        <v>5.75</v>
      </c>
      <c r="X95" s="9">
        <v>6.13</v>
      </c>
      <c r="Y95" s="9">
        <f>AVERAGE(4.47,4.57,4.87)</f>
        <v>4.6366666666666667</v>
      </c>
      <c r="Z95" s="9">
        <f>AVERAGE(2.76,2.54,3.57)</f>
        <v>2.9566666666666666</v>
      </c>
      <c r="AA95" s="9">
        <f>AVERAGE(7.84,7.87,7.89)</f>
        <v>7.8666666666666671</v>
      </c>
      <c r="AB95" s="9">
        <f>AVERAGE(7.07, 7.01,7.23)</f>
        <v>7.1033333333333344</v>
      </c>
      <c r="AC95" s="9">
        <f>AVERAGE(4.92,4.63,4.97)</f>
        <v>4.84</v>
      </c>
    </row>
    <row r="96" spans="1:29" ht="15.5" x14ac:dyDescent="0.35">
      <c r="A96" s="15">
        <v>196</v>
      </c>
      <c r="B96" s="15" t="s">
        <v>162</v>
      </c>
      <c r="C96" s="7">
        <v>180</v>
      </c>
      <c r="D96" s="16">
        <v>0.75</v>
      </c>
      <c r="E96" s="15"/>
      <c r="F96" s="15">
        <v>105</v>
      </c>
      <c r="G96" s="15" t="s">
        <v>163</v>
      </c>
      <c r="H96" s="15" t="s">
        <v>164</v>
      </c>
      <c r="I96" s="15" t="s">
        <v>13</v>
      </c>
      <c r="J96" s="15">
        <v>12.25</v>
      </c>
      <c r="K96" s="22" t="s">
        <v>163</v>
      </c>
      <c r="L96" s="22" t="s">
        <v>164</v>
      </c>
      <c r="M96" s="22" t="s">
        <v>13</v>
      </c>
      <c r="N96" s="9">
        <v>7.46</v>
      </c>
      <c r="O96" s="18" t="s">
        <v>163</v>
      </c>
      <c r="P96" s="18" t="s">
        <v>164</v>
      </c>
      <c r="Q96" s="18" t="s">
        <v>13</v>
      </c>
      <c r="R96" s="9">
        <v>1.1599999999999999</v>
      </c>
      <c r="S96" s="18" t="s">
        <v>163</v>
      </c>
      <c r="T96" s="18" t="s">
        <v>164</v>
      </c>
      <c r="U96" s="18" t="s">
        <v>13</v>
      </c>
      <c r="V96" s="9">
        <v>4.25</v>
      </c>
      <c r="W96" s="9">
        <v>4.3899999999999997</v>
      </c>
      <c r="X96" s="9">
        <v>3.89</v>
      </c>
      <c r="Y96" s="9">
        <f>AVERAGE(4.93,2.33,2.34)</f>
        <v>3.1999999999999997</v>
      </c>
      <c r="Z96" s="9">
        <f>AVERAGE(2.2,4.54,4.56)</f>
        <v>3.7666666666666671</v>
      </c>
      <c r="AA96" s="9">
        <f>AVERAGE(7.08,6.35,7.52)</f>
        <v>6.9833333333333334</v>
      </c>
      <c r="AB96" s="9">
        <f>AVERAGE(7.42,4.72,3.87)</f>
        <v>5.3366666666666669</v>
      </c>
      <c r="AC96" s="9">
        <f>AVERAGE(4.79,5.31,4.32)</f>
        <v>4.8066666666666666</v>
      </c>
    </row>
    <row r="97" spans="1:29" ht="15.5" x14ac:dyDescent="0.35">
      <c r="A97" s="15">
        <v>200</v>
      </c>
      <c r="B97" s="15" t="s">
        <v>165</v>
      </c>
      <c r="C97" s="7">
        <v>58</v>
      </c>
      <c r="D97" s="16">
        <v>0.9</v>
      </c>
      <c r="E97" s="15" t="s">
        <v>366</v>
      </c>
      <c r="F97" s="15">
        <v>64.45</v>
      </c>
      <c r="G97" s="15" t="s">
        <v>166</v>
      </c>
      <c r="H97" s="15" t="s">
        <v>167</v>
      </c>
      <c r="I97" s="15" t="s">
        <v>13</v>
      </c>
      <c r="J97" s="15">
        <v>2.89</v>
      </c>
      <c r="K97" s="22" t="s">
        <v>166</v>
      </c>
      <c r="L97" s="22" t="s">
        <v>167</v>
      </c>
      <c r="M97" s="22" t="s">
        <v>13</v>
      </c>
      <c r="N97" s="9">
        <v>5.64</v>
      </c>
      <c r="O97" s="18" t="s">
        <v>166</v>
      </c>
      <c r="P97" s="18" t="s">
        <v>167</v>
      </c>
      <c r="Q97" s="18" t="s">
        <v>13</v>
      </c>
      <c r="R97" s="18">
        <v>1.1100000000000001</v>
      </c>
      <c r="S97" s="18" t="s">
        <v>166</v>
      </c>
      <c r="T97" s="18" t="s">
        <v>167</v>
      </c>
      <c r="U97" s="18" t="s">
        <v>13</v>
      </c>
      <c r="V97" s="9">
        <v>0.78</v>
      </c>
      <c r="W97" s="9">
        <v>3.79</v>
      </c>
      <c r="X97" s="9">
        <v>1.08</v>
      </c>
      <c r="Y97" s="9">
        <f>AVERAGE(1.56,1.37)</f>
        <v>1.4650000000000001</v>
      </c>
      <c r="Z97" s="9">
        <f>AVERAGE(3.34,3.77)</f>
        <v>3.5549999999999997</v>
      </c>
      <c r="AA97" s="9">
        <f>AVERAGE(6.44,7.36)</f>
        <v>6.9</v>
      </c>
      <c r="AB97" s="9">
        <f>AVERAGE(5.61,4.11)</f>
        <v>4.8600000000000003</v>
      </c>
      <c r="AC97" s="9">
        <f>AVERAGE(4.29,4.23)</f>
        <v>4.26</v>
      </c>
    </row>
    <row r="98" spans="1:29" ht="15.5" x14ac:dyDescent="0.35">
      <c r="A98" s="15">
        <v>201</v>
      </c>
      <c r="B98" s="15" t="s">
        <v>168</v>
      </c>
      <c r="C98" s="7">
        <v>58</v>
      </c>
      <c r="D98" s="16">
        <v>0.89</v>
      </c>
      <c r="E98" s="15" t="s">
        <v>366</v>
      </c>
      <c r="F98" s="15">
        <v>52.5</v>
      </c>
      <c r="G98" s="15" t="s">
        <v>169</v>
      </c>
      <c r="H98" s="15" t="s">
        <v>170</v>
      </c>
      <c r="I98" s="15" t="s">
        <v>13</v>
      </c>
      <c r="J98" s="15">
        <v>1.65</v>
      </c>
      <c r="K98" s="22" t="s">
        <v>169</v>
      </c>
      <c r="L98" s="22" t="s">
        <v>170</v>
      </c>
      <c r="M98" s="22" t="s">
        <v>13</v>
      </c>
      <c r="N98" s="9">
        <v>3.07</v>
      </c>
      <c r="O98" s="9" t="s">
        <v>432</v>
      </c>
      <c r="P98" s="9" t="s">
        <v>433</v>
      </c>
      <c r="Q98" s="9" t="s">
        <v>13</v>
      </c>
      <c r="R98" s="9">
        <v>0.98</v>
      </c>
      <c r="S98" s="18" t="s">
        <v>169</v>
      </c>
      <c r="T98" s="18" t="s">
        <v>170</v>
      </c>
      <c r="U98" s="18" t="s">
        <v>13</v>
      </c>
      <c r="V98" s="9">
        <v>1.1299999999999999</v>
      </c>
      <c r="W98" s="9">
        <v>2.86</v>
      </c>
      <c r="X98" s="9">
        <v>1.38</v>
      </c>
      <c r="Y98" s="9">
        <f>AVERAGE(1.76,1.53)</f>
        <v>1.645</v>
      </c>
      <c r="Z98" s="9">
        <f>AVERAGE(2.08,3.91)</f>
        <v>2.9950000000000001</v>
      </c>
      <c r="AA98" s="9">
        <f>AVERAGE(3.25,5.02)</f>
        <v>4.1349999999999998</v>
      </c>
      <c r="AB98" s="9">
        <f>AVERAGE(4.13,2.77)</f>
        <v>3.45</v>
      </c>
      <c r="AC98" s="9">
        <f>AVERAGE(3.93,2.75)</f>
        <v>3.34</v>
      </c>
    </row>
    <row r="99" spans="1:29" ht="15.5" x14ac:dyDescent="0.35">
      <c r="A99" s="15">
        <v>202</v>
      </c>
      <c r="B99" s="15" t="s">
        <v>171</v>
      </c>
      <c r="C99" s="7">
        <v>210</v>
      </c>
      <c r="D99" s="16">
        <v>0.91</v>
      </c>
      <c r="E99" s="15" t="s">
        <v>366</v>
      </c>
      <c r="F99" s="15">
        <v>19.45</v>
      </c>
      <c r="G99" s="15" t="s">
        <v>172</v>
      </c>
      <c r="H99" s="15" t="s">
        <v>173</v>
      </c>
      <c r="I99" s="15" t="s">
        <v>13</v>
      </c>
      <c r="J99" s="15">
        <v>0.83</v>
      </c>
      <c r="K99" s="22" t="s">
        <v>172</v>
      </c>
      <c r="L99" s="22" t="s">
        <v>173</v>
      </c>
      <c r="M99" s="22" t="s">
        <v>13</v>
      </c>
      <c r="N99" s="9">
        <v>2.44</v>
      </c>
      <c r="O99" s="18" t="s">
        <v>172</v>
      </c>
      <c r="P99" s="18" t="s">
        <v>173</v>
      </c>
      <c r="Q99" s="18" t="s">
        <v>13</v>
      </c>
      <c r="R99" s="9">
        <v>0.98</v>
      </c>
      <c r="S99" s="18" t="s">
        <v>172</v>
      </c>
      <c r="T99" s="18" t="s">
        <v>173</v>
      </c>
      <c r="U99" s="18" t="s">
        <v>13</v>
      </c>
      <c r="V99" s="9">
        <v>0.87</v>
      </c>
      <c r="W99" s="9">
        <v>2.61</v>
      </c>
      <c r="X99" s="9">
        <v>0.67</v>
      </c>
      <c r="Y99" s="9">
        <f>AVERAGE(1.58,1.36)</f>
        <v>1.4700000000000002</v>
      </c>
      <c r="Z99" s="9">
        <f>AVERAGE(2.29,2.69)</f>
        <v>2.4900000000000002</v>
      </c>
      <c r="AA99" s="9">
        <f>AVERAGE(4.18,4.71)</f>
        <v>4.4450000000000003</v>
      </c>
      <c r="AB99" s="9">
        <f>AVERAGE(4.54,4.3)</f>
        <v>4.42</v>
      </c>
      <c r="AC99" s="9">
        <f>AVERAGE(2.74,3.26)</f>
        <v>3</v>
      </c>
    </row>
    <row r="100" spans="1:29" ht="15.5" x14ac:dyDescent="0.35">
      <c r="A100" s="15">
        <v>203</v>
      </c>
      <c r="B100" s="15" t="s">
        <v>174</v>
      </c>
      <c r="C100" s="7">
        <v>58</v>
      </c>
      <c r="D100" s="16">
        <v>0.94</v>
      </c>
      <c r="E100" s="15" t="s">
        <v>367</v>
      </c>
      <c r="F100" s="15">
        <v>25.98</v>
      </c>
      <c r="G100" s="15" t="s">
        <v>175</v>
      </c>
      <c r="H100" s="15" t="s">
        <v>176</v>
      </c>
      <c r="I100" s="15" t="s">
        <v>13</v>
      </c>
      <c r="J100" s="15">
        <v>1.53</v>
      </c>
      <c r="K100" s="22" t="s">
        <v>175</v>
      </c>
      <c r="L100" s="22" t="s">
        <v>176</v>
      </c>
      <c r="M100" s="22" t="s">
        <v>13</v>
      </c>
      <c r="N100" s="9">
        <v>4.1399999999999997</v>
      </c>
      <c r="O100" s="18" t="s">
        <v>175</v>
      </c>
      <c r="P100" s="18" t="s">
        <v>176</v>
      </c>
      <c r="Q100" s="18" t="s">
        <v>13</v>
      </c>
      <c r="R100" s="9">
        <v>0.81</v>
      </c>
      <c r="S100" s="18" t="s">
        <v>175</v>
      </c>
      <c r="T100" s="18" t="s">
        <v>176</v>
      </c>
      <c r="U100" s="18" t="s">
        <v>13</v>
      </c>
      <c r="V100" s="9">
        <v>0.7</v>
      </c>
      <c r="W100">
        <v>3.05</v>
      </c>
      <c r="X100">
        <v>0.83</v>
      </c>
      <c r="Y100" s="9">
        <f>AVERAGE(2.39,1.72,1.79,2.71,2.3)</f>
        <v>2.1819999999999999</v>
      </c>
      <c r="Z100" s="9">
        <f>AVERAGE(3.38,3.35,3.98,3.09,4.12)</f>
        <v>3.5840000000000005</v>
      </c>
      <c r="AA100" s="9">
        <f>AVERAGE(6.51,5.63,5.24,5.68,5.77)</f>
        <v>5.766</v>
      </c>
      <c r="AB100" s="9">
        <f>AVERAGE(4.31,4.46,4.75,4.43,5.47)</f>
        <v>4.6839999999999993</v>
      </c>
      <c r="AC100" s="9">
        <f>AVERAGE(5.66,4.5,4.36,5.42,5.98)</f>
        <v>5.1839999999999993</v>
      </c>
    </row>
    <row r="101" spans="1:29" ht="15.5" x14ac:dyDescent="0.35">
      <c r="A101" s="15">
        <v>204</v>
      </c>
      <c r="B101" s="15" t="s">
        <v>177</v>
      </c>
      <c r="C101" s="7">
        <v>58</v>
      </c>
      <c r="D101" s="16">
        <v>0.99</v>
      </c>
      <c r="E101" s="15" t="s">
        <v>367</v>
      </c>
      <c r="F101" s="15">
        <v>32.299999999999997</v>
      </c>
      <c r="G101" s="15" t="s">
        <v>178</v>
      </c>
      <c r="H101" s="15" t="s">
        <v>179</v>
      </c>
      <c r="I101" s="15" t="s">
        <v>13</v>
      </c>
      <c r="J101" s="15">
        <v>0.77</v>
      </c>
      <c r="K101" s="22" t="s">
        <v>178</v>
      </c>
      <c r="L101" s="22" t="s">
        <v>179</v>
      </c>
      <c r="M101" s="22" t="s">
        <v>13</v>
      </c>
      <c r="N101" s="9">
        <v>3.02</v>
      </c>
      <c r="O101" s="18" t="s">
        <v>178</v>
      </c>
      <c r="P101" s="18" t="s">
        <v>179</v>
      </c>
      <c r="Q101" s="18" t="s">
        <v>13</v>
      </c>
      <c r="R101" s="9">
        <v>0.52</v>
      </c>
      <c r="S101" s="18" t="s">
        <v>178</v>
      </c>
      <c r="T101" s="18" t="s">
        <v>179</v>
      </c>
      <c r="U101" s="18" t="s">
        <v>13</v>
      </c>
      <c r="V101" s="9">
        <v>0.85</v>
      </c>
      <c r="W101" s="9">
        <v>4.03</v>
      </c>
      <c r="X101" s="9">
        <v>0.77</v>
      </c>
      <c r="Y101" s="9">
        <v>1.78</v>
      </c>
      <c r="Z101" s="9">
        <v>3.33</v>
      </c>
      <c r="AA101" s="9">
        <v>6.14</v>
      </c>
      <c r="AB101" s="9">
        <v>3.26</v>
      </c>
      <c r="AC101" s="9">
        <v>5.57</v>
      </c>
    </row>
    <row r="102" spans="1:29" ht="15.5" x14ac:dyDescent="0.35">
      <c r="A102" s="15">
        <v>205</v>
      </c>
      <c r="B102" s="15" t="s">
        <v>180</v>
      </c>
      <c r="C102" s="7">
        <v>58</v>
      </c>
      <c r="D102" s="16">
        <v>0.92</v>
      </c>
      <c r="E102" s="15" t="s">
        <v>366</v>
      </c>
      <c r="F102" s="15">
        <v>35.6</v>
      </c>
      <c r="G102" s="15" t="s">
        <v>181</v>
      </c>
      <c r="H102" s="15" t="s">
        <v>182</v>
      </c>
      <c r="I102" s="15" t="s">
        <v>13</v>
      </c>
      <c r="J102" s="15">
        <v>0.52</v>
      </c>
      <c r="K102" s="22" t="s">
        <v>181</v>
      </c>
      <c r="L102" s="22" t="s">
        <v>182</v>
      </c>
      <c r="M102" s="22" t="s">
        <v>13</v>
      </c>
      <c r="N102" s="9">
        <v>2.0499999999999998</v>
      </c>
      <c r="O102" s="18" t="s">
        <v>181</v>
      </c>
      <c r="P102" s="18" t="s">
        <v>182</v>
      </c>
      <c r="Q102" s="18" t="s">
        <v>13</v>
      </c>
      <c r="R102" s="9">
        <v>1.07</v>
      </c>
      <c r="S102" s="18" t="s">
        <v>181</v>
      </c>
      <c r="T102" s="18" t="s">
        <v>182</v>
      </c>
      <c r="U102" s="18" t="s">
        <v>13</v>
      </c>
      <c r="V102" s="9">
        <v>0.84</v>
      </c>
      <c r="W102" s="9">
        <v>3.49</v>
      </c>
      <c r="X102" s="9">
        <v>0.84</v>
      </c>
      <c r="Y102" s="9">
        <f>AVERAGE(1.38,1.34)</f>
        <v>1.3599999999999999</v>
      </c>
      <c r="Z102" s="9">
        <f>AVERAGE(3.56,3.04)</f>
        <v>3.3</v>
      </c>
      <c r="AA102" s="9">
        <f>AVERAGE(4.84,4.14)</f>
        <v>4.49</v>
      </c>
      <c r="AB102" s="9">
        <f>AVERAGE(2.84,2.21)</f>
        <v>2.5249999999999999</v>
      </c>
      <c r="AC102" s="9">
        <f>AVERAGE(4.58,4.47)</f>
        <v>4.5250000000000004</v>
      </c>
    </row>
    <row r="103" spans="1:29" ht="15.5" x14ac:dyDescent="0.35">
      <c r="A103" s="15">
        <v>206</v>
      </c>
      <c r="B103" s="15" t="s">
        <v>183</v>
      </c>
      <c r="C103" s="7">
        <v>58</v>
      </c>
      <c r="D103" s="16">
        <v>0.87</v>
      </c>
      <c r="E103" s="15" t="s">
        <v>367</v>
      </c>
      <c r="F103" s="15">
        <v>24</v>
      </c>
      <c r="G103" s="15" t="s">
        <v>184</v>
      </c>
      <c r="H103" s="15" t="s">
        <v>185</v>
      </c>
      <c r="I103" s="15" t="s">
        <v>13</v>
      </c>
      <c r="J103" s="15">
        <v>2.1</v>
      </c>
      <c r="K103" s="15" t="s">
        <v>184</v>
      </c>
      <c r="L103" s="15" t="s">
        <v>185</v>
      </c>
      <c r="M103" s="15" t="s">
        <v>13</v>
      </c>
      <c r="N103" s="9">
        <v>4.68</v>
      </c>
      <c r="O103" s="9" t="s">
        <v>184</v>
      </c>
      <c r="P103" s="9" t="s">
        <v>434</v>
      </c>
      <c r="Q103" s="9" t="s">
        <v>13</v>
      </c>
      <c r="R103" s="9">
        <v>1.53</v>
      </c>
      <c r="S103" s="9" t="s">
        <v>184</v>
      </c>
      <c r="T103" s="9" t="s">
        <v>434</v>
      </c>
      <c r="U103" s="9" t="s">
        <v>13</v>
      </c>
      <c r="V103" s="9">
        <v>0.84</v>
      </c>
      <c r="W103" s="9">
        <v>4.7</v>
      </c>
      <c r="X103" s="9">
        <v>1.33</v>
      </c>
      <c r="Y103" s="9">
        <v>2.1800000000000002</v>
      </c>
      <c r="Z103" s="9">
        <v>4.3099999999999996</v>
      </c>
      <c r="AA103" s="9">
        <v>8.6999999999999993</v>
      </c>
      <c r="AB103" s="9">
        <v>5.38</v>
      </c>
      <c r="AC103" s="9">
        <v>5.38</v>
      </c>
    </row>
    <row r="104" spans="1:29" ht="15.5" x14ac:dyDescent="0.35">
      <c r="A104" s="15">
        <v>207</v>
      </c>
      <c r="B104" s="15" t="s">
        <v>186</v>
      </c>
      <c r="C104" s="7">
        <v>58</v>
      </c>
      <c r="D104" s="16">
        <v>0.73</v>
      </c>
      <c r="E104" s="15" t="s">
        <v>366</v>
      </c>
      <c r="F104" s="15">
        <v>41.9</v>
      </c>
      <c r="G104" s="15" t="s">
        <v>187</v>
      </c>
      <c r="H104" s="15" t="s">
        <v>188</v>
      </c>
      <c r="I104" s="15" t="s">
        <v>13</v>
      </c>
      <c r="J104" s="15">
        <v>2.33</v>
      </c>
      <c r="K104" s="22" t="s">
        <v>187</v>
      </c>
      <c r="L104" s="22" t="s">
        <v>188</v>
      </c>
      <c r="M104" s="22" t="s">
        <v>13</v>
      </c>
      <c r="N104" s="9">
        <v>3.65</v>
      </c>
      <c r="O104" s="18" t="s">
        <v>187</v>
      </c>
      <c r="P104" s="18" t="s">
        <v>188</v>
      </c>
      <c r="Q104" s="18" t="s">
        <v>13</v>
      </c>
      <c r="R104" s="9">
        <v>0.75</v>
      </c>
      <c r="S104" s="18" t="s">
        <v>187</v>
      </c>
      <c r="T104" s="18" t="s">
        <v>188</v>
      </c>
      <c r="U104" s="18" t="s">
        <v>13</v>
      </c>
      <c r="V104" s="9">
        <v>1.41</v>
      </c>
      <c r="W104" s="9">
        <v>3.73</v>
      </c>
      <c r="X104" s="9">
        <v>1.1100000000000001</v>
      </c>
      <c r="Y104" s="9">
        <f>AVERAGE(1.62,1.76,1.82)</f>
        <v>1.7333333333333334</v>
      </c>
      <c r="Z104" s="9">
        <f>AVERAGE(3.16,2.99,3.08)</f>
        <v>3.0766666666666667</v>
      </c>
      <c r="AA104" s="9">
        <f>AVERAGE(5.02,4.94,4.99)</f>
        <v>4.9833333333333334</v>
      </c>
      <c r="AB104" s="9">
        <f>AVERAGE(4.25,4.54,4.59)</f>
        <v>4.46</v>
      </c>
      <c r="AC104" s="9">
        <f>AVERAGE(4.22,4.07,3.88)</f>
        <v>4.0566666666666658</v>
      </c>
    </row>
    <row r="105" spans="1:29" ht="15.5" x14ac:dyDescent="0.35">
      <c r="A105" s="15">
        <v>208</v>
      </c>
      <c r="B105" s="15" t="s">
        <v>189</v>
      </c>
      <c r="C105" s="7">
        <v>58</v>
      </c>
      <c r="D105" s="16">
        <v>0.84</v>
      </c>
      <c r="E105" s="15" t="s">
        <v>367</v>
      </c>
      <c r="F105" s="15">
        <v>27</v>
      </c>
      <c r="G105" s="15" t="s">
        <v>190</v>
      </c>
      <c r="H105" s="15" t="s">
        <v>191</v>
      </c>
      <c r="I105" s="15" t="s">
        <v>13</v>
      </c>
      <c r="J105" s="15">
        <v>2.1</v>
      </c>
      <c r="K105" s="15" t="s">
        <v>190</v>
      </c>
      <c r="L105" s="15" t="s">
        <v>191</v>
      </c>
      <c r="M105" s="15" t="s">
        <v>13</v>
      </c>
      <c r="N105" s="9">
        <v>3.79</v>
      </c>
      <c r="O105" s="9" t="s">
        <v>190</v>
      </c>
      <c r="P105" s="9" t="s">
        <v>191</v>
      </c>
      <c r="Q105" s="9" t="s">
        <v>13</v>
      </c>
      <c r="R105" s="9">
        <v>0.49</v>
      </c>
      <c r="S105" s="9" t="s">
        <v>190</v>
      </c>
      <c r="T105" s="9" t="s">
        <v>191</v>
      </c>
      <c r="U105" s="9" t="s">
        <v>13</v>
      </c>
      <c r="V105" s="9">
        <v>0.56999999999999995</v>
      </c>
      <c r="W105" s="9">
        <v>3.75</v>
      </c>
      <c r="X105" s="9">
        <v>1.1100000000000001</v>
      </c>
      <c r="Y105" s="9">
        <v>2.42</v>
      </c>
      <c r="Z105" s="9">
        <v>3.26</v>
      </c>
      <c r="AA105" s="9">
        <v>5.04</v>
      </c>
      <c r="AB105" s="9">
        <v>3.44</v>
      </c>
      <c r="AC105" s="9">
        <v>4.46</v>
      </c>
    </row>
    <row r="106" spans="1:29" ht="15.5" x14ac:dyDescent="0.35">
      <c r="A106" s="15">
        <v>210</v>
      </c>
      <c r="B106" s="15" t="s">
        <v>192</v>
      </c>
      <c r="C106" s="7">
        <v>58</v>
      </c>
      <c r="D106" s="16">
        <v>0.95</v>
      </c>
      <c r="E106" s="15" t="s">
        <v>367</v>
      </c>
      <c r="F106" s="15">
        <v>24</v>
      </c>
      <c r="G106" s="15" t="s">
        <v>193</v>
      </c>
      <c r="H106" s="15" t="s">
        <v>194</v>
      </c>
      <c r="I106" s="15" t="s">
        <v>13</v>
      </c>
      <c r="J106" s="15">
        <v>1.4</v>
      </c>
      <c r="K106" s="15" t="s">
        <v>193</v>
      </c>
      <c r="L106" s="15" t="s">
        <v>194</v>
      </c>
      <c r="M106" s="15" t="s">
        <v>13</v>
      </c>
      <c r="N106" s="9">
        <v>5.89</v>
      </c>
      <c r="O106" s="9" t="s">
        <v>193</v>
      </c>
      <c r="P106" s="9" t="s">
        <v>194</v>
      </c>
      <c r="Q106" s="9" t="s">
        <v>13</v>
      </c>
      <c r="R106" s="9">
        <v>0.59</v>
      </c>
      <c r="S106" s="9" t="s">
        <v>193</v>
      </c>
      <c r="T106" s="9" t="s">
        <v>194</v>
      </c>
      <c r="U106" s="9" t="s">
        <v>13</v>
      </c>
      <c r="V106" s="9">
        <v>0.86</v>
      </c>
      <c r="W106" s="9">
        <v>3.82</v>
      </c>
      <c r="X106" s="9">
        <v>1.33</v>
      </c>
      <c r="Y106" s="9">
        <v>1.75</v>
      </c>
      <c r="Z106" s="9">
        <v>4.41</v>
      </c>
      <c r="AA106" s="9">
        <v>7.22</v>
      </c>
      <c r="AB106" s="9">
        <v>3.86</v>
      </c>
      <c r="AC106" s="9">
        <v>5.95</v>
      </c>
    </row>
    <row r="107" spans="1:29" ht="15.5" x14ac:dyDescent="0.35">
      <c r="A107" s="15">
        <v>211</v>
      </c>
      <c r="B107" s="15" t="s">
        <v>195</v>
      </c>
      <c r="C107" s="7">
        <v>58</v>
      </c>
      <c r="D107" s="16">
        <v>0.45</v>
      </c>
      <c r="E107" s="15" t="s">
        <v>367</v>
      </c>
      <c r="F107" s="15">
        <v>23</v>
      </c>
      <c r="G107" s="15" t="s">
        <v>196</v>
      </c>
      <c r="H107" s="15" t="s">
        <v>197</v>
      </c>
      <c r="I107" s="15" t="s">
        <v>13</v>
      </c>
      <c r="J107" s="15">
        <v>2.2000000000000002</v>
      </c>
      <c r="K107" s="15" t="s">
        <v>196</v>
      </c>
      <c r="L107" s="15" t="s">
        <v>197</v>
      </c>
      <c r="M107" s="15" t="s">
        <v>13</v>
      </c>
      <c r="N107" s="9">
        <v>4.13</v>
      </c>
      <c r="O107" s="9" t="s">
        <v>196</v>
      </c>
      <c r="P107" s="9" t="s">
        <v>197</v>
      </c>
      <c r="Q107" s="9" t="s">
        <v>13</v>
      </c>
      <c r="R107" s="9">
        <v>1.06</v>
      </c>
      <c r="S107" s="9" t="s">
        <v>196</v>
      </c>
      <c r="T107" s="9" t="s">
        <v>197</v>
      </c>
      <c r="U107" s="9" t="s">
        <v>13</v>
      </c>
      <c r="V107" s="9">
        <v>0.56000000000000005</v>
      </c>
      <c r="W107" s="9">
        <v>4.0199999999999996</v>
      </c>
      <c r="X107" s="9">
        <v>1.01</v>
      </c>
      <c r="Y107" s="9">
        <v>1.8</v>
      </c>
      <c r="Z107" s="9">
        <v>3.84</v>
      </c>
      <c r="AA107" s="9">
        <v>6.01</v>
      </c>
      <c r="AB107" s="9">
        <v>3.88</v>
      </c>
      <c r="AC107" s="9">
        <v>5.81</v>
      </c>
    </row>
    <row r="108" spans="1:29" ht="15.5" x14ac:dyDescent="0.35">
      <c r="A108" s="15">
        <v>212</v>
      </c>
      <c r="B108" s="15" t="s">
        <v>198</v>
      </c>
      <c r="C108" s="7">
        <v>58</v>
      </c>
      <c r="D108" s="16">
        <v>0.88</v>
      </c>
      <c r="E108" s="15" t="s">
        <v>367</v>
      </c>
      <c r="F108" s="15">
        <v>22</v>
      </c>
      <c r="G108" s="15" t="s">
        <v>199</v>
      </c>
      <c r="H108" s="15" t="s">
        <v>200</v>
      </c>
      <c r="I108" s="15" t="s">
        <v>13</v>
      </c>
      <c r="J108" s="15">
        <v>1.4</v>
      </c>
      <c r="K108" s="15" t="s">
        <v>199</v>
      </c>
      <c r="L108" s="15" t="s">
        <v>200</v>
      </c>
      <c r="M108" s="15" t="s">
        <v>13</v>
      </c>
      <c r="N108" s="9">
        <v>3.12</v>
      </c>
      <c r="O108" s="9" t="s">
        <v>199</v>
      </c>
      <c r="P108" s="9" t="s">
        <v>200</v>
      </c>
      <c r="Q108" s="9" t="s">
        <v>13</v>
      </c>
      <c r="R108" s="9">
        <v>0.93</v>
      </c>
      <c r="S108" s="9" t="s">
        <v>199</v>
      </c>
      <c r="T108" s="9" t="s">
        <v>200</v>
      </c>
      <c r="U108" s="9" t="s">
        <v>13</v>
      </c>
      <c r="V108" s="9">
        <v>0.9</v>
      </c>
      <c r="W108" s="9">
        <v>3.76</v>
      </c>
      <c r="X108" s="9">
        <v>0.76</v>
      </c>
      <c r="Y108" s="9">
        <v>1.56</v>
      </c>
      <c r="Z108" s="9">
        <v>3.56</v>
      </c>
      <c r="AA108" s="9">
        <v>5.31</v>
      </c>
      <c r="AB108" s="9">
        <v>2.56</v>
      </c>
      <c r="AC108" s="9">
        <v>4.83</v>
      </c>
    </row>
    <row r="109" spans="1:29" ht="15.5" x14ac:dyDescent="0.35">
      <c r="A109" s="15">
        <v>213</v>
      </c>
      <c r="B109" s="15" t="s">
        <v>201</v>
      </c>
      <c r="C109" s="7">
        <v>58</v>
      </c>
      <c r="D109" s="16">
        <v>0.68</v>
      </c>
      <c r="E109" s="15" t="s">
        <v>366</v>
      </c>
      <c r="F109" s="15">
        <v>23.2</v>
      </c>
      <c r="G109" s="15" t="s">
        <v>202</v>
      </c>
      <c r="H109" s="15" t="s">
        <v>203</v>
      </c>
      <c r="I109" s="15" t="s">
        <v>13</v>
      </c>
      <c r="J109" s="15">
        <v>0.84</v>
      </c>
      <c r="K109" s="22" t="s">
        <v>202</v>
      </c>
      <c r="L109" s="22" t="s">
        <v>203</v>
      </c>
      <c r="M109" s="22" t="s">
        <v>13</v>
      </c>
      <c r="N109" s="9">
        <v>3.2</v>
      </c>
      <c r="O109" s="18" t="s">
        <v>202</v>
      </c>
      <c r="P109" s="18" t="s">
        <v>203</v>
      </c>
      <c r="Q109" s="18" t="s">
        <v>13</v>
      </c>
      <c r="R109" s="9">
        <v>0.77</v>
      </c>
      <c r="S109" s="18" t="s">
        <v>202</v>
      </c>
      <c r="T109" s="18" t="s">
        <v>203</v>
      </c>
      <c r="U109" s="18" t="s">
        <v>13</v>
      </c>
      <c r="V109" s="9">
        <v>0.68</v>
      </c>
      <c r="W109" s="9">
        <v>3.85</v>
      </c>
      <c r="X109" s="9">
        <v>1.03</v>
      </c>
      <c r="Y109" s="9">
        <v>1.68</v>
      </c>
      <c r="Z109" s="9">
        <v>5</v>
      </c>
      <c r="AA109" s="9">
        <v>5.32</v>
      </c>
      <c r="AB109" s="9">
        <v>4.91</v>
      </c>
      <c r="AC109" s="9">
        <v>6.05</v>
      </c>
    </row>
    <row r="110" spans="1:29" ht="15.5" x14ac:dyDescent="0.35">
      <c r="A110" s="15">
        <v>214</v>
      </c>
      <c r="B110" s="15" t="s">
        <v>82</v>
      </c>
      <c r="C110" s="7">
        <v>94</v>
      </c>
      <c r="D110" s="16">
        <v>0.53</v>
      </c>
      <c r="E110" s="15" t="s">
        <v>367</v>
      </c>
      <c r="F110" s="15">
        <v>81.3</v>
      </c>
      <c r="G110" s="15" t="s">
        <v>204</v>
      </c>
      <c r="H110" s="15" t="s">
        <v>205</v>
      </c>
      <c r="I110" s="15" t="s">
        <v>13</v>
      </c>
      <c r="J110" s="15">
        <v>7.25</v>
      </c>
      <c r="K110" s="22" t="s">
        <v>204</v>
      </c>
      <c r="L110" s="22" t="s">
        <v>205</v>
      </c>
      <c r="M110" s="22" t="s">
        <v>13</v>
      </c>
      <c r="N110" s="9">
        <v>5.72</v>
      </c>
      <c r="O110" s="18" t="s">
        <v>204</v>
      </c>
      <c r="P110" s="18" t="s">
        <v>205</v>
      </c>
      <c r="Q110" s="18" t="s">
        <v>13</v>
      </c>
      <c r="R110" s="9">
        <v>0.84</v>
      </c>
      <c r="S110" s="18" t="s">
        <v>204</v>
      </c>
      <c r="T110" s="18" t="s">
        <v>205</v>
      </c>
      <c r="U110" s="18" t="s">
        <v>13</v>
      </c>
      <c r="V110" s="9">
        <v>0.64</v>
      </c>
      <c r="W110" s="9">
        <v>4.08</v>
      </c>
      <c r="X110" s="9">
        <v>0.63</v>
      </c>
      <c r="Y110" s="9">
        <v>2.15</v>
      </c>
      <c r="Z110" s="9">
        <v>3.33</v>
      </c>
      <c r="AA110" s="9">
        <v>7.63</v>
      </c>
      <c r="AB110" s="9">
        <v>5.0199999999999996</v>
      </c>
      <c r="AC110" s="9">
        <v>4.2300000000000004</v>
      </c>
    </row>
    <row r="111" spans="1:29" ht="15.5" x14ac:dyDescent="0.35">
      <c r="A111" s="15">
        <v>215</v>
      </c>
      <c r="B111" s="15" t="s">
        <v>206</v>
      </c>
      <c r="C111" s="7">
        <v>77</v>
      </c>
      <c r="D111" s="16">
        <v>0.88</v>
      </c>
      <c r="E111" s="15" t="s">
        <v>367</v>
      </c>
      <c r="F111" s="15">
        <v>22.6</v>
      </c>
      <c r="G111" s="15" t="s">
        <v>207</v>
      </c>
      <c r="H111" s="15" t="s">
        <v>208</v>
      </c>
      <c r="I111" s="15" t="s">
        <v>13</v>
      </c>
      <c r="J111" s="15">
        <v>2.21</v>
      </c>
      <c r="K111" s="22" t="s">
        <v>207</v>
      </c>
      <c r="L111" s="22" t="s">
        <v>208</v>
      </c>
      <c r="M111" s="22" t="s">
        <v>13</v>
      </c>
      <c r="N111" s="9">
        <v>4.8</v>
      </c>
      <c r="O111" s="18" t="s">
        <v>207</v>
      </c>
      <c r="P111" s="18" t="s">
        <v>208</v>
      </c>
      <c r="Q111" s="18" t="s">
        <v>13</v>
      </c>
      <c r="R111" s="9">
        <v>0.88</v>
      </c>
      <c r="S111" s="18" t="s">
        <v>207</v>
      </c>
      <c r="T111" s="18" t="s">
        <v>208</v>
      </c>
      <c r="U111" s="18" t="s">
        <v>13</v>
      </c>
      <c r="V111" s="9">
        <v>0.56999999999999995</v>
      </c>
      <c r="W111" s="9">
        <v>4.3600000000000003</v>
      </c>
      <c r="X111" s="9">
        <v>0.95</v>
      </c>
      <c r="Y111" s="9">
        <f>AVERAGE(3.01,2.56)</f>
        <v>2.7850000000000001</v>
      </c>
      <c r="Z111" s="9">
        <f>AVERAGE(3.79,4.25)</f>
        <v>4.0199999999999996</v>
      </c>
      <c r="AA111" s="9">
        <f>AVERAGE(7.29,6.71)</f>
        <v>7</v>
      </c>
      <c r="AB111" s="9">
        <f>AVERAGE(4.04,4.22)</f>
        <v>4.13</v>
      </c>
      <c r="AC111" s="9">
        <f>AVERAGE(5.38,5.98)</f>
        <v>5.68</v>
      </c>
    </row>
    <row r="112" spans="1:29" ht="15.5" x14ac:dyDescent="0.35">
      <c r="A112" s="15">
        <v>216</v>
      </c>
      <c r="B112" s="15" t="s">
        <v>209</v>
      </c>
      <c r="C112" s="7">
        <v>206</v>
      </c>
      <c r="D112" s="16">
        <v>0.66</v>
      </c>
      <c r="E112" s="15" t="s">
        <v>366</v>
      </c>
      <c r="F112" s="15">
        <v>37</v>
      </c>
      <c r="G112" s="15" t="s">
        <v>210</v>
      </c>
      <c r="H112" s="15" t="s">
        <v>211</v>
      </c>
      <c r="I112" s="15" t="s">
        <v>13</v>
      </c>
      <c r="J112" s="15">
        <v>0.4</v>
      </c>
      <c r="K112" s="15" t="s">
        <v>210</v>
      </c>
      <c r="L112" s="15" t="s">
        <v>211</v>
      </c>
      <c r="M112" s="15" t="s">
        <v>13</v>
      </c>
      <c r="N112" s="9">
        <v>5.07</v>
      </c>
      <c r="O112" s="33" t="s">
        <v>210</v>
      </c>
      <c r="P112" s="9" t="s">
        <v>211</v>
      </c>
      <c r="Q112" s="9" t="s">
        <v>13</v>
      </c>
      <c r="R112" s="9">
        <v>0.45</v>
      </c>
      <c r="S112" s="33" t="s">
        <v>210</v>
      </c>
      <c r="T112" s="9" t="s">
        <v>211</v>
      </c>
      <c r="U112" s="9" t="s">
        <v>13</v>
      </c>
      <c r="V112" s="9">
        <v>1.28</v>
      </c>
      <c r="W112" s="9">
        <v>1.69</v>
      </c>
      <c r="X112" s="9">
        <v>1.1000000000000001</v>
      </c>
      <c r="Y112" s="9">
        <v>1.99</v>
      </c>
      <c r="Z112" s="9">
        <v>2.72</v>
      </c>
      <c r="AA112" s="9">
        <v>2.52</v>
      </c>
      <c r="AB112" s="9">
        <v>3.54</v>
      </c>
      <c r="AC112" s="9">
        <v>2.9</v>
      </c>
    </row>
    <row r="113" spans="1:29" ht="20.5" customHeight="1" x14ac:dyDescent="0.35">
      <c r="A113" s="15">
        <v>217</v>
      </c>
      <c r="B113" s="15" t="s">
        <v>212</v>
      </c>
      <c r="C113" s="7">
        <v>58</v>
      </c>
      <c r="D113" s="16">
        <v>0.89</v>
      </c>
      <c r="E113" s="15" t="s">
        <v>367</v>
      </c>
      <c r="F113" s="15">
        <v>25.6</v>
      </c>
      <c r="G113" s="22" t="s">
        <v>213</v>
      </c>
      <c r="H113" s="22" t="s">
        <v>214</v>
      </c>
      <c r="I113" s="22" t="s">
        <v>13</v>
      </c>
      <c r="J113" s="15">
        <v>1.18</v>
      </c>
      <c r="K113" s="22" t="s">
        <v>213</v>
      </c>
      <c r="L113" s="22" t="s">
        <v>214</v>
      </c>
      <c r="M113" s="22" t="s">
        <v>13</v>
      </c>
      <c r="N113" s="18">
        <v>5.5</v>
      </c>
      <c r="O113" s="18" t="s">
        <v>213</v>
      </c>
      <c r="P113" s="17" t="s">
        <v>214</v>
      </c>
      <c r="Q113" s="18" t="s">
        <v>13</v>
      </c>
      <c r="R113" s="9">
        <v>0.81</v>
      </c>
      <c r="S113" s="17" t="s">
        <v>444</v>
      </c>
      <c r="T113" s="17" t="s">
        <v>214</v>
      </c>
      <c r="U113" s="18" t="s">
        <v>13</v>
      </c>
      <c r="V113" s="9">
        <v>0.8</v>
      </c>
      <c r="W113" s="9">
        <v>3.95</v>
      </c>
      <c r="X113" s="9">
        <v>1.1299999999999999</v>
      </c>
      <c r="Y113" s="9">
        <f>AVERAGE(3.53,1.72,1.92,1.95,1.91,1.78)</f>
        <v>2.1349999999999998</v>
      </c>
      <c r="Z113" s="9">
        <f>AVERAGE(4.74,3.79,4.14,3.08,4.1,4.11)</f>
        <v>3.9933333333333336</v>
      </c>
      <c r="AA113" s="9">
        <f>AVERAGE(7.4,5.68,6.94,5.98,7.32,6.7)</f>
        <v>6.6700000000000008</v>
      </c>
      <c r="AB113" s="9">
        <f>AVERAGE(5.13,3.49,3.17,3.43,3.87,3.64)</f>
        <v>3.7883333333333336</v>
      </c>
      <c r="AC113" s="9">
        <f>AVERAGE(4.54,5.17,6.09,5.02,4.97,5.79)</f>
        <v>5.2633333333333328</v>
      </c>
    </row>
    <row r="114" spans="1:29" ht="15.5" x14ac:dyDescent="0.35">
      <c r="A114" s="15">
        <v>220</v>
      </c>
      <c r="B114" s="15" t="s">
        <v>215</v>
      </c>
      <c r="C114" s="7">
        <v>204</v>
      </c>
      <c r="D114" s="16">
        <v>0.74</v>
      </c>
      <c r="E114" s="15" t="s">
        <v>367</v>
      </c>
      <c r="F114" s="34">
        <v>105.2</v>
      </c>
      <c r="G114" s="15" t="s">
        <v>216</v>
      </c>
      <c r="H114" s="15" t="s">
        <v>217</v>
      </c>
      <c r="I114" s="15" t="s">
        <v>13</v>
      </c>
      <c r="J114" s="15">
        <v>1.23</v>
      </c>
      <c r="K114" s="22" t="s">
        <v>216</v>
      </c>
      <c r="L114" s="22" t="s">
        <v>217</v>
      </c>
      <c r="M114" s="22" t="s">
        <v>13</v>
      </c>
      <c r="N114" s="9">
        <v>4.3</v>
      </c>
      <c r="O114" s="35" t="s">
        <v>216</v>
      </c>
      <c r="P114" s="18" t="s">
        <v>435</v>
      </c>
      <c r="Q114" s="18" t="s">
        <v>13</v>
      </c>
      <c r="R114" s="9">
        <v>0.99</v>
      </c>
      <c r="S114" s="35" t="s">
        <v>216</v>
      </c>
      <c r="T114" s="18" t="s">
        <v>435</v>
      </c>
      <c r="U114" s="18" t="s">
        <v>13</v>
      </c>
      <c r="V114" s="9">
        <v>0.56999999999999995</v>
      </c>
      <c r="W114" s="9">
        <v>4.09</v>
      </c>
      <c r="X114" s="9">
        <v>1.0900000000000001</v>
      </c>
      <c r="Y114" s="9">
        <v>5.85</v>
      </c>
      <c r="Z114" s="9">
        <v>3.69</v>
      </c>
      <c r="AA114" s="9">
        <v>8.23</v>
      </c>
      <c r="AB114" s="9">
        <v>4.28</v>
      </c>
      <c r="AC114" s="9">
        <v>6.05</v>
      </c>
    </row>
    <row r="115" spans="1:29" ht="15.5" x14ac:dyDescent="0.35">
      <c r="A115" s="15">
        <v>221</v>
      </c>
      <c r="B115" s="15" t="s">
        <v>218</v>
      </c>
      <c r="C115" s="8">
        <v>203</v>
      </c>
      <c r="D115" s="16">
        <v>0.37</v>
      </c>
      <c r="E115" s="15" t="s">
        <v>367</v>
      </c>
      <c r="F115" s="15">
        <v>72</v>
      </c>
      <c r="G115" s="15" t="s">
        <v>219</v>
      </c>
      <c r="H115" s="15" t="s">
        <v>220</v>
      </c>
      <c r="I115" s="15" t="s">
        <v>13</v>
      </c>
      <c r="J115" s="15">
        <v>2.7</v>
      </c>
      <c r="K115" s="15" t="s">
        <v>219</v>
      </c>
      <c r="L115" s="15" t="s">
        <v>220</v>
      </c>
      <c r="M115" s="15" t="s">
        <v>13</v>
      </c>
      <c r="N115" s="9">
        <v>3.32</v>
      </c>
      <c r="O115" s="9" t="s">
        <v>219</v>
      </c>
      <c r="P115" s="9" t="s">
        <v>220</v>
      </c>
      <c r="Q115" s="9" t="s">
        <v>13</v>
      </c>
      <c r="R115" s="9">
        <v>0.62</v>
      </c>
      <c r="S115" s="9" t="s">
        <v>219</v>
      </c>
      <c r="T115" s="9" t="s">
        <v>220</v>
      </c>
      <c r="U115" s="9" t="s">
        <v>13</v>
      </c>
      <c r="V115" s="9">
        <v>0.5</v>
      </c>
      <c r="W115" s="9">
        <v>4.3499999999999996</v>
      </c>
      <c r="X115" s="9">
        <v>0.54</v>
      </c>
      <c r="Y115" s="9">
        <v>1.63</v>
      </c>
      <c r="Z115" s="9">
        <v>3.49</v>
      </c>
      <c r="AA115" s="9">
        <v>6.76</v>
      </c>
      <c r="AB115" s="9">
        <v>4.49</v>
      </c>
      <c r="AC115" s="9">
        <v>5.18</v>
      </c>
    </row>
    <row r="116" spans="1:29" ht="15.5" x14ac:dyDescent="0.35">
      <c r="A116" s="15">
        <v>222</v>
      </c>
      <c r="B116" s="15" t="s">
        <v>221</v>
      </c>
      <c r="C116" s="8">
        <v>203</v>
      </c>
      <c r="D116" s="16">
        <v>0.78</v>
      </c>
      <c r="E116" s="15" t="s">
        <v>367</v>
      </c>
      <c r="F116" s="15">
        <v>17.850000000000001</v>
      </c>
      <c r="G116" s="22" t="s">
        <v>222</v>
      </c>
      <c r="H116" s="22" t="s">
        <v>223</v>
      </c>
      <c r="I116" s="22" t="s">
        <v>13</v>
      </c>
      <c r="J116" s="15">
        <v>0.6</v>
      </c>
      <c r="K116" s="22" t="s">
        <v>222</v>
      </c>
      <c r="L116" s="22" t="s">
        <v>223</v>
      </c>
      <c r="M116" s="22" t="s">
        <v>13</v>
      </c>
      <c r="N116" s="9">
        <v>2.09</v>
      </c>
      <c r="O116" s="18" t="s">
        <v>222</v>
      </c>
      <c r="P116" s="18" t="s">
        <v>223</v>
      </c>
      <c r="Q116" s="18" t="s">
        <v>13</v>
      </c>
      <c r="R116" s="9">
        <v>1.1399999999999999</v>
      </c>
      <c r="S116" s="18" t="s">
        <v>222</v>
      </c>
      <c r="T116" s="18" t="s">
        <v>223</v>
      </c>
      <c r="U116" s="18" t="s">
        <v>13</v>
      </c>
      <c r="V116" s="9">
        <v>0.81</v>
      </c>
      <c r="W116" s="9">
        <v>4.45</v>
      </c>
      <c r="X116" s="9">
        <v>0.86</v>
      </c>
      <c r="Y116" s="9">
        <f>AVERAGE(2.34,2.8)</f>
        <v>2.57</v>
      </c>
      <c r="Z116" s="9">
        <f>AVERAGE(3.34,3.49)</f>
        <v>3.415</v>
      </c>
      <c r="AA116" s="9">
        <f>AVERAGE(2.87,3.1)</f>
        <v>2.9850000000000003</v>
      </c>
      <c r="AB116" s="9">
        <f>AVERAGE(2.58,2.69)</f>
        <v>2.6349999999999998</v>
      </c>
      <c r="AC116" s="9">
        <f>AVERAGE(3.54)</f>
        <v>3.54</v>
      </c>
    </row>
    <row r="117" spans="1:29" ht="15.5" x14ac:dyDescent="0.35">
      <c r="A117" s="15">
        <v>223</v>
      </c>
      <c r="B117" s="15" t="s">
        <v>224</v>
      </c>
      <c r="C117" s="8">
        <v>203</v>
      </c>
      <c r="D117" s="16">
        <v>0.62</v>
      </c>
      <c r="E117" s="15" t="s">
        <v>367</v>
      </c>
      <c r="F117" s="15">
        <v>43</v>
      </c>
      <c r="G117" s="24" t="s">
        <v>225</v>
      </c>
      <c r="H117" s="15" t="s">
        <v>226</v>
      </c>
      <c r="I117" s="15" t="s">
        <v>13</v>
      </c>
      <c r="J117" s="15">
        <v>0.5</v>
      </c>
      <c r="K117" s="24" t="s">
        <v>225</v>
      </c>
      <c r="L117" s="15" t="s">
        <v>226</v>
      </c>
      <c r="M117" s="15" t="s">
        <v>13</v>
      </c>
      <c r="N117" s="9">
        <v>4.03</v>
      </c>
      <c r="O117" s="36" t="s">
        <v>225</v>
      </c>
      <c r="P117" s="9" t="s">
        <v>226</v>
      </c>
      <c r="Q117" s="9" t="s">
        <v>13</v>
      </c>
      <c r="R117" s="9">
        <v>1.0900000000000001</v>
      </c>
      <c r="S117" s="36" t="s">
        <v>225</v>
      </c>
      <c r="T117" s="9" t="s">
        <v>226</v>
      </c>
      <c r="U117" s="9" t="s">
        <v>13</v>
      </c>
      <c r="V117" s="9">
        <v>2.23</v>
      </c>
      <c r="W117" s="9">
        <v>3.01</v>
      </c>
      <c r="X117" s="9">
        <v>1.06</v>
      </c>
      <c r="Y117" s="9">
        <v>1.37</v>
      </c>
      <c r="Z117" s="9">
        <v>2.61</v>
      </c>
      <c r="AA117" s="9">
        <v>3.97</v>
      </c>
      <c r="AB117" s="9">
        <v>2.59</v>
      </c>
      <c r="AC117" s="9">
        <v>4.07</v>
      </c>
    </row>
    <row r="118" spans="1:29" ht="15.5" x14ac:dyDescent="0.35">
      <c r="A118" s="15">
        <v>224</v>
      </c>
      <c r="B118" s="15" t="s">
        <v>227</v>
      </c>
      <c r="C118" s="7">
        <v>70</v>
      </c>
      <c r="D118" s="16">
        <v>0.78</v>
      </c>
      <c r="E118" s="15" t="s">
        <v>367</v>
      </c>
      <c r="F118" s="15">
        <v>624</v>
      </c>
      <c r="G118" s="15" t="s">
        <v>228</v>
      </c>
      <c r="H118" s="15" t="s">
        <v>229</v>
      </c>
      <c r="I118" s="15" t="s">
        <v>13</v>
      </c>
      <c r="J118" s="15">
        <v>7.3</v>
      </c>
      <c r="K118" s="15" t="s">
        <v>228</v>
      </c>
      <c r="L118" s="15" t="s">
        <v>229</v>
      </c>
      <c r="M118" s="15" t="s">
        <v>13</v>
      </c>
      <c r="N118" s="9">
        <v>4.3099999999999996</v>
      </c>
      <c r="O118" s="9" t="s">
        <v>228</v>
      </c>
      <c r="P118" s="9" t="s">
        <v>229</v>
      </c>
      <c r="Q118" s="9" t="s">
        <v>13</v>
      </c>
      <c r="R118" s="9">
        <v>0.62</v>
      </c>
      <c r="S118" s="9" t="s">
        <v>228</v>
      </c>
      <c r="T118" s="9" t="s">
        <v>229</v>
      </c>
      <c r="U118" s="9" t="s">
        <v>13</v>
      </c>
      <c r="V118" s="9">
        <v>1.75</v>
      </c>
      <c r="W118" s="9">
        <v>3.07</v>
      </c>
      <c r="X118" s="9">
        <v>1.55</v>
      </c>
      <c r="Y118" s="9">
        <v>2.15</v>
      </c>
      <c r="Z118" s="9">
        <v>3.02</v>
      </c>
      <c r="AA118" s="9">
        <v>6.74</v>
      </c>
      <c r="AB118" s="9">
        <v>5.19</v>
      </c>
      <c r="AC118" s="9">
        <v>4.8099999999999996</v>
      </c>
    </row>
    <row r="119" spans="1:29" ht="15.5" x14ac:dyDescent="0.35">
      <c r="A119" s="15">
        <v>225</v>
      </c>
      <c r="B119" s="15" t="s">
        <v>230</v>
      </c>
      <c r="C119" s="7">
        <v>70</v>
      </c>
      <c r="D119" s="16">
        <v>0.3</v>
      </c>
      <c r="E119" s="15" t="s">
        <v>366</v>
      </c>
      <c r="F119" s="15">
        <v>409</v>
      </c>
      <c r="G119" s="15" t="s">
        <v>231</v>
      </c>
      <c r="H119" s="15" t="s">
        <v>232</v>
      </c>
      <c r="I119" s="15" t="s">
        <v>13</v>
      </c>
      <c r="J119" s="15">
        <v>3.8</v>
      </c>
      <c r="K119" s="15" t="s">
        <v>231</v>
      </c>
      <c r="L119" s="15" t="s">
        <v>232</v>
      </c>
      <c r="M119" s="15" t="s">
        <v>13</v>
      </c>
      <c r="N119" s="9">
        <v>4.08</v>
      </c>
      <c r="O119" s="9" t="s">
        <v>231</v>
      </c>
      <c r="P119" s="9" t="s">
        <v>232</v>
      </c>
      <c r="Q119" s="9" t="s">
        <v>13</v>
      </c>
      <c r="R119" s="9">
        <v>1.2</v>
      </c>
      <c r="S119" s="9" t="s">
        <v>231</v>
      </c>
      <c r="T119" s="9" t="s">
        <v>232</v>
      </c>
      <c r="U119" s="9" t="s">
        <v>13</v>
      </c>
      <c r="V119" s="9">
        <v>1.47</v>
      </c>
      <c r="W119" s="9">
        <v>3.25</v>
      </c>
      <c r="X119" s="9">
        <v>2.19</v>
      </c>
      <c r="Y119" s="9">
        <v>2.4</v>
      </c>
      <c r="Z119" s="9">
        <v>4.37</v>
      </c>
      <c r="AA119" s="9">
        <v>6.93</v>
      </c>
      <c r="AB119" s="9">
        <v>4.51</v>
      </c>
      <c r="AC119" s="9">
        <v>5.83</v>
      </c>
    </row>
    <row r="120" spans="1:29" ht="15.5" x14ac:dyDescent="0.35">
      <c r="A120" s="15">
        <v>226</v>
      </c>
      <c r="B120" s="15" t="s">
        <v>233</v>
      </c>
      <c r="C120" s="8">
        <v>203</v>
      </c>
      <c r="D120" s="16">
        <v>0.98</v>
      </c>
      <c r="E120" s="15" t="s">
        <v>366</v>
      </c>
      <c r="F120" s="15">
        <v>39.5</v>
      </c>
      <c r="G120" s="15" t="s">
        <v>234</v>
      </c>
      <c r="H120" s="15" t="s">
        <v>235</v>
      </c>
      <c r="I120" s="15" t="s">
        <v>13</v>
      </c>
      <c r="J120" s="15">
        <v>1.3</v>
      </c>
      <c r="K120" s="22" t="s">
        <v>234</v>
      </c>
      <c r="L120" s="22" t="s">
        <v>235</v>
      </c>
      <c r="M120" s="15" t="s">
        <v>13</v>
      </c>
      <c r="N120" s="9">
        <v>2.65</v>
      </c>
      <c r="O120" s="18" t="s">
        <v>234</v>
      </c>
      <c r="P120" s="18" t="s">
        <v>235</v>
      </c>
      <c r="Q120" s="9" t="s">
        <v>13</v>
      </c>
      <c r="R120" s="9">
        <v>0.8</v>
      </c>
      <c r="S120" s="18" t="s">
        <v>234</v>
      </c>
      <c r="T120" s="18" t="s">
        <v>235</v>
      </c>
      <c r="U120" s="9" t="s">
        <v>13</v>
      </c>
      <c r="V120" s="9">
        <v>0.99</v>
      </c>
      <c r="W120" s="9">
        <v>3.46</v>
      </c>
      <c r="X120" s="9">
        <v>0.93</v>
      </c>
      <c r="Y120" s="9">
        <f>AVERAGE(2.04,1.84)</f>
        <v>1.94</v>
      </c>
      <c r="Z120" s="9">
        <f>AVERAGE(4.08,3.94)</f>
        <v>4.01</v>
      </c>
      <c r="AA120" s="9">
        <f>AVERAGE(6.77,6.01)</f>
        <v>6.39</v>
      </c>
      <c r="AB120" s="9">
        <f>AVERAGE(1.34,1.55)</f>
        <v>1.4450000000000001</v>
      </c>
      <c r="AC120" s="9">
        <f>AVERAGE(3.27,3.36)</f>
        <v>3.3149999999999999</v>
      </c>
    </row>
    <row r="121" spans="1:29" ht="15.5" x14ac:dyDescent="0.35">
      <c r="A121" s="15">
        <v>227</v>
      </c>
      <c r="B121" s="15" t="s">
        <v>236</v>
      </c>
      <c r="C121" s="8">
        <v>203</v>
      </c>
      <c r="D121" s="16">
        <v>1</v>
      </c>
      <c r="E121" s="15"/>
      <c r="F121" s="15">
        <v>95.6</v>
      </c>
      <c r="G121" s="15" t="s">
        <v>237</v>
      </c>
      <c r="H121" s="15" t="s">
        <v>238</v>
      </c>
      <c r="I121" s="15" t="s">
        <v>13</v>
      </c>
      <c r="J121" s="15">
        <v>3.02</v>
      </c>
      <c r="K121" s="22" t="s">
        <v>237</v>
      </c>
      <c r="L121" s="22" t="s">
        <v>238</v>
      </c>
      <c r="M121" s="15" t="s">
        <v>13</v>
      </c>
      <c r="N121" s="9">
        <v>3.76</v>
      </c>
      <c r="O121" s="18" t="s">
        <v>237</v>
      </c>
      <c r="P121" s="18" t="s">
        <v>238</v>
      </c>
      <c r="Q121" s="9" t="s">
        <v>13</v>
      </c>
      <c r="R121" s="9">
        <v>1.06</v>
      </c>
      <c r="S121" s="18" t="s">
        <v>237</v>
      </c>
      <c r="T121" s="18" t="s">
        <v>238</v>
      </c>
      <c r="U121" s="9" t="s">
        <v>13</v>
      </c>
      <c r="V121" s="37">
        <v>1.23</v>
      </c>
      <c r="W121" s="37">
        <v>3.75</v>
      </c>
      <c r="X121" s="37">
        <v>0.98</v>
      </c>
      <c r="Y121" s="37">
        <v>1.86</v>
      </c>
      <c r="Z121" s="37">
        <v>3.27</v>
      </c>
      <c r="AA121" s="37">
        <v>5.85</v>
      </c>
      <c r="AB121" s="37">
        <v>4.6399999999999997</v>
      </c>
      <c r="AC121" s="37">
        <v>3.8</v>
      </c>
    </row>
    <row r="122" spans="1:29" ht="15.5" x14ac:dyDescent="0.35">
      <c r="A122" s="15">
        <v>228</v>
      </c>
      <c r="B122" s="15" t="s">
        <v>239</v>
      </c>
      <c r="C122" s="7">
        <v>206</v>
      </c>
      <c r="D122" s="16">
        <v>0.73</v>
      </c>
      <c r="E122" s="15" t="s">
        <v>366</v>
      </c>
      <c r="F122" s="15">
        <v>32</v>
      </c>
      <c r="G122" s="15" t="s">
        <v>240</v>
      </c>
      <c r="H122" s="15" t="s">
        <v>241</v>
      </c>
      <c r="I122" s="15" t="s">
        <v>13</v>
      </c>
      <c r="J122" s="15">
        <v>0.73</v>
      </c>
      <c r="K122" s="22" t="s">
        <v>240</v>
      </c>
      <c r="L122" s="22" t="s">
        <v>241</v>
      </c>
      <c r="M122" s="15" t="s">
        <v>13</v>
      </c>
      <c r="N122" s="9">
        <v>2.65</v>
      </c>
      <c r="O122" s="18" t="s">
        <v>240</v>
      </c>
      <c r="P122" s="18" t="s">
        <v>241</v>
      </c>
      <c r="Q122" s="9" t="s">
        <v>13</v>
      </c>
      <c r="R122" s="9">
        <v>0.51</v>
      </c>
      <c r="S122" s="18" t="s">
        <v>240</v>
      </c>
      <c r="T122" s="18" t="s">
        <v>241</v>
      </c>
      <c r="U122" s="9" t="s">
        <v>13</v>
      </c>
      <c r="V122" s="9">
        <v>0.91</v>
      </c>
      <c r="W122" s="9">
        <v>1.41</v>
      </c>
      <c r="X122" s="9">
        <v>0.75</v>
      </c>
      <c r="Y122" s="9">
        <f>AVERAGE(3.4,0.7)</f>
        <v>2.0499999999999998</v>
      </c>
      <c r="Z122" s="9">
        <f>AVERAGE(2.12,1.39)</f>
        <v>1.7549999999999999</v>
      </c>
      <c r="AA122" s="9">
        <f>AVERAGE(2.66,2.11)</f>
        <v>2.3849999999999998</v>
      </c>
      <c r="AB122" s="9">
        <f>AVERAGE(1.77,1.32)</f>
        <v>1.5449999999999999</v>
      </c>
      <c r="AC122" s="9">
        <f>AVERAGE(1.73,2.12)</f>
        <v>1.925</v>
      </c>
    </row>
    <row r="123" spans="1:29" ht="15.5" x14ac:dyDescent="0.35">
      <c r="A123" s="15">
        <v>230</v>
      </c>
      <c r="B123" s="15" t="s">
        <v>242</v>
      </c>
      <c r="C123" s="8">
        <v>203</v>
      </c>
      <c r="D123" s="16">
        <v>0.62</v>
      </c>
      <c r="E123" s="15" t="s">
        <v>366</v>
      </c>
      <c r="F123" s="15">
        <v>24</v>
      </c>
      <c r="G123" s="15" t="s">
        <v>243</v>
      </c>
      <c r="H123" s="15" t="s">
        <v>244</v>
      </c>
      <c r="I123" s="15" t="s">
        <v>13</v>
      </c>
      <c r="J123" s="15">
        <v>0.4</v>
      </c>
      <c r="K123" s="15" t="s">
        <v>243</v>
      </c>
      <c r="L123" s="15" t="s">
        <v>244</v>
      </c>
      <c r="M123" s="15" t="s">
        <v>13</v>
      </c>
      <c r="N123" s="9">
        <v>4.91</v>
      </c>
      <c r="O123" s="9" t="s">
        <v>243</v>
      </c>
      <c r="P123" s="9" t="s">
        <v>244</v>
      </c>
      <c r="Q123" s="9" t="s">
        <v>13</v>
      </c>
      <c r="R123" s="9">
        <v>1.66</v>
      </c>
      <c r="S123" s="9" t="s">
        <v>243</v>
      </c>
      <c r="T123" s="9" t="s">
        <v>244</v>
      </c>
      <c r="U123" s="9" t="s">
        <v>13</v>
      </c>
      <c r="V123" s="9">
        <v>0.73</v>
      </c>
      <c r="W123" s="9">
        <v>3.27</v>
      </c>
      <c r="X123" s="9">
        <v>0.68</v>
      </c>
      <c r="Y123" s="9">
        <v>0.87</v>
      </c>
      <c r="Z123" s="9">
        <v>2.27</v>
      </c>
      <c r="AA123" s="9">
        <v>4.43</v>
      </c>
      <c r="AB123" s="9">
        <v>1.93</v>
      </c>
      <c r="AC123" s="9">
        <v>3.93</v>
      </c>
    </row>
    <row r="124" spans="1:29" ht="15.5" x14ac:dyDescent="0.35">
      <c r="A124" s="15">
        <v>231</v>
      </c>
      <c r="B124" s="15" t="s">
        <v>245</v>
      </c>
      <c r="C124" s="8">
        <v>203</v>
      </c>
      <c r="D124" s="16">
        <v>0.71</v>
      </c>
      <c r="E124" s="15" t="s">
        <v>366</v>
      </c>
      <c r="F124" s="15">
        <v>49</v>
      </c>
      <c r="G124" s="15" t="s">
        <v>246</v>
      </c>
      <c r="H124" s="15" t="s">
        <v>247</v>
      </c>
      <c r="I124" s="15" t="s">
        <v>13</v>
      </c>
      <c r="J124" s="15">
        <v>0.53</v>
      </c>
      <c r="K124" s="22" t="s">
        <v>246</v>
      </c>
      <c r="L124" s="22" t="s">
        <v>247</v>
      </c>
      <c r="M124" s="15" t="s">
        <v>13</v>
      </c>
      <c r="N124" s="9">
        <v>4.5</v>
      </c>
      <c r="O124" s="18" t="s">
        <v>246</v>
      </c>
      <c r="P124" s="18" t="s">
        <v>436</v>
      </c>
      <c r="Q124" s="9" t="s">
        <v>13</v>
      </c>
      <c r="R124" s="9">
        <v>1.1299999999999999</v>
      </c>
      <c r="S124" s="18" t="s">
        <v>246</v>
      </c>
      <c r="T124" s="18" t="s">
        <v>436</v>
      </c>
      <c r="U124" s="9" t="s">
        <v>13</v>
      </c>
      <c r="V124" s="9">
        <v>0.74</v>
      </c>
      <c r="W124" s="9">
        <v>5.24</v>
      </c>
      <c r="X124" s="9">
        <v>1.61</v>
      </c>
      <c r="Y124" s="9">
        <f>AVERAGE(2.39,2.33)</f>
        <v>2.3600000000000003</v>
      </c>
      <c r="Z124" s="9">
        <f>AVERAGE(3.73,3.79)</f>
        <v>3.76</v>
      </c>
      <c r="AA124" s="9">
        <f>AVERAGE(8.18,9.21)</f>
        <v>8.6950000000000003</v>
      </c>
      <c r="AB124" s="9">
        <f>AVERAGE(3.2,3.75)</f>
        <v>3.4750000000000001</v>
      </c>
      <c r="AC124" s="9">
        <f>AVERAGE(5.92,6.32)</f>
        <v>6.12</v>
      </c>
    </row>
    <row r="125" spans="1:29" ht="15.5" x14ac:dyDescent="0.35">
      <c r="A125" s="15">
        <v>232</v>
      </c>
      <c r="B125" s="15" t="s">
        <v>248</v>
      </c>
      <c r="C125" s="8">
        <v>203</v>
      </c>
      <c r="D125" s="16">
        <v>0.51</v>
      </c>
      <c r="E125" s="15" t="s">
        <v>366</v>
      </c>
      <c r="F125" s="15">
        <v>25.45</v>
      </c>
      <c r="G125" s="15" t="s">
        <v>249</v>
      </c>
      <c r="H125" s="15" t="s">
        <v>250</v>
      </c>
      <c r="I125" s="15" t="s">
        <v>13</v>
      </c>
      <c r="J125" s="15">
        <v>0.48</v>
      </c>
      <c r="K125" s="22" t="s">
        <v>249</v>
      </c>
      <c r="L125" s="22" t="s">
        <v>250</v>
      </c>
      <c r="M125" s="22" t="s">
        <v>13</v>
      </c>
      <c r="N125" s="9">
        <v>2.0499999999999998</v>
      </c>
      <c r="O125" s="18" t="s">
        <v>249</v>
      </c>
      <c r="P125" s="18" t="s">
        <v>250</v>
      </c>
      <c r="Q125" s="18" t="s">
        <v>13</v>
      </c>
      <c r="R125" s="9">
        <v>0.54</v>
      </c>
      <c r="S125" s="18" t="s">
        <v>249</v>
      </c>
      <c r="T125" s="18" t="s">
        <v>250</v>
      </c>
      <c r="U125" s="18" t="s">
        <v>13</v>
      </c>
      <c r="V125" s="9">
        <v>0.8</v>
      </c>
      <c r="W125" s="9">
        <v>3.41</v>
      </c>
      <c r="X125" s="9">
        <v>0.89</v>
      </c>
      <c r="Y125" s="9">
        <f>AVERAGE(0.93,0.88)</f>
        <v>0.90500000000000003</v>
      </c>
      <c r="Z125" s="9">
        <f>AVERAGE(1.75,2.72)</f>
        <v>2.2350000000000003</v>
      </c>
      <c r="AA125" s="9">
        <f>AVERAGE(4.09,3.67)</f>
        <v>3.88</v>
      </c>
      <c r="AB125" s="9">
        <f>AVERAGE(1.82,1.62)</f>
        <v>1.7200000000000002</v>
      </c>
      <c r="AC125" s="9">
        <f>AVERAGE(3.33,3.06)</f>
        <v>3.1950000000000003</v>
      </c>
    </row>
    <row r="126" spans="1:29" ht="15.5" x14ac:dyDescent="0.35">
      <c r="A126" s="15">
        <v>233</v>
      </c>
      <c r="B126" s="15" t="s">
        <v>251</v>
      </c>
      <c r="C126" s="8">
        <v>203</v>
      </c>
      <c r="D126" s="16">
        <v>0.85</v>
      </c>
      <c r="E126" s="15" t="s">
        <v>367</v>
      </c>
      <c r="F126" s="15">
        <v>38</v>
      </c>
      <c r="G126" s="15" t="s">
        <v>252</v>
      </c>
      <c r="H126" s="15" t="s">
        <v>253</v>
      </c>
      <c r="I126" s="15" t="s">
        <v>13</v>
      </c>
      <c r="J126" s="15">
        <v>0.4</v>
      </c>
      <c r="K126" s="15" t="s">
        <v>252</v>
      </c>
      <c r="L126" s="15" t="s">
        <v>253</v>
      </c>
      <c r="M126" s="15" t="s">
        <v>13</v>
      </c>
      <c r="N126" s="9">
        <v>2.27</v>
      </c>
      <c r="O126" s="9" t="s">
        <v>252</v>
      </c>
      <c r="P126" s="9" t="s">
        <v>253</v>
      </c>
      <c r="Q126" s="9" t="s">
        <v>13</v>
      </c>
      <c r="R126" s="9">
        <v>0.57999999999999996</v>
      </c>
      <c r="S126" s="9" t="s">
        <v>252</v>
      </c>
      <c r="T126" s="9" t="s">
        <v>253</v>
      </c>
      <c r="U126" s="9" t="s">
        <v>13</v>
      </c>
      <c r="V126" s="9">
        <v>0.87</v>
      </c>
      <c r="W126" s="9">
        <v>3.64</v>
      </c>
      <c r="X126" s="9">
        <v>1.05</v>
      </c>
      <c r="Y126" s="9">
        <v>1.39</v>
      </c>
      <c r="Z126" s="9">
        <v>3.65</v>
      </c>
      <c r="AA126" s="9">
        <v>4.95</v>
      </c>
      <c r="AB126" s="9">
        <v>3.04</v>
      </c>
      <c r="AC126" s="9">
        <v>5.0999999999999996</v>
      </c>
    </row>
    <row r="127" spans="1:29" ht="15.5" x14ac:dyDescent="0.35">
      <c r="A127" s="15">
        <v>234</v>
      </c>
      <c r="B127" s="15" t="s">
        <v>254</v>
      </c>
      <c r="C127" s="8">
        <v>203</v>
      </c>
      <c r="D127" s="16">
        <v>1</v>
      </c>
      <c r="E127" s="15" t="s">
        <v>368</v>
      </c>
      <c r="F127" s="15">
        <v>43.3</v>
      </c>
      <c r="G127" s="15" t="s">
        <v>255</v>
      </c>
      <c r="H127" s="15" t="s">
        <v>256</v>
      </c>
      <c r="I127" s="15" t="s">
        <v>13</v>
      </c>
      <c r="J127" s="15">
        <v>1.05</v>
      </c>
      <c r="K127" s="22" t="s">
        <v>255</v>
      </c>
      <c r="L127" s="22" t="s">
        <v>256</v>
      </c>
      <c r="M127" s="15" t="s">
        <v>13</v>
      </c>
      <c r="N127" s="9">
        <v>3.92</v>
      </c>
      <c r="O127" s="18" t="s">
        <v>255</v>
      </c>
      <c r="P127" s="18" t="s">
        <v>256</v>
      </c>
      <c r="Q127" s="9" t="s">
        <v>13</v>
      </c>
      <c r="R127" s="9">
        <v>0.89</v>
      </c>
      <c r="S127" s="18" t="s">
        <v>255</v>
      </c>
      <c r="T127" s="18" t="s">
        <v>256</v>
      </c>
      <c r="U127" s="9" t="s">
        <v>13</v>
      </c>
      <c r="V127" s="9">
        <v>0.66</v>
      </c>
      <c r="W127" s="9">
        <v>4.12</v>
      </c>
      <c r="X127" s="9">
        <v>1.31</v>
      </c>
      <c r="Y127" s="9">
        <f>AVERAGE(3.09,1.76,2.25,2.4,3.61)</f>
        <v>2.6219999999999999</v>
      </c>
      <c r="Z127" s="9">
        <f>AVERAGE(3.61,4.86,3.46,4.35,4.84)</f>
        <v>4.2240000000000002</v>
      </c>
      <c r="AA127" s="9">
        <f>AVERAGE(7.82,5.88,8.33,4.25,5.61)</f>
        <v>6.3780000000000001</v>
      </c>
      <c r="AB127" s="9">
        <f>AVERAGE(2.5,5.18,4.1,4.42,4.85)</f>
        <v>4.2099999999999991</v>
      </c>
      <c r="AC127" s="9">
        <f>AVERAGE(6.57,4.78,5.11,2.99,4.51)</f>
        <v>4.7919999999999998</v>
      </c>
    </row>
    <row r="128" spans="1:29" ht="15.5" x14ac:dyDescent="0.35">
      <c r="A128" s="15">
        <v>235</v>
      </c>
      <c r="B128" s="15" t="s">
        <v>257</v>
      </c>
      <c r="C128" s="8">
        <v>203</v>
      </c>
      <c r="D128" s="16">
        <v>0.68</v>
      </c>
      <c r="E128" s="15" t="s">
        <v>367</v>
      </c>
      <c r="F128" s="15">
        <v>54</v>
      </c>
      <c r="G128" s="24" t="s">
        <v>258</v>
      </c>
      <c r="H128" s="24" t="s">
        <v>259</v>
      </c>
      <c r="I128" s="15" t="s">
        <v>13</v>
      </c>
      <c r="J128" s="15">
        <v>1</v>
      </c>
      <c r="K128" s="24" t="s">
        <v>258</v>
      </c>
      <c r="L128" s="24" t="s">
        <v>259</v>
      </c>
      <c r="M128" s="15" t="s">
        <v>13</v>
      </c>
      <c r="N128" s="9">
        <v>4.95</v>
      </c>
      <c r="O128" s="31" t="s">
        <v>258</v>
      </c>
      <c r="P128" s="31" t="s">
        <v>259</v>
      </c>
      <c r="Q128" s="9" t="s">
        <v>13</v>
      </c>
      <c r="R128" s="9">
        <v>0.74</v>
      </c>
      <c r="S128" s="31" t="s">
        <v>258</v>
      </c>
      <c r="T128" s="31" t="s">
        <v>259</v>
      </c>
      <c r="U128" s="9" t="s">
        <v>13</v>
      </c>
      <c r="V128" s="9">
        <v>1.22</v>
      </c>
      <c r="W128" s="9">
        <v>4.74</v>
      </c>
      <c r="X128" s="9">
        <v>1.46</v>
      </c>
      <c r="Y128" s="9">
        <v>1.84</v>
      </c>
      <c r="Z128" s="9">
        <v>4.7300000000000004</v>
      </c>
      <c r="AA128" s="9">
        <v>8.08</v>
      </c>
      <c r="AB128" s="9">
        <v>5.39</v>
      </c>
      <c r="AC128" s="9">
        <v>6.05</v>
      </c>
    </row>
    <row r="129" spans="1:29" ht="15.5" x14ac:dyDescent="0.35">
      <c r="A129" s="15">
        <v>236</v>
      </c>
      <c r="B129" s="15" t="s">
        <v>260</v>
      </c>
      <c r="C129" s="7">
        <v>203</v>
      </c>
      <c r="D129" s="16">
        <v>1</v>
      </c>
      <c r="E129" s="15" t="s">
        <v>367</v>
      </c>
      <c r="F129" s="15">
        <v>61.9</v>
      </c>
      <c r="G129" s="15" t="s">
        <v>261</v>
      </c>
      <c r="H129" s="15" t="s">
        <v>262</v>
      </c>
      <c r="I129" s="15" t="s">
        <v>13</v>
      </c>
      <c r="J129" s="15">
        <v>0.31</v>
      </c>
      <c r="K129" s="22" t="s">
        <v>261</v>
      </c>
      <c r="L129" s="22" t="s">
        <v>262</v>
      </c>
      <c r="M129" s="22" t="s">
        <v>13</v>
      </c>
      <c r="N129" s="9">
        <v>2.93</v>
      </c>
      <c r="O129" s="18" t="s">
        <v>261</v>
      </c>
      <c r="P129" s="18" t="s">
        <v>262</v>
      </c>
      <c r="Q129" s="18" t="s">
        <v>13</v>
      </c>
      <c r="R129" s="9">
        <v>0.86</v>
      </c>
      <c r="S129" s="18" t="s">
        <v>261</v>
      </c>
      <c r="T129" s="18" t="s">
        <v>262</v>
      </c>
      <c r="U129" s="18" t="s">
        <v>13</v>
      </c>
      <c r="V129" s="9">
        <v>0.73</v>
      </c>
      <c r="W129" s="9">
        <v>3.96</v>
      </c>
      <c r="X129" s="9">
        <v>1.25</v>
      </c>
      <c r="Y129" s="9">
        <f>AVERAGE(2.26,2.36)</f>
        <v>2.3099999999999996</v>
      </c>
      <c r="Z129" s="9">
        <f>AVERAGE(3.56,3.86)</f>
        <v>3.71</v>
      </c>
      <c r="AA129" s="9">
        <f>AVERAGE(5.17,5.71)</f>
        <v>5.4399999999999995</v>
      </c>
      <c r="AB129" s="9">
        <f>AVERAGE(3.39,3.74)</f>
        <v>3.5650000000000004</v>
      </c>
      <c r="AC129" s="9">
        <f>AVERAGE(3.5,4.38)</f>
        <v>3.94</v>
      </c>
    </row>
    <row r="130" spans="1:29" ht="15.5" x14ac:dyDescent="0.35">
      <c r="A130" s="15">
        <v>237</v>
      </c>
      <c r="B130" s="15" t="s">
        <v>263</v>
      </c>
      <c r="C130" s="7">
        <v>207</v>
      </c>
      <c r="D130" s="16">
        <v>0.95</v>
      </c>
      <c r="E130" s="15" t="s">
        <v>367</v>
      </c>
      <c r="F130" s="15">
        <v>54.85</v>
      </c>
      <c r="G130" s="15" t="s">
        <v>264</v>
      </c>
      <c r="H130" s="15" t="s">
        <v>265</v>
      </c>
      <c r="I130" s="15" t="s">
        <v>13</v>
      </c>
      <c r="J130" s="15">
        <v>0.7</v>
      </c>
      <c r="K130" s="22" t="s">
        <v>264</v>
      </c>
      <c r="L130" s="22" t="s">
        <v>265</v>
      </c>
      <c r="M130" s="22" t="s">
        <v>13</v>
      </c>
      <c r="N130" s="9">
        <v>2.36</v>
      </c>
      <c r="O130" s="18" t="s">
        <v>264</v>
      </c>
      <c r="P130" s="18" t="s">
        <v>265</v>
      </c>
      <c r="Q130" s="18" t="s">
        <v>13</v>
      </c>
      <c r="R130" s="9">
        <v>0.67</v>
      </c>
      <c r="S130" s="18" t="s">
        <v>264</v>
      </c>
      <c r="T130" s="18" t="s">
        <v>265</v>
      </c>
      <c r="U130" s="18" t="s">
        <v>13</v>
      </c>
      <c r="V130" s="9">
        <v>1.29</v>
      </c>
      <c r="W130" s="9">
        <v>5.29</v>
      </c>
      <c r="X130" s="9">
        <v>0.98</v>
      </c>
      <c r="Y130" s="9">
        <f>AVERAGE(2.87,2.61)</f>
        <v>2.74</v>
      </c>
      <c r="Z130" s="9">
        <f>AVERAGE(2.2,1.98)</f>
        <v>2.09</v>
      </c>
      <c r="AA130" s="9">
        <f>AVERAGE(6.31,7.15)</f>
        <v>6.73</v>
      </c>
      <c r="AB130" s="9">
        <f>AVERAGE(3.12,4.17)</f>
        <v>3.645</v>
      </c>
      <c r="AC130" s="9">
        <f>AVERAGE(2.46,2.7)</f>
        <v>2.58</v>
      </c>
    </row>
    <row r="131" spans="1:29" ht="15.5" x14ac:dyDescent="0.35">
      <c r="A131" s="15">
        <v>238</v>
      </c>
      <c r="B131" s="15" t="s">
        <v>266</v>
      </c>
      <c r="C131" s="8">
        <v>203</v>
      </c>
      <c r="D131" s="16">
        <v>0.65</v>
      </c>
      <c r="E131" s="15" t="s">
        <v>367</v>
      </c>
      <c r="F131" s="15">
        <v>43.94</v>
      </c>
      <c r="G131" s="15" t="s">
        <v>267</v>
      </c>
      <c r="H131" s="15" t="s">
        <v>268</v>
      </c>
      <c r="I131" s="15" t="s">
        <v>13</v>
      </c>
      <c r="J131" s="15">
        <v>1.05</v>
      </c>
      <c r="K131" s="22" t="s">
        <v>267</v>
      </c>
      <c r="L131" s="22" t="s">
        <v>268</v>
      </c>
      <c r="M131" s="15" t="s">
        <v>13</v>
      </c>
      <c r="N131" s="9">
        <v>2.73</v>
      </c>
      <c r="O131" s="18" t="s">
        <v>267</v>
      </c>
      <c r="P131" s="18" t="s">
        <v>268</v>
      </c>
      <c r="Q131" s="9" t="s">
        <v>13</v>
      </c>
      <c r="R131" s="9">
        <v>0.71</v>
      </c>
      <c r="S131" s="18" t="s">
        <v>267</v>
      </c>
      <c r="T131" s="18" t="s">
        <v>268</v>
      </c>
      <c r="U131" s="9" t="s">
        <v>13</v>
      </c>
      <c r="V131" s="9">
        <v>1.1499999999999999</v>
      </c>
      <c r="W131" s="9">
        <v>3.3</v>
      </c>
      <c r="X131" s="9">
        <v>0.85</v>
      </c>
      <c r="Y131" s="9">
        <f>AVERAGE(2.4,1.53,1.33,1.94)</f>
        <v>1.7999999999999998</v>
      </c>
      <c r="Z131" s="9">
        <f>AVERAGE(1.67,2.2,2.54,4.25)</f>
        <v>2.665</v>
      </c>
      <c r="AA131" s="9">
        <f>AVERAGE(4.25,5.49,3.82,4.87)</f>
        <v>4.6074999999999999</v>
      </c>
      <c r="AB131" s="9">
        <f>AVERAGE(3.18,2.75,2.95,4.85)</f>
        <v>3.4324999999999997</v>
      </c>
      <c r="AC131" s="9">
        <f>AVERAGE(2.99,5.42,3.63,2.4)</f>
        <v>3.61</v>
      </c>
    </row>
    <row r="132" spans="1:29" ht="15.5" x14ac:dyDescent="0.35">
      <c r="A132" s="15">
        <v>240</v>
      </c>
      <c r="B132" s="15" t="s">
        <v>269</v>
      </c>
      <c r="C132" s="7">
        <v>119</v>
      </c>
      <c r="D132" s="16">
        <v>1</v>
      </c>
      <c r="E132" s="15" t="s">
        <v>367</v>
      </c>
      <c r="F132" s="15">
        <v>624</v>
      </c>
      <c r="G132" s="15" t="s">
        <v>228</v>
      </c>
      <c r="H132" s="15" t="s">
        <v>229</v>
      </c>
      <c r="I132" s="15" t="s">
        <v>13</v>
      </c>
      <c r="J132" s="15">
        <v>7.3</v>
      </c>
      <c r="K132" s="15" t="s">
        <v>228</v>
      </c>
      <c r="L132" s="15" t="s">
        <v>229</v>
      </c>
      <c r="M132" s="15" t="s">
        <v>13</v>
      </c>
      <c r="N132" s="9">
        <v>4.3</v>
      </c>
      <c r="O132" s="9" t="s">
        <v>228</v>
      </c>
      <c r="P132" s="9" t="s">
        <v>229</v>
      </c>
      <c r="Q132" s="9" t="s">
        <v>13</v>
      </c>
      <c r="R132" s="9">
        <v>0.62</v>
      </c>
      <c r="S132" s="9" t="s">
        <v>228</v>
      </c>
      <c r="T132" s="9" t="s">
        <v>229</v>
      </c>
      <c r="U132" s="9" t="s">
        <v>13</v>
      </c>
      <c r="V132" s="9">
        <v>1.75</v>
      </c>
      <c r="W132" s="9">
        <v>3.07</v>
      </c>
      <c r="X132" s="9">
        <v>1.55</v>
      </c>
      <c r="Y132" s="9">
        <v>2.15</v>
      </c>
      <c r="Z132" s="9">
        <v>3.02</v>
      </c>
      <c r="AA132" s="9">
        <v>6.74</v>
      </c>
      <c r="AB132" s="9">
        <v>5.19</v>
      </c>
      <c r="AC132" s="9">
        <v>4.8099999999999996</v>
      </c>
    </row>
    <row r="133" spans="1:29" ht="15.5" x14ac:dyDescent="0.35">
      <c r="A133" s="15">
        <v>241</v>
      </c>
      <c r="B133" s="15" t="s">
        <v>270</v>
      </c>
      <c r="C133" s="7">
        <v>127</v>
      </c>
      <c r="D133" s="16">
        <v>1</v>
      </c>
      <c r="E133" s="15" t="s">
        <v>367</v>
      </c>
      <c r="F133" s="15">
        <v>520</v>
      </c>
      <c r="G133" s="24" t="s">
        <v>271</v>
      </c>
      <c r="H133" s="24" t="s">
        <v>136</v>
      </c>
      <c r="I133" s="15" t="s">
        <v>13</v>
      </c>
      <c r="J133" s="15">
        <v>23.7</v>
      </c>
      <c r="K133" s="24" t="s">
        <v>271</v>
      </c>
      <c r="L133" s="24" t="s">
        <v>136</v>
      </c>
      <c r="M133" s="15" t="s">
        <v>13</v>
      </c>
      <c r="N133" s="9">
        <v>3.39</v>
      </c>
      <c r="O133" s="31" t="s">
        <v>271</v>
      </c>
      <c r="P133" s="31" t="s">
        <v>136</v>
      </c>
      <c r="Q133" s="9" t="s">
        <v>13</v>
      </c>
      <c r="R133" s="9">
        <v>0.9</v>
      </c>
      <c r="S133" s="31" t="s">
        <v>271</v>
      </c>
      <c r="T133" s="31" t="s">
        <v>136</v>
      </c>
      <c r="U133" s="9" t="s">
        <v>13</v>
      </c>
      <c r="V133" s="9">
        <v>1.33</v>
      </c>
      <c r="W133" s="9">
        <v>2.54</v>
      </c>
      <c r="X133" s="9">
        <v>1.21</v>
      </c>
      <c r="Y133" s="9">
        <v>2.2400000000000002</v>
      </c>
      <c r="Z133" s="9">
        <v>4.67</v>
      </c>
      <c r="AA133" s="9">
        <v>6.4</v>
      </c>
      <c r="AB133" s="9">
        <v>5.4</v>
      </c>
      <c r="AC133" s="9">
        <v>3.92</v>
      </c>
    </row>
    <row r="134" spans="1:29" ht="15.5" x14ac:dyDescent="0.35">
      <c r="A134" s="15">
        <v>242</v>
      </c>
      <c r="B134" s="15" t="s">
        <v>272</v>
      </c>
      <c r="C134" s="7">
        <v>100</v>
      </c>
      <c r="D134" s="16">
        <v>0.75</v>
      </c>
      <c r="E134" s="15" t="s">
        <v>367</v>
      </c>
      <c r="F134" s="15">
        <v>316</v>
      </c>
      <c r="G134" s="15" t="s">
        <v>273</v>
      </c>
      <c r="H134" s="15" t="s">
        <v>274</v>
      </c>
      <c r="I134" s="15" t="s">
        <v>13</v>
      </c>
      <c r="J134" s="15">
        <v>2.4</v>
      </c>
      <c r="K134" s="15" t="s">
        <v>273</v>
      </c>
      <c r="L134" s="15" t="s">
        <v>274</v>
      </c>
      <c r="M134" s="15" t="s">
        <v>13</v>
      </c>
      <c r="N134" s="9">
        <v>2.44</v>
      </c>
      <c r="O134" s="9" t="s">
        <v>273</v>
      </c>
      <c r="P134" s="9" t="s">
        <v>274</v>
      </c>
      <c r="Q134" s="9" t="s">
        <v>13</v>
      </c>
      <c r="R134" s="9">
        <v>0.85</v>
      </c>
      <c r="S134" s="9" t="s">
        <v>273</v>
      </c>
      <c r="T134" s="9" t="s">
        <v>274</v>
      </c>
      <c r="U134" s="9" t="s">
        <v>13</v>
      </c>
      <c r="V134" s="9">
        <v>1.33</v>
      </c>
      <c r="W134" s="9">
        <v>3.73</v>
      </c>
      <c r="X134" s="9">
        <v>1.03</v>
      </c>
      <c r="Y134" s="9">
        <v>1.84</v>
      </c>
      <c r="Z134" s="9">
        <v>1.92</v>
      </c>
      <c r="AA134" s="9">
        <v>5.17</v>
      </c>
      <c r="AB134" s="9">
        <v>3.55</v>
      </c>
      <c r="AC134" s="9">
        <v>2.85</v>
      </c>
    </row>
    <row r="135" spans="1:29" ht="15.5" x14ac:dyDescent="0.35">
      <c r="A135" s="15">
        <v>243</v>
      </c>
      <c r="B135" s="15" t="s">
        <v>275</v>
      </c>
      <c r="C135" s="7">
        <v>100</v>
      </c>
      <c r="D135" s="16">
        <v>1</v>
      </c>
      <c r="E135" s="15" t="s">
        <v>367</v>
      </c>
      <c r="F135" s="15">
        <v>583</v>
      </c>
      <c r="G135" s="15" t="s">
        <v>276</v>
      </c>
      <c r="H135" s="15" t="s">
        <v>277</v>
      </c>
      <c r="I135" s="15" t="s">
        <v>13</v>
      </c>
      <c r="J135" s="15">
        <v>18.8</v>
      </c>
      <c r="K135" s="15" t="s">
        <v>276</v>
      </c>
      <c r="L135" s="15" t="s">
        <v>277</v>
      </c>
      <c r="M135" s="15" t="s">
        <v>13</v>
      </c>
      <c r="N135" s="9">
        <v>4.8</v>
      </c>
      <c r="O135" s="9" t="s">
        <v>276</v>
      </c>
      <c r="P135" s="9" t="s">
        <v>277</v>
      </c>
      <c r="Q135" s="9" t="s">
        <v>13</v>
      </c>
      <c r="R135" s="9">
        <v>1.05</v>
      </c>
      <c r="S135" s="9" t="s">
        <v>276</v>
      </c>
      <c r="T135" s="9" t="s">
        <v>277</v>
      </c>
      <c r="U135" s="9" t="s">
        <v>13</v>
      </c>
      <c r="V135" s="9">
        <v>1.33</v>
      </c>
      <c r="W135" s="9">
        <v>3.12</v>
      </c>
      <c r="X135" s="9">
        <v>1.38</v>
      </c>
      <c r="Y135" s="9">
        <v>2.27</v>
      </c>
      <c r="Z135" s="9">
        <v>3.86</v>
      </c>
      <c r="AA135" s="9">
        <v>7.02</v>
      </c>
      <c r="AB135" s="9">
        <v>4.87</v>
      </c>
      <c r="AC135" s="9">
        <v>3.23</v>
      </c>
    </row>
    <row r="136" spans="1:29" ht="15.5" x14ac:dyDescent="0.35">
      <c r="A136" s="15">
        <v>244</v>
      </c>
      <c r="B136" s="15" t="s">
        <v>278</v>
      </c>
      <c r="C136" s="7">
        <v>100</v>
      </c>
      <c r="D136" s="16">
        <v>0.45</v>
      </c>
      <c r="E136" s="15" t="s">
        <v>367</v>
      </c>
      <c r="F136" s="15">
        <v>671</v>
      </c>
      <c r="G136" s="15" t="s">
        <v>279</v>
      </c>
      <c r="H136" s="15" t="s">
        <v>280</v>
      </c>
      <c r="I136" s="15" t="s">
        <v>13</v>
      </c>
      <c r="J136" s="15">
        <v>14.9</v>
      </c>
      <c r="K136" s="15" t="s">
        <v>279</v>
      </c>
      <c r="L136" s="15" t="s">
        <v>280</v>
      </c>
      <c r="M136" s="15" t="s">
        <v>13</v>
      </c>
      <c r="N136" s="9">
        <v>2.1800000000000002</v>
      </c>
      <c r="O136" s="9" t="s">
        <v>279</v>
      </c>
      <c r="P136" s="9" t="s">
        <v>280</v>
      </c>
      <c r="Q136" s="9" t="s">
        <v>13</v>
      </c>
      <c r="R136" s="9">
        <v>1.04</v>
      </c>
      <c r="S136" s="9" t="s">
        <v>279</v>
      </c>
      <c r="T136" s="9" t="s">
        <v>280</v>
      </c>
      <c r="U136" s="9" t="s">
        <v>13</v>
      </c>
      <c r="V136" s="9">
        <v>1.36</v>
      </c>
      <c r="W136" s="9">
        <v>3.08</v>
      </c>
      <c r="X136" s="9">
        <v>0.73</v>
      </c>
      <c r="Y136" s="9">
        <v>2.34</v>
      </c>
      <c r="Z136" s="9">
        <v>4.74</v>
      </c>
      <c r="AA136" s="9">
        <v>6.87</v>
      </c>
      <c r="AB136" s="9">
        <v>4.41</v>
      </c>
      <c r="AC136" s="9">
        <v>5.78</v>
      </c>
    </row>
    <row r="137" spans="1:29" ht="15.5" x14ac:dyDescent="0.35">
      <c r="A137" s="15">
        <v>245</v>
      </c>
      <c r="B137" s="15" t="s">
        <v>281</v>
      </c>
      <c r="C137" s="7">
        <v>100</v>
      </c>
      <c r="D137" s="16">
        <v>0.52</v>
      </c>
      <c r="E137" s="15" t="s">
        <v>367</v>
      </c>
      <c r="F137" s="15">
        <v>444.8</v>
      </c>
      <c r="G137" s="15" t="s">
        <v>282</v>
      </c>
      <c r="H137" s="15" t="s">
        <v>283</v>
      </c>
      <c r="I137" s="15" t="s">
        <v>13</v>
      </c>
      <c r="J137" s="15">
        <v>14.6</v>
      </c>
      <c r="K137" s="22" t="s">
        <v>282</v>
      </c>
      <c r="L137" s="22" t="s">
        <v>283</v>
      </c>
      <c r="M137" s="22" t="s">
        <v>13</v>
      </c>
      <c r="N137" s="9">
        <v>3.96</v>
      </c>
      <c r="O137" s="18" t="s">
        <v>282</v>
      </c>
      <c r="P137" s="18" t="s">
        <v>283</v>
      </c>
      <c r="Q137" s="18" t="s">
        <v>13</v>
      </c>
      <c r="R137" s="9">
        <v>1.105</v>
      </c>
      <c r="S137" s="18" t="s">
        <v>282</v>
      </c>
      <c r="T137" s="18" t="s">
        <v>283</v>
      </c>
      <c r="U137" s="18" t="s">
        <v>13</v>
      </c>
      <c r="V137" s="9">
        <v>1.06</v>
      </c>
      <c r="W137" s="9">
        <v>3.71</v>
      </c>
      <c r="X137" s="9">
        <v>1.22</v>
      </c>
      <c r="Y137" s="9">
        <f>AVERAGE(2.28,2.09)</f>
        <v>2.1849999999999996</v>
      </c>
      <c r="Z137" s="9">
        <f>AVERAGE(1.74,5.22)</f>
        <v>3.48</v>
      </c>
      <c r="AA137" s="9">
        <f>AVERAGE(4.43,7.55)</f>
        <v>5.99</v>
      </c>
      <c r="AB137" s="9">
        <f>AVERAGE(3.56,5.52)</f>
        <v>4.54</v>
      </c>
      <c r="AC137" s="9">
        <f>AVERAGE(3.25,5.27)</f>
        <v>4.26</v>
      </c>
    </row>
    <row r="138" spans="1:29" ht="15.5" x14ac:dyDescent="0.35">
      <c r="A138" s="15">
        <v>246</v>
      </c>
      <c r="B138" s="15" t="s">
        <v>284</v>
      </c>
      <c r="C138" s="7">
        <v>100</v>
      </c>
      <c r="D138" s="16">
        <v>1</v>
      </c>
      <c r="E138" s="15" t="s">
        <v>368</v>
      </c>
      <c r="F138" s="15">
        <v>296</v>
      </c>
      <c r="G138" s="15" t="s">
        <v>285</v>
      </c>
      <c r="H138" s="15" t="s">
        <v>286</v>
      </c>
      <c r="I138" s="15" t="s">
        <v>13</v>
      </c>
      <c r="J138" s="15">
        <v>2.76</v>
      </c>
      <c r="K138" s="22" t="s">
        <v>285</v>
      </c>
      <c r="L138" s="22" t="s">
        <v>287</v>
      </c>
      <c r="M138" s="15" t="s">
        <v>13</v>
      </c>
      <c r="N138" s="9">
        <v>3.04</v>
      </c>
      <c r="O138" s="38" t="s">
        <v>285</v>
      </c>
      <c r="P138" s="38" t="s">
        <v>287</v>
      </c>
      <c r="Q138" s="9" t="s">
        <v>13</v>
      </c>
      <c r="R138" s="9">
        <v>0.7</v>
      </c>
      <c r="S138" s="38" t="s">
        <v>285</v>
      </c>
      <c r="T138" s="38" t="s">
        <v>287</v>
      </c>
      <c r="U138" s="9" t="s">
        <v>13</v>
      </c>
      <c r="V138" s="9">
        <v>0.78</v>
      </c>
      <c r="W138" s="9">
        <v>3.39</v>
      </c>
      <c r="X138" s="9">
        <v>0.74</v>
      </c>
      <c r="Y138" s="9">
        <v>2.92</v>
      </c>
      <c r="Z138" s="9">
        <v>1.88</v>
      </c>
      <c r="AA138" s="9">
        <v>4.26</v>
      </c>
      <c r="AB138" s="9">
        <v>2.5099999999999998</v>
      </c>
      <c r="AC138" s="9">
        <v>2.84</v>
      </c>
    </row>
    <row r="139" spans="1:29" ht="15.5" x14ac:dyDescent="0.35">
      <c r="A139" s="15">
        <v>247</v>
      </c>
      <c r="B139" s="15" t="s">
        <v>288</v>
      </c>
      <c r="C139" s="7">
        <v>100</v>
      </c>
      <c r="D139" s="16">
        <v>1</v>
      </c>
      <c r="E139" s="15" t="s">
        <v>368</v>
      </c>
      <c r="F139" s="15">
        <v>199</v>
      </c>
      <c r="G139" s="15" t="s">
        <v>289</v>
      </c>
      <c r="H139" s="15" t="s">
        <v>290</v>
      </c>
      <c r="I139" s="15" t="s">
        <v>13</v>
      </c>
      <c r="J139" s="15">
        <v>2.6</v>
      </c>
      <c r="K139" s="22" t="s">
        <v>289</v>
      </c>
      <c r="L139" s="22" t="s">
        <v>290</v>
      </c>
      <c r="M139" s="22" t="s">
        <v>13</v>
      </c>
      <c r="N139" s="9">
        <v>2.3199999999999998</v>
      </c>
      <c r="O139" s="18" t="s">
        <v>289</v>
      </c>
      <c r="P139" s="18" t="s">
        <v>290</v>
      </c>
      <c r="Q139" s="18" t="s">
        <v>13</v>
      </c>
      <c r="R139" s="9">
        <v>1.365</v>
      </c>
      <c r="S139" s="18" t="s">
        <v>289</v>
      </c>
      <c r="T139" s="18" t="s">
        <v>290</v>
      </c>
      <c r="U139" s="18" t="s">
        <v>13</v>
      </c>
      <c r="V139" s="9">
        <v>1.27</v>
      </c>
      <c r="W139" s="9">
        <v>3.36</v>
      </c>
      <c r="X139" s="9">
        <v>1.05</v>
      </c>
      <c r="Y139" s="9">
        <f>AVERAGE(1.21,1.16)</f>
        <v>1.1850000000000001</v>
      </c>
      <c r="Z139" s="9">
        <f>AVERAGE(2.25,4.84)</f>
        <v>3.5449999999999999</v>
      </c>
      <c r="AA139" s="9">
        <f>AVERAGE(5.8,4.22)</f>
        <v>5.01</v>
      </c>
      <c r="AB139" s="9">
        <f>AVERAGE(3.36,2.73)</f>
        <v>3.0449999999999999</v>
      </c>
      <c r="AC139" s="9">
        <f>AVERAGE(2.31,5.34)</f>
        <v>3.8250000000000002</v>
      </c>
    </row>
    <row r="140" spans="1:29" ht="15.5" x14ac:dyDescent="0.35">
      <c r="A140" s="15">
        <v>250</v>
      </c>
      <c r="B140" s="15" t="s">
        <v>291</v>
      </c>
      <c r="C140" s="7">
        <v>58</v>
      </c>
      <c r="D140" s="16">
        <v>0.86</v>
      </c>
      <c r="E140" s="15" t="s">
        <v>367</v>
      </c>
      <c r="F140" s="15">
        <v>55</v>
      </c>
      <c r="G140" s="24" t="s">
        <v>292</v>
      </c>
      <c r="H140" s="24" t="s">
        <v>293</v>
      </c>
      <c r="I140" s="15" t="s">
        <v>13</v>
      </c>
      <c r="J140" s="15">
        <v>2.2000000000000002</v>
      </c>
      <c r="K140" s="24" t="s">
        <v>292</v>
      </c>
      <c r="L140" s="24" t="s">
        <v>293</v>
      </c>
      <c r="M140" s="15" t="s">
        <v>13</v>
      </c>
      <c r="N140" s="9">
        <v>2.31</v>
      </c>
      <c r="O140" s="31" t="s">
        <v>292</v>
      </c>
      <c r="P140" s="31" t="s">
        <v>293</v>
      </c>
      <c r="Q140" s="9" t="s">
        <v>13</v>
      </c>
      <c r="R140" s="9">
        <v>0.99</v>
      </c>
      <c r="S140" s="31" t="s">
        <v>292</v>
      </c>
      <c r="T140" s="31" t="s">
        <v>293</v>
      </c>
      <c r="U140" s="9" t="s">
        <v>13</v>
      </c>
      <c r="V140" s="9">
        <v>0.82</v>
      </c>
      <c r="W140" s="9">
        <v>4.3499999999999996</v>
      </c>
      <c r="X140" s="9">
        <v>0.89</v>
      </c>
      <c r="Y140" s="9">
        <v>1.58</v>
      </c>
      <c r="Z140" s="9">
        <v>3.98</v>
      </c>
      <c r="AA140" s="9">
        <v>6.49</v>
      </c>
      <c r="AB140" s="9">
        <v>4.3600000000000003</v>
      </c>
      <c r="AC140" s="9">
        <v>4.3499999999999996</v>
      </c>
    </row>
    <row r="141" spans="1:29" ht="15.5" x14ac:dyDescent="0.35">
      <c r="A141" s="15">
        <v>251</v>
      </c>
      <c r="B141" s="15" t="s">
        <v>294</v>
      </c>
      <c r="C141" s="7">
        <v>58</v>
      </c>
      <c r="D141" s="16">
        <v>0.84</v>
      </c>
      <c r="E141" s="15" t="s">
        <v>367</v>
      </c>
      <c r="F141" s="15">
        <v>180</v>
      </c>
      <c r="G141" s="15" t="s">
        <v>295</v>
      </c>
      <c r="H141" s="15" t="s">
        <v>296</v>
      </c>
      <c r="I141" s="15" t="s">
        <v>13</v>
      </c>
      <c r="J141" s="15">
        <v>6.83</v>
      </c>
      <c r="K141" s="22" t="s">
        <v>295</v>
      </c>
      <c r="L141" s="22" t="s">
        <v>296</v>
      </c>
      <c r="M141" s="15" t="s">
        <v>13</v>
      </c>
      <c r="N141" s="9">
        <v>4.0999999999999996</v>
      </c>
      <c r="O141" s="18" t="s">
        <v>443</v>
      </c>
      <c r="P141" s="18" t="s">
        <v>296</v>
      </c>
      <c r="Q141" s="9" t="s">
        <v>13</v>
      </c>
      <c r="R141" s="9">
        <v>0.78</v>
      </c>
      <c r="S141" s="18" t="s">
        <v>443</v>
      </c>
      <c r="T141" s="18" t="s">
        <v>296</v>
      </c>
      <c r="U141" s="9" t="s">
        <v>13</v>
      </c>
      <c r="V141" s="9">
        <v>1.82</v>
      </c>
      <c r="W141" s="9">
        <v>3.13</v>
      </c>
      <c r="X141" s="9">
        <v>0.76</v>
      </c>
      <c r="Y141" s="9">
        <f>AVERAGE(1.33,1.25)</f>
        <v>1.29</v>
      </c>
      <c r="Z141" s="9">
        <f>AVERAGE(2.25,2.24)</f>
        <v>2.2450000000000001</v>
      </c>
      <c r="AA141" s="9">
        <f>AVERAGE(3.79,4.07)</f>
        <v>3.93</v>
      </c>
      <c r="AB141" s="9">
        <f>AVERAGE(3.53,3.27)</f>
        <v>3.4</v>
      </c>
      <c r="AC141" s="9">
        <f>AVERAGE(3.17,3.79)</f>
        <v>3.48</v>
      </c>
    </row>
    <row r="142" spans="1:29" ht="15.5" x14ac:dyDescent="0.35">
      <c r="A142" s="15">
        <v>252</v>
      </c>
      <c r="B142" s="15" t="s">
        <v>297</v>
      </c>
      <c r="C142" s="7">
        <v>85</v>
      </c>
      <c r="D142" s="16">
        <v>1</v>
      </c>
      <c r="E142" s="15" t="s">
        <v>367</v>
      </c>
      <c r="F142" s="15">
        <v>304</v>
      </c>
      <c r="G142" s="24" t="s">
        <v>298</v>
      </c>
      <c r="H142" s="15" t="s">
        <v>299</v>
      </c>
      <c r="I142" s="15" t="s">
        <v>13</v>
      </c>
      <c r="J142" s="15">
        <v>13.9</v>
      </c>
      <c r="K142" s="24" t="s">
        <v>298</v>
      </c>
      <c r="L142" s="15" t="s">
        <v>299</v>
      </c>
      <c r="M142" s="15" t="s">
        <v>13</v>
      </c>
      <c r="N142" s="9">
        <v>4.8499999999999996</v>
      </c>
      <c r="O142" s="27" t="s">
        <v>298</v>
      </c>
      <c r="P142" s="9" t="s">
        <v>299</v>
      </c>
      <c r="Q142" s="9" t="s">
        <v>13</v>
      </c>
      <c r="R142" s="9">
        <v>0.95</v>
      </c>
      <c r="S142" s="27" t="s">
        <v>298</v>
      </c>
      <c r="T142" s="9" t="s">
        <v>299</v>
      </c>
      <c r="U142" s="9" t="s">
        <v>13</v>
      </c>
      <c r="V142" s="9">
        <v>1.02</v>
      </c>
      <c r="W142" s="9">
        <v>3.91</v>
      </c>
      <c r="X142" s="9">
        <v>1.25</v>
      </c>
      <c r="Y142" s="9">
        <v>2.87</v>
      </c>
      <c r="Z142" s="9">
        <v>4.43</v>
      </c>
      <c r="AA142" s="9">
        <v>6.23</v>
      </c>
      <c r="AB142" s="9">
        <v>4.46</v>
      </c>
      <c r="AC142" s="9">
        <v>5.13</v>
      </c>
    </row>
    <row r="143" spans="1:29" ht="15.5" x14ac:dyDescent="0.35">
      <c r="A143" s="15">
        <v>253</v>
      </c>
      <c r="B143" s="15" t="s">
        <v>300</v>
      </c>
      <c r="C143" s="7">
        <v>85</v>
      </c>
      <c r="D143" s="16">
        <v>1</v>
      </c>
      <c r="E143" s="15" t="s">
        <v>367</v>
      </c>
      <c r="F143" s="15">
        <v>269</v>
      </c>
      <c r="G143" s="15" t="s">
        <v>301</v>
      </c>
      <c r="H143" s="15" t="s">
        <v>302</v>
      </c>
      <c r="I143" s="15" t="s">
        <v>13</v>
      </c>
      <c r="J143" s="15">
        <v>10.66</v>
      </c>
      <c r="K143" s="15" t="s">
        <v>301</v>
      </c>
      <c r="L143" s="15" t="s">
        <v>302</v>
      </c>
      <c r="M143" s="15" t="s">
        <v>13</v>
      </c>
      <c r="N143" s="9">
        <v>5.62</v>
      </c>
      <c r="O143" s="9" t="s">
        <v>301</v>
      </c>
      <c r="P143" s="9" t="s">
        <v>302</v>
      </c>
      <c r="Q143" s="9" t="s">
        <v>13</v>
      </c>
      <c r="R143" s="9">
        <v>1.18</v>
      </c>
      <c r="S143" s="9" t="s">
        <v>301</v>
      </c>
      <c r="T143" s="9" t="s">
        <v>302</v>
      </c>
      <c r="U143" s="9" t="s">
        <v>13</v>
      </c>
      <c r="V143" s="9">
        <v>0.99</v>
      </c>
      <c r="W143" s="9">
        <v>4.0199999999999996</v>
      </c>
      <c r="X143" s="9">
        <v>2.04</v>
      </c>
      <c r="Y143" s="9">
        <v>2.85</v>
      </c>
      <c r="Z143" s="9">
        <v>4.5199999999999996</v>
      </c>
      <c r="AA143" s="9">
        <v>6.73</v>
      </c>
      <c r="AB143" s="9">
        <v>4.09</v>
      </c>
      <c r="AC143" s="9">
        <v>6.24</v>
      </c>
    </row>
    <row r="144" spans="1:29" ht="15.5" x14ac:dyDescent="0.35">
      <c r="A144" s="15">
        <v>254</v>
      </c>
      <c r="B144" s="15" t="s">
        <v>303</v>
      </c>
      <c r="C144" s="7">
        <v>85</v>
      </c>
      <c r="D144" s="16">
        <v>1</v>
      </c>
      <c r="E144" s="15" t="s">
        <v>367</v>
      </c>
      <c r="F144" s="15">
        <v>281</v>
      </c>
      <c r="G144" s="15" t="s">
        <v>304</v>
      </c>
      <c r="H144" s="15" t="s">
        <v>305</v>
      </c>
      <c r="I144" s="15" t="s">
        <v>13</v>
      </c>
      <c r="J144" s="15">
        <v>7.66</v>
      </c>
      <c r="K144" s="15" t="s">
        <v>304</v>
      </c>
      <c r="L144" s="15" t="s">
        <v>305</v>
      </c>
      <c r="M144" s="15" t="s">
        <v>13</v>
      </c>
      <c r="N144" s="9">
        <v>3.76</v>
      </c>
      <c r="O144" s="9" t="s">
        <v>304</v>
      </c>
      <c r="P144" s="9" t="s">
        <v>305</v>
      </c>
      <c r="Q144" s="9" t="s">
        <v>13</v>
      </c>
      <c r="R144" s="9">
        <v>2.06</v>
      </c>
      <c r="S144" s="9" t="s">
        <v>304</v>
      </c>
      <c r="T144" s="9" t="s">
        <v>305</v>
      </c>
      <c r="U144" s="9" t="s">
        <v>13</v>
      </c>
      <c r="V144" s="9">
        <v>0.77</v>
      </c>
      <c r="W144" s="9">
        <v>4.45</v>
      </c>
      <c r="X144" s="9">
        <v>1.1299999999999999</v>
      </c>
      <c r="Y144" s="9">
        <v>1.88</v>
      </c>
      <c r="Z144" s="9">
        <v>4.54</v>
      </c>
      <c r="AA144" s="9">
        <v>8.2799999999999994</v>
      </c>
      <c r="AB144" s="9">
        <v>5.56</v>
      </c>
      <c r="AC144" s="9">
        <v>5.81</v>
      </c>
    </row>
    <row r="145" spans="1:29" ht="15.5" x14ac:dyDescent="0.35">
      <c r="A145" s="15">
        <v>255</v>
      </c>
      <c r="B145" s="15" t="s">
        <v>306</v>
      </c>
      <c r="C145" s="7">
        <v>85</v>
      </c>
      <c r="D145" s="16">
        <v>1</v>
      </c>
      <c r="E145" s="15" t="s">
        <v>367</v>
      </c>
      <c r="F145" s="15">
        <v>217</v>
      </c>
      <c r="G145" s="15" t="s">
        <v>307</v>
      </c>
      <c r="H145" s="15" t="s">
        <v>308</v>
      </c>
      <c r="I145" s="15" t="s">
        <v>13</v>
      </c>
      <c r="J145" s="15">
        <v>10.119999999999999</v>
      </c>
      <c r="K145" s="15" t="s">
        <v>307</v>
      </c>
      <c r="L145" s="15" t="s">
        <v>308</v>
      </c>
      <c r="M145" s="15" t="s">
        <v>13</v>
      </c>
      <c r="N145" s="9">
        <v>2.23</v>
      </c>
      <c r="O145" s="9" t="s">
        <v>307</v>
      </c>
      <c r="P145" s="9" t="s">
        <v>308</v>
      </c>
      <c r="Q145" s="9" t="s">
        <v>13</v>
      </c>
      <c r="R145" s="9">
        <v>0.55000000000000004</v>
      </c>
      <c r="S145" s="9" t="s">
        <v>307</v>
      </c>
      <c r="T145" s="9" t="s">
        <v>308</v>
      </c>
      <c r="U145" s="9" t="s">
        <v>13</v>
      </c>
      <c r="V145" s="9">
        <v>1.26</v>
      </c>
      <c r="W145" s="9">
        <v>2.63</v>
      </c>
      <c r="X145" s="9">
        <v>0.6</v>
      </c>
      <c r="Y145" s="9">
        <v>1.28</v>
      </c>
      <c r="Z145" s="9">
        <v>3.85</v>
      </c>
      <c r="AA145" s="9">
        <v>8.25</v>
      </c>
      <c r="AB145" s="9">
        <v>5.15</v>
      </c>
      <c r="AC145" s="9">
        <v>3.62</v>
      </c>
    </row>
    <row r="146" spans="1:29" ht="15.5" x14ac:dyDescent="0.35">
      <c r="A146" s="15">
        <v>256</v>
      </c>
      <c r="B146" s="15" t="s">
        <v>309</v>
      </c>
      <c r="C146" s="7">
        <v>58</v>
      </c>
      <c r="D146" s="16">
        <v>0.94</v>
      </c>
      <c r="E146" s="15" t="s">
        <v>367</v>
      </c>
      <c r="F146" s="15">
        <v>237</v>
      </c>
      <c r="G146" s="24" t="s">
        <v>310</v>
      </c>
      <c r="H146" s="24" t="s">
        <v>311</v>
      </c>
      <c r="I146" s="15" t="s">
        <v>13</v>
      </c>
      <c r="J146" s="15">
        <v>12.69</v>
      </c>
      <c r="K146" s="24" t="s">
        <v>310</v>
      </c>
      <c r="L146" s="24" t="s">
        <v>311</v>
      </c>
      <c r="M146" s="15" t="s">
        <v>13</v>
      </c>
      <c r="N146" s="9">
        <v>4.1900000000000004</v>
      </c>
      <c r="O146" s="27" t="s">
        <v>310</v>
      </c>
      <c r="P146" s="27" t="s">
        <v>311</v>
      </c>
      <c r="Q146" s="9" t="s">
        <v>13</v>
      </c>
      <c r="R146" s="9">
        <v>0.92</v>
      </c>
      <c r="S146" s="27" t="s">
        <v>310</v>
      </c>
      <c r="T146" s="27" t="s">
        <v>311</v>
      </c>
      <c r="U146" s="9" t="s">
        <v>13</v>
      </c>
      <c r="V146" s="9">
        <v>1.74</v>
      </c>
      <c r="W146" s="9">
        <v>4.08</v>
      </c>
      <c r="X146" s="9">
        <v>1.26</v>
      </c>
      <c r="Y146" s="9">
        <v>2.11</v>
      </c>
      <c r="Z146" s="9">
        <v>3.75</v>
      </c>
      <c r="AA146" s="9">
        <v>6.38</v>
      </c>
      <c r="AB146" s="9">
        <v>5.09</v>
      </c>
      <c r="AC146" s="9">
        <v>4.82</v>
      </c>
    </row>
    <row r="147" spans="1:29" ht="15.5" x14ac:dyDescent="0.35">
      <c r="A147" s="15">
        <v>257</v>
      </c>
      <c r="B147" s="15" t="s">
        <v>312</v>
      </c>
      <c r="C147" s="7">
        <v>58</v>
      </c>
      <c r="D147" s="16">
        <v>0.41</v>
      </c>
      <c r="E147" s="15" t="s">
        <v>367</v>
      </c>
      <c r="F147" s="15">
        <v>81.7</v>
      </c>
      <c r="G147" s="15" t="s">
        <v>313</v>
      </c>
      <c r="H147" s="15" t="s">
        <v>314</v>
      </c>
      <c r="I147" s="15" t="s">
        <v>13</v>
      </c>
      <c r="J147" s="15">
        <v>3.56</v>
      </c>
      <c r="K147" s="22" t="s">
        <v>313</v>
      </c>
      <c r="L147" s="22" t="s">
        <v>314</v>
      </c>
      <c r="M147" s="22" t="s">
        <v>13</v>
      </c>
      <c r="N147" s="9">
        <v>2.21</v>
      </c>
      <c r="O147" s="9" t="s">
        <v>315</v>
      </c>
      <c r="P147" s="9" t="s">
        <v>316</v>
      </c>
      <c r="Q147" s="9" t="s">
        <v>13</v>
      </c>
      <c r="R147" s="9">
        <v>1.1399999999999999</v>
      </c>
      <c r="S147" s="9" t="s">
        <v>315</v>
      </c>
      <c r="T147" s="9" t="s">
        <v>316</v>
      </c>
      <c r="U147" s="9" t="s">
        <v>13</v>
      </c>
      <c r="V147" s="9">
        <v>0.71</v>
      </c>
      <c r="W147" s="9">
        <v>3.26</v>
      </c>
      <c r="X147" s="9">
        <v>0.84</v>
      </c>
      <c r="Y147" s="9">
        <v>2.58</v>
      </c>
      <c r="Z147" s="9">
        <v>3.28</v>
      </c>
      <c r="AA147" s="9">
        <v>5.58</v>
      </c>
      <c r="AB147" s="9">
        <v>5.46</v>
      </c>
      <c r="AC147" s="9">
        <v>4.0199999999999996</v>
      </c>
    </row>
    <row r="148" spans="1:29" ht="85" customHeight="1" x14ac:dyDescent="0.35">
      <c r="A148" s="15">
        <v>258</v>
      </c>
      <c r="B148" s="15" t="s">
        <v>317</v>
      </c>
      <c r="C148" s="7">
        <v>85</v>
      </c>
      <c r="D148" s="16">
        <v>1</v>
      </c>
      <c r="E148" s="15" t="s">
        <v>367</v>
      </c>
      <c r="F148" s="15">
        <v>237</v>
      </c>
      <c r="G148" s="15" t="s">
        <v>318</v>
      </c>
      <c r="H148" s="15"/>
      <c r="I148" s="15" t="s">
        <v>13</v>
      </c>
      <c r="J148" s="15">
        <v>12.7</v>
      </c>
      <c r="K148" s="15" t="s">
        <v>318</v>
      </c>
      <c r="L148" s="15"/>
      <c r="M148" s="15" t="s">
        <v>13</v>
      </c>
      <c r="N148" s="9"/>
      <c r="O148" s="39" t="s">
        <v>318</v>
      </c>
      <c r="P148" s="9"/>
      <c r="Q148" s="9" t="s">
        <v>13</v>
      </c>
      <c r="R148" s="9"/>
      <c r="S148" s="39" t="s">
        <v>318</v>
      </c>
      <c r="T148" s="9"/>
      <c r="U148" s="9" t="s">
        <v>13</v>
      </c>
      <c r="V148" s="9">
        <v>1.1299999999999999</v>
      </c>
      <c r="W148" s="9">
        <v>4.12</v>
      </c>
      <c r="X148" s="9">
        <v>1.42</v>
      </c>
      <c r="Y148" s="9">
        <f>AVERAGE(2.11,2.87, 2.85, 1.88)</f>
        <v>2.4275000000000002</v>
      </c>
      <c r="Z148" s="9">
        <f>AVERAGE(3.75, 4.52,4.43,4.54)</f>
        <v>4.3099999999999996</v>
      </c>
      <c r="AA148" s="9">
        <f>AVERAGE(6.38, 6.73,6.23,8.28)</f>
        <v>6.9049999999999994</v>
      </c>
      <c r="AB148" s="9">
        <f>AVERAGE(5.09,4.09,4.46,5.56)</f>
        <v>4.8</v>
      </c>
      <c r="AC148" s="9">
        <f>AVERAGE(4.82,6.24,5.13,5.81)</f>
        <v>5.5</v>
      </c>
    </row>
    <row r="149" spans="1:29" ht="170.5" x14ac:dyDescent="0.35">
      <c r="A149" s="15">
        <v>260</v>
      </c>
      <c r="B149" s="15" t="s">
        <v>319</v>
      </c>
      <c r="C149" s="7">
        <v>102</v>
      </c>
      <c r="D149" s="16">
        <v>1</v>
      </c>
      <c r="E149" s="15" t="s">
        <v>367</v>
      </c>
      <c r="F149" s="15">
        <v>545.32000000000005</v>
      </c>
      <c r="G149" s="15" t="s">
        <v>320</v>
      </c>
      <c r="H149" s="15" t="s">
        <v>321</v>
      </c>
      <c r="I149" s="15" t="s">
        <v>13</v>
      </c>
      <c r="J149" s="15">
        <v>19.78</v>
      </c>
      <c r="K149" s="22" t="s">
        <v>320</v>
      </c>
      <c r="L149" s="22" t="s">
        <v>321</v>
      </c>
      <c r="M149" s="22" t="s">
        <v>13</v>
      </c>
      <c r="N149" s="9">
        <v>3.51</v>
      </c>
      <c r="O149" s="18" t="s">
        <v>320</v>
      </c>
      <c r="P149" s="17" t="s">
        <v>321</v>
      </c>
      <c r="Q149" s="18" t="s">
        <v>13</v>
      </c>
      <c r="R149" s="9">
        <v>0.86</v>
      </c>
      <c r="S149" s="18" t="s">
        <v>320</v>
      </c>
      <c r="T149" s="17" t="s">
        <v>321</v>
      </c>
      <c r="U149" s="18" t="s">
        <v>13</v>
      </c>
      <c r="V149" s="9">
        <v>1.4</v>
      </c>
      <c r="W149" s="9">
        <v>3.4</v>
      </c>
      <c r="X149" s="9">
        <v>1.77</v>
      </c>
      <c r="Y149" s="9">
        <f>AVERAGE(2.3,2.41,2.24,2.38,2.3)</f>
        <v>2.3259999999999996</v>
      </c>
      <c r="Z149" s="9">
        <f>AVERAGE(5.01,6.02,3.8,4,4.21)</f>
        <v>4.6079999999999997</v>
      </c>
      <c r="AA149" s="9">
        <f>AVERAGE(6.18,5.1,6.96,6.23,6.38)</f>
        <v>6.17</v>
      </c>
      <c r="AB149" s="9">
        <f>AVERAGE(3.83,4.38,4.47,3.68,4.97)</f>
        <v>4.266</v>
      </c>
      <c r="AC149" s="9">
        <f>AVERAGE(4.79,4.64,5,4.73,4.99)</f>
        <v>4.83</v>
      </c>
    </row>
    <row r="150" spans="1:29" ht="15.5" x14ac:dyDescent="0.35">
      <c r="A150" s="15">
        <v>261</v>
      </c>
      <c r="B150" s="15" t="s">
        <v>322</v>
      </c>
      <c r="C150" s="7">
        <v>85</v>
      </c>
      <c r="D150" s="16">
        <v>1</v>
      </c>
      <c r="E150" s="15" t="s">
        <v>367</v>
      </c>
      <c r="F150" s="15">
        <v>237</v>
      </c>
      <c r="G150" s="15"/>
      <c r="H150" s="15"/>
      <c r="I150" s="15" t="s">
        <v>13</v>
      </c>
      <c r="J150" s="15">
        <v>12.7</v>
      </c>
      <c r="K150" s="15"/>
      <c r="L150" s="15"/>
      <c r="M150" s="15" t="s">
        <v>13</v>
      </c>
      <c r="N150" s="9"/>
      <c r="O150" s="9"/>
      <c r="P150" s="9"/>
      <c r="Q150" s="9" t="s">
        <v>13</v>
      </c>
      <c r="R150" s="9"/>
      <c r="S150" s="9"/>
      <c r="T150" s="9"/>
      <c r="U150" s="9" t="s">
        <v>13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>
        <v>0</v>
      </c>
      <c r="AB150" s="9">
        <v>0</v>
      </c>
      <c r="AC150" s="9">
        <v>0</v>
      </c>
    </row>
    <row r="151" spans="1:29" ht="15.5" x14ac:dyDescent="0.35">
      <c r="A151" s="15">
        <v>270</v>
      </c>
      <c r="B151" s="15" t="s">
        <v>323</v>
      </c>
      <c r="C151" s="7">
        <v>193</v>
      </c>
      <c r="D151" s="16">
        <v>1</v>
      </c>
      <c r="E151" s="15" t="s">
        <v>368</v>
      </c>
      <c r="F151" s="15">
        <v>50</v>
      </c>
      <c r="G151" s="15" t="s">
        <v>324</v>
      </c>
      <c r="H151" s="15" t="s">
        <v>455</v>
      </c>
      <c r="I151" s="15" t="s">
        <v>115</v>
      </c>
      <c r="J151" s="15">
        <v>0</v>
      </c>
      <c r="K151" s="15" t="s">
        <v>324</v>
      </c>
      <c r="L151" s="15" t="s">
        <v>455</v>
      </c>
      <c r="M151" s="15" t="s">
        <v>115</v>
      </c>
      <c r="N151" s="9">
        <v>0</v>
      </c>
      <c r="O151" s="15" t="s">
        <v>324</v>
      </c>
      <c r="P151" s="15" t="s">
        <v>455</v>
      </c>
      <c r="Q151" s="15" t="s">
        <v>115</v>
      </c>
      <c r="R151" s="9">
        <v>0</v>
      </c>
      <c r="S151" s="15" t="s">
        <v>324</v>
      </c>
      <c r="T151" s="15" t="s">
        <v>455</v>
      </c>
      <c r="U151" s="15" t="s">
        <v>115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>
        <v>0</v>
      </c>
      <c r="AB151" s="9">
        <v>0</v>
      </c>
      <c r="AC151" s="9">
        <v>0</v>
      </c>
    </row>
    <row r="152" spans="1:29" ht="15.5" x14ac:dyDescent="0.35">
      <c r="A152" s="15">
        <v>271</v>
      </c>
      <c r="B152" s="15" t="s">
        <v>325</v>
      </c>
      <c r="C152" s="7">
        <v>87</v>
      </c>
      <c r="D152" s="16">
        <v>1</v>
      </c>
      <c r="E152" s="15" t="s">
        <v>368</v>
      </c>
      <c r="F152" s="15">
        <v>50</v>
      </c>
      <c r="G152" s="15" t="s">
        <v>324</v>
      </c>
      <c r="H152" s="15" t="s">
        <v>455</v>
      </c>
      <c r="I152" s="15" t="s">
        <v>115</v>
      </c>
      <c r="J152" s="15">
        <v>0</v>
      </c>
      <c r="K152" s="15" t="s">
        <v>324</v>
      </c>
      <c r="L152" s="15" t="s">
        <v>455</v>
      </c>
      <c r="M152" s="15" t="s">
        <v>115</v>
      </c>
      <c r="N152" s="9"/>
      <c r="O152" s="15" t="s">
        <v>324</v>
      </c>
      <c r="P152" s="15" t="s">
        <v>455</v>
      </c>
      <c r="Q152" s="15" t="s">
        <v>115</v>
      </c>
      <c r="R152" s="9">
        <v>0</v>
      </c>
      <c r="S152" s="15" t="s">
        <v>324</v>
      </c>
      <c r="T152" s="15" t="s">
        <v>455</v>
      </c>
      <c r="U152" s="15" t="s">
        <v>115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>
        <v>0</v>
      </c>
      <c r="AB152" s="9">
        <v>0</v>
      </c>
      <c r="AC152" s="9">
        <v>0</v>
      </c>
    </row>
    <row r="153" spans="1:29" ht="15.5" x14ac:dyDescent="0.35">
      <c r="A153" s="15">
        <v>272</v>
      </c>
      <c r="B153" s="15" t="s">
        <v>326</v>
      </c>
      <c r="C153" s="7">
        <v>193</v>
      </c>
      <c r="D153" s="16">
        <v>1</v>
      </c>
      <c r="E153" s="15" t="s">
        <v>368</v>
      </c>
      <c r="F153" s="15">
        <v>18</v>
      </c>
      <c r="G153" s="15" t="s">
        <v>327</v>
      </c>
      <c r="H153" s="15" t="s">
        <v>328</v>
      </c>
      <c r="I153" s="15" t="s">
        <v>102</v>
      </c>
      <c r="J153" s="16">
        <v>1.5</v>
      </c>
      <c r="K153" s="22" t="s">
        <v>327</v>
      </c>
      <c r="L153" s="22" t="s">
        <v>328</v>
      </c>
      <c r="M153" s="22" t="s">
        <v>102</v>
      </c>
      <c r="N153" s="9">
        <v>0</v>
      </c>
      <c r="O153" s="18" t="s">
        <v>327</v>
      </c>
      <c r="P153" s="18" t="s">
        <v>328</v>
      </c>
      <c r="Q153" s="18" t="s">
        <v>437</v>
      </c>
      <c r="R153" s="9">
        <v>0</v>
      </c>
      <c r="S153" s="18" t="s">
        <v>327</v>
      </c>
      <c r="T153" s="18" t="s">
        <v>328</v>
      </c>
      <c r="U153" s="18" t="s">
        <v>437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9">
        <v>0</v>
      </c>
      <c r="AB153" s="9">
        <v>0</v>
      </c>
      <c r="AC153" s="9">
        <v>0</v>
      </c>
    </row>
    <row r="154" spans="1:29" ht="15.5" x14ac:dyDescent="0.35">
      <c r="A154" s="15">
        <v>273</v>
      </c>
      <c r="B154" s="15" t="s">
        <v>329</v>
      </c>
      <c r="C154" s="7">
        <v>76</v>
      </c>
      <c r="D154" s="16">
        <v>1</v>
      </c>
      <c r="E154" s="15" t="s">
        <v>368</v>
      </c>
      <c r="F154" s="15">
        <v>18</v>
      </c>
      <c r="G154" s="15" t="s">
        <v>327</v>
      </c>
      <c r="H154" s="15" t="s">
        <v>328</v>
      </c>
      <c r="I154" s="15" t="s">
        <v>102</v>
      </c>
      <c r="J154" s="16">
        <v>1.5</v>
      </c>
      <c r="K154" s="22" t="s">
        <v>327</v>
      </c>
      <c r="L154" s="22" t="s">
        <v>328</v>
      </c>
      <c r="M154" s="22" t="s">
        <v>102</v>
      </c>
      <c r="N154" s="9">
        <v>0</v>
      </c>
      <c r="O154" s="18" t="s">
        <v>327</v>
      </c>
      <c r="P154" s="18" t="s">
        <v>328</v>
      </c>
      <c r="Q154" s="18" t="s">
        <v>437</v>
      </c>
      <c r="R154" s="9">
        <v>0</v>
      </c>
      <c r="S154" s="18" t="s">
        <v>327</v>
      </c>
      <c r="T154" s="18" t="s">
        <v>328</v>
      </c>
      <c r="U154" s="18" t="s">
        <v>437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>
        <v>0</v>
      </c>
      <c r="AB154" s="9">
        <v>0</v>
      </c>
      <c r="AC154" s="9">
        <v>0</v>
      </c>
    </row>
    <row r="155" spans="1:29" ht="15.5" x14ac:dyDescent="0.35">
      <c r="A155" s="15">
        <v>274</v>
      </c>
      <c r="B155" s="15" t="s">
        <v>330</v>
      </c>
      <c r="C155" s="7">
        <v>206</v>
      </c>
      <c r="D155" s="16">
        <v>1</v>
      </c>
      <c r="E155" s="15" t="s">
        <v>368</v>
      </c>
      <c r="F155" s="15">
        <v>0</v>
      </c>
      <c r="G155" s="15">
        <v>94000100</v>
      </c>
      <c r="H155" s="15" t="s">
        <v>331</v>
      </c>
      <c r="I155" s="15" t="s">
        <v>115</v>
      </c>
      <c r="J155" s="15">
        <v>0</v>
      </c>
      <c r="K155" s="22">
        <v>94000100</v>
      </c>
      <c r="L155" s="22" t="s">
        <v>331</v>
      </c>
      <c r="M155" s="22" t="s">
        <v>115</v>
      </c>
      <c r="N155" s="9">
        <v>0</v>
      </c>
      <c r="O155" s="40">
        <v>94000100</v>
      </c>
      <c r="P155" s="18" t="s">
        <v>331</v>
      </c>
      <c r="Q155" s="18" t="s">
        <v>115</v>
      </c>
      <c r="R155" s="9">
        <v>0</v>
      </c>
      <c r="S155" s="40">
        <v>94000100</v>
      </c>
      <c r="T155" s="18" t="s">
        <v>331</v>
      </c>
      <c r="U155" s="18" t="s">
        <v>115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>
        <v>0</v>
      </c>
      <c r="AB155" s="9">
        <v>0</v>
      </c>
      <c r="AC155" s="9">
        <v>0</v>
      </c>
    </row>
    <row r="156" spans="1:29" ht="15.5" x14ac:dyDescent="0.35">
      <c r="A156" s="15">
        <v>275</v>
      </c>
      <c r="B156" s="15" t="s">
        <v>332</v>
      </c>
      <c r="C156" s="7">
        <v>206</v>
      </c>
      <c r="D156" s="16">
        <v>1</v>
      </c>
      <c r="E156" s="15" t="s">
        <v>368</v>
      </c>
      <c r="F156" s="15">
        <v>42</v>
      </c>
      <c r="G156" s="15" t="s">
        <v>333</v>
      </c>
      <c r="H156" s="15" t="s">
        <v>334</v>
      </c>
      <c r="I156" s="15" t="s">
        <v>115</v>
      </c>
      <c r="J156" s="15">
        <v>0</v>
      </c>
      <c r="K156" s="22" t="s">
        <v>333</v>
      </c>
      <c r="L156" s="22" t="s">
        <v>334</v>
      </c>
      <c r="M156" s="22" t="s">
        <v>115</v>
      </c>
      <c r="N156" s="9">
        <v>0</v>
      </c>
      <c r="O156" s="18" t="s">
        <v>368</v>
      </c>
      <c r="P156" s="18" t="s">
        <v>368</v>
      </c>
      <c r="Q156" s="18" t="s">
        <v>368</v>
      </c>
      <c r="R156" s="9">
        <v>0</v>
      </c>
      <c r="S156" s="18" t="s">
        <v>368</v>
      </c>
      <c r="T156" s="18" t="s">
        <v>368</v>
      </c>
      <c r="U156" s="18" t="s">
        <v>368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>
        <v>0</v>
      </c>
      <c r="AB156" s="9">
        <v>0</v>
      </c>
      <c r="AC156" s="9">
        <v>0</v>
      </c>
    </row>
    <row r="157" spans="1:29" ht="15.5" x14ac:dyDescent="0.35">
      <c r="A157" s="15">
        <v>276</v>
      </c>
      <c r="B157" s="15" t="s">
        <v>335</v>
      </c>
      <c r="C157" s="7">
        <v>206</v>
      </c>
      <c r="D157" s="16">
        <v>1</v>
      </c>
      <c r="E157" s="15" t="s">
        <v>368</v>
      </c>
      <c r="F157" s="15">
        <v>47.5</v>
      </c>
      <c r="G157" s="15" t="s">
        <v>336</v>
      </c>
      <c r="H157" s="15" t="s">
        <v>337</v>
      </c>
      <c r="I157" s="15" t="s">
        <v>13</v>
      </c>
      <c r="J157" s="15">
        <v>0.3</v>
      </c>
      <c r="K157" s="22" t="s">
        <v>336</v>
      </c>
      <c r="L157" s="22" t="s">
        <v>337</v>
      </c>
      <c r="M157" s="22" t="s">
        <v>13</v>
      </c>
      <c r="N157" s="9">
        <v>3.8</v>
      </c>
      <c r="O157" s="18" t="s">
        <v>336</v>
      </c>
      <c r="P157" s="18" t="s">
        <v>337</v>
      </c>
      <c r="Q157" s="18" t="s">
        <v>13</v>
      </c>
      <c r="R157" s="9">
        <v>0.6</v>
      </c>
      <c r="S157" s="18" t="s">
        <v>336</v>
      </c>
      <c r="T157" s="18" t="s">
        <v>337</v>
      </c>
      <c r="U157" s="18" t="s">
        <v>13</v>
      </c>
      <c r="V157" s="9">
        <v>1.28</v>
      </c>
      <c r="W157" s="9">
        <v>1.69</v>
      </c>
      <c r="X157" s="9">
        <v>1.1000000000000001</v>
      </c>
      <c r="Y157" s="9">
        <v>1.99</v>
      </c>
      <c r="Z157" s="9">
        <v>2.72</v>
      </c>
      <c r="AA157" s="9">
        <v>2.5099999999999998</v>
      </c>
      <c r="AB157" s="9">
        <v>3.54</v>
      </c>
      <c r="AC157" s="9">
        <v>2.9</v>
      </c>
    </row>
    <row r="158" spans="1:29" ht="15.5" x14ac:dyDescent="0.35">
      <c r="A158" s="15">
        <v>278</v>
      </c>
      <c r="B158" s="15" t="s">
        <v>338</v>
      </c>
      <c r="C158" s="7">
        <v>3</v>
      </c>
      <c r="D158" s="16">
        <v>1</v>
      </c>
      <c r="E158" s="15" t="s">
        <v>368</v>
      </c>
      <c r="F158" s="15">
        <v>400</v>
      </c>
      <c r="G158" s="15">
        <v>14197</v>
      </c>
      <c r="H158" s="15" t="s">
        <v>339</v>
      </c>
      <c r="I158" s="15" t="s">
        <v>115</v>
      </c>
      <c r="J158" s="22">
        <v>3</v>
      </c>
      <c r="K158" s="22">
        <v>14197</v>
      </c>
      <c r="L158" s="22" t="s">
        <v>339</v>
      </c>
      <c r="M158" s="22" t="s">
        <v>115</v>
      </c>
      <c r="N158" s="9">
        <v>0</v>
      </c>
      <c r="O158" s="22">
        <v>14197</v>
      </c>
      <c r="P158" s="22" t="s">
        <v>339</v>
      </c>
      <c r="Q158" s="22" t="s">
        <v>115</v>
      </c>
      <c r="R158" s="9"/>
      <c r="S158" s="22">
        <v>14197</v>
      </c>
      <c r="T158" s="22" t="s">
        <v>339</v>
      </c>
      <c r="U158" s="22" t="s">
        <v>115</v>
      </c>
      <c r="V158" s="9"/>
      <c r="W158" s="9"/>
      <c r="X158" s="9"/>
      <c r="Y158" s="9"/>
      <c r="Z158" s="9"/>
      <c r="AA158" s="9"/>
      <c r="AB158" s="9"/>
      <c r="AC158" s="9"/>
    </row>
    <row r="159" spans="1:29" ht="15.5" x14ac:dyDescent="0.35">
      <c r="A159" s="15">
        <v>280</v>
      </c>
      <c r="B159" s="15" t="s">
        <v>340</v>
      </c>
      <c r="C159" s="7">
        <v>92</v>
      </c>
      <c r="D159" s="16">
        <v>1</v>
      </c>
      <c r="E159" s="15" t="s">
        <v>368</v>
      </c>
      <c r="F159" s="15">
        <v>117</v>
      </c>
      <c r="G159" s="15" t="s">
        <v>341</v>
      </c>
      <c r="H159" s="15" t="s">
        <v>342</v>
      </c>
      <c r="I159" s="15" t="s">
        <v>102</v>
      </c>
      <c r="J159" s="15">
        <v>3.6</v>
      </c>
      <c r="K159" s="22" t="s">
        <v>341</v>
      </c>
      <c r="L159" s="22" t="s">
        <v>342</v>
      </c>
      <c r="M159" s="22" t="s">
        <v>102</v>
      </c>
      <c r="N159" s="9"/>
      <c r="O159" s="18" t="s">
        <v>341</v>
      </c>
      <c r="P159" s="18" t="s">
        <v>342</v>
      </c>
      <c r="Q159" s="18" t="s">
        <v>437</v>
      </c>
      <c r="R159" s="9"/>
      <c r="S159" s="18" t="s">
        <v>341</v>
      </c>
      <c r="T159" s="18" t="s">
        <v>342</v>
      </c>
      <c r="U159" s="18" t="s">
        <v>437</v>
      </c>
      <c r="V159" s="9"/>
      <c r="W159" s="9"/>
      <c r="X159" s="9"/>
      <c r="Y159" s="9"/>
      <c r="Z159" s="9"/>
      <c r="AA159" s="9"/>
      <c r="AB159" s="9"/>
      <c r="AC159" s="9"/>
    </row>
    <row r="160" spans="1:29" ht="15.5" x14ac:dyDescent="0.35">
      <c r="A160" s="15">
        <v>281</v>
      </c>
      <c r="B160" s="15" t="s">
        <v>343</v>
      </c>
      <c r="C160" s="7">
        <v>92</v>
      </c>
      <c r="D160" s="16">
        <v>1</v>
      </c>
      <c r="E160" s="15" t="s">
        <v>368</v>
      </c>
      <c r="F160" s="15">
        <v>117</v>
      </c>
      <c r="G160" s="15" t="s">
        <v>341</v>
      </c>
      <c r="H160" s="15" t="s">
        <v>342</v>
      </c>
      <c r="I160" s="15" t="s">
        <v>102</v>
      </c>
      <c r="J160" s="15">
        <v>3.6</v>
      </c>
      <c r="K160" s="22" t="s">
        <v>341</v>
      </c>
      <c r="L160" s="22" t="s">
        <v>342</v>
      </c>
      <c r="M160" s="22" t="s">
        <v>102</v>
      </c>
      <c r="N160" s="9"/>
      <c r="O160" s="18" t="s">
        <v>341</v>
      </c>
      <c r="P160" s="18" t="s">
        <v>342</v>
      </c>
      <c r="Q160" s="18" t="s">
        <v>437</v>
      </c>
      <c r="R160" s="9"/>
      <c r="S160" s="18" t="s">
        <v>341</v>
      </c>
      <c r="T160" s="18" t="s">
        <v>342</v>
      </c>
      <c r="U160" s="18" t="s">
        <v>437</v>
      </c>
      <c r="V160" s="9"/>
      <c r="W160" s="9"/>
      <c r="X160" s="9"/>
      <c r="Y160" s="9"/>
      <c r="Z160" s="9"/>
      <c r="AA160" s="9"/>
      <c r="AB160" s="9"/>
      <c r="AC160" s="9"/>
    </row>
    <row r="161" spans="1:29" ht="15.5" x14ac:dyDescent="0.35">
      <c r="A161" s="15">
        <v>282</v>
      </c>
      <c r="B161" s="15" t="s">
        <v>344</v>
      </c>
      <c r="C161" s="7">
        <v>92</v>
      </c>
      <c r="D161" s="16">
        <v>1</v>
      </c>
      <c r="E161" s="15" t="s">
        <v>368</v>
      </c>
      <c r="F161" s="15">
        <v>117</v>
      </c>
      <c r="G161" s="15" t="s">
        <v>341</v>
      </c>
      <c r="H161" s="15" t="s">
        <v>342</v>
      </c>
      <c r="I161" s="15" t="s">
        <v>102</v>
      </c>
      <c r="J161" s="15">
        <v>3.6</v>
      </c>
      <c r="K161" s="22" t="s">
        <v>341</v>
      </c>
      <c r="L161" s="22" t="s">
        <v>342</v>
      </c>
      <c r="M161" s="22" t="s">
        <v>102</v>
      </c>
      <c r="N161" s="9"/>
      <c r="O161" s="18" t="s">
        <v>341</v>
      </c>
      <c r="P161" s="18" t="s">
        <v>342</v>
      </c>
      <c r="Q161" s="18" t="s">
        <v>437</v>
      </c>
      <c r="R161" s="9"/>
      <c r="S161" s="18" t="s">
        <v>341</v>
      </c>
      <c r="T161" s="18" t="s">
        <v>342</v>
      </c>
      <c r="U161" s="18" t="s">
        <v>437</v>
      </c>
      <c r="V161" s="9"/>
      <c r="W161" s="9"/>
      <c r="X161" s="9"/>
      <c r="Y161" s="9"/>
      <c r="Z161" s="9"/>
      <c r="AA161" s="9"/>
      <c r="AB161" s="9"/>
      <c r="AC161" s="9"/>
    </row>
    <row r="162" spans="1:29" ht="15.5" x14ac:dyDescent="0.35">
      <c r="A162" s="15">
        <v>283</v>
      </c>
      <c r="B162" s="15" t="s">
        <v>345</v>
      </c>
      <c r="C162" s="7">
        <v>50</v>
      </c>
      <c r="D162" s="16">
        <v>1</v>
      </c>
      <c r="E162" s="15" t="s">
        <v>368</v>
      </c>
      <c r="F162" s="15">
        <v>578.69812011718705</v>
      </c>
      <c r="G162" s="15" t="s">
        <v>346</v>
      </c>
      <c r="H162" s="15" t="s">
        <v>347</v>
      </c>
      <c r="I162" s="15" t="s">
        <v>102</v>
      </c>
      <c r="J162" s="15">
        <v>1.7235697507858201</v>
      </c>
      <c r="K162" s="15" t="s">
        <v>346</v>
      </c>
      <c r="L162" s="15" t="s">
        <v>347</v>
      </c>
      <c r="M162" s="15" t="s">
        <v>13</v>
      </c>
      <c r="N162" s="9"/>
      <c r="O162" s="9" t="s">
        <v>346</v>
      </c>
      <c r="P162" s="9" t="s">
        <v>347</v>
      </c>
      <c r="Q162" s="9" t="s">
        <v>13</v>
      </c>
      <c r="R162" s="9"/>
      <c r="S162" s="9" t="s">
        <v>346</v>
      </c>
      <c r="T162" s="9" t="s">
        <v>347</v>
      </c>
      <c r="U162" s="9" t="s">
        <v>13</v>
      </c>
      <c r="V162" s="9"/>
      <c r="W162" s="9"/>
      <c r="X162" s="9"/>
      <c r="Y162" s="9"/>
      <c r="Z162" s="9"/>
      <c r="AA162" s="9"/>
      <c r="AB162" s="9"/>
      <c r="AC162" s="9"/>
    </row>
    <row r="163" spans="1:29" ht="15.5" x14ac:dyDescent="0.35">
      <c r="A163" s="15">
        <v>284</v>
      </c>
      <c r="B163" s="15" t="s">
        <v>348</v>
      </c>
      <c r="C163" s="7">
        <v>50</v>
      </c>
      <c r="D163" s="16">
        <v>1</v>
      </c>
      <c r="E163" s="15" t="s">
        <v>368</v>
      </c>
      <c r="F163" s="15">
        <v>125.804306030273</v>
      </c>
      <c r="G163" s="15" t="s">
        <v>349</v>
      </c>
      <c r="H163" t="s">
        <v>456</v>
      </c>
      <c r="I163" s="15" t="s">
        <v>102</v>
      </c>
      <c r="J163" s="15">
        <v>3.2549874782562198</v>
      </c>
      <c r="K163" s="15" t="s">
        <v>349</v>
      </c>
      <c r="L163" t="s">
        <v>456</v>
      </c>
      <c r="M163" s="15" t="s">
        <v>13</v>
      </c>
      <c r="N163" s="9"/>
      <c r="O163" s="9" t="s">
        <v>349</v>
      </c>
      <c r="P163" t="s">
        <v>456</v>
      </c>
      <c r="Q163" s="9" t="s">
        <v>13</v>
      </c>
      <c r="R163" s="9"/>
      <c r="S163" s="9" t="s">
        <v>349</v>
      </c>
      <c r="T163" t="s">
        <v>456</v>
      </c>
      <c r="U163" s="9" t="s">
        <v>13</v>
      </c>
      <c r="V163" s="9"/>
      <c r="W163" s="9"/>
      <c r="X163" s="9"/>
      <c r="Y163" s="9"/>
      <c r="Z163" s="9"/>
      <c r="AA163" s="9"/>
      <c r="AB163" s="9"/>
      <c r="AC163" s="9"/>
    </row>
    <row r="164" spans="1:29" ht="15.5" x14ac:dyDescent="0.35">
      <c r="A164" s="15">
        <v>290</v>
      </c>
      <c r="B164" s="15" t="s">
        <v>350</v>
      </c>
      <c r="C164" s="7">
        <v>3</v>
      </c>
      <c r="D164" s="16">
        <v>1</v>
      </c>
      <c r="E164" s="15" t="s">
        <v>368</v>
      </c>
      <c r="F164" s="15">
        <v>411</v>
      </c>
      <c r="G164" s="22">
        <v>91718300</v>
      </c>
      <c r="H164" s="15" t="s">
        <v>351</v>
      </c>
      <c r="I164" s="15" t="s">
        <v>115</v>
      </c>
      <c r="J164" s="15">
        <v>6.92</v>
      </c>
      <c r="K164" s="22">
        <v>91718300</v>
      </c>
      <c r="L164" s="22" t="s">
        <v>351</v>
      </c>
      <c r="M164" s="22" t="s">
        <v>115</v>
      </c>
      <c r="N164" s="9"/>
      <c r="O164" s="22">
        <v>91718300</v>
      </c>
      <c r="P164" s="15" t="s">
        <v>351</v>
      </c>
      <c r="Q164" s="15" t="s">
        <v>115</v>
      </c>
      <c r="R164" s="9"/>
      <c r="S164" s="22">
        <v>91718300</v>
      </c>
      <c r="T164" s="15" t="s">
        <v>351</v>
      </c>
      <c r="U164" s="15" t="s">
        <v>115</v>
      </c>
      <c r="V164" s="9"/>
      <c r="W164" s="9"/>
      <c r="X164" s="9"/>
      <c r="Y164" s="9"/>
      <c r="Z164" s="9"/>
      <c r="AA164" s="9"/>
      <c r="AB164" s="9"/>
      <c r="AC164" s="9"/>
    </row>
    <row r="165" spans="1:29" ht="15.5" x14ac:dyDescent="0.35">
      <c r="A165" s="15">
        <v>291</v>
      </c>
      <c r="B165" s="15" t="s">
        <v>352</v>
      </c>
      <c r="C165" s="7">
        <v>3</v>
      </c>
      <c r="D165" s="16">
        <v>1</v>
      </c>
      <c r="E165" s="15" t="s">
        <v>368</v>
      </c>
      <c r="F165" s="15">
        <v>406</v>
      </c>
      <c r="G165" s="22">
        <v>28351</v>
      </c>
      <c r="H165" s="15" t="s">
        <v>353</v>
      </c>
      <c r="I165" s="15" t="s">
        <v>115</v>
      </c>
      <c r="J165" s="15">
        <v>7.05</v>
      </c>
      <c r="K165" s="22">
        <v>28351</v>
      </c>
      <c r="L165" s="22" t="s">
        <v>353</v>
      </c>
      <c r="M165" s="22" t="s">
        <v>115</v>
      </c>
      <c r="N165" s="9"/>
      <c r="O165" s="22">
        <v>28351</v>
      </c>
      <c r="P165" s="15" t="s">
        <v>353</v>
      </c>
      <c r="Q165" s="15" t="s">
        <v>115</v>
      </c>
      <c r="R165" s="9"/>
      <c r="S165" s="22">
        <v>28351</v>
      </c>
      <c r="T165" s="15" t="s">
        <v>353</v>
      </c>
      <c r="U165" s="15" t="s">
        <v>115</v>
      </c>
      <c r="V165" s="9"/>
      <c r="W165" s="9"/>
      <c r="X165" s="9"/>
      <c r="Y165" s="9"/>
      <c r="Z165" s="9"/>
      <c r="AA165" s="9"/>
      <c r="AB165" s="9"/>
      <c r="AC165" s="9"/>
    </row>
    <row r="166" spans="1:29" ht="15.5" x14ac:dyDescent="0.35">
      <c r="A166" s="15">
        <v>292</v>
      </c>
      <c r="B166" s="15" t="s">
        <v>354</v>
      </c>
      <c r="C166" s="7">
        <v>50</v>
      </c>
      <c r="D166" s="16">
        <v>1</v>
      </c>
      <c r="E166" s="15" t="s">
        <v>368</v>
      </c>
      <c r="F166" s="15">
        <v>103.19683837890599</v>
      </c>
      <c r="G166" s="15" t="s">
        <v>355</v>
      </c>
      <c r="H166" s="15" t="s">
        <v>356</v>
      </c>
      <c r="I166" s="15" t="s">
        <v>13</v>
      </c>
      <c r="J166" s="15">
        <v>6.1383337974548304</v>
      </c>
      <c r="K166" s="15" t="s">
        <v>355</v>
      </c>
      <c r="L166" s="15" t="s">
        <v>356</v>
      </c>
      <c r="M166" s="15" t="s">
        <v>13</v>
      </c>
      <c r="N166" s="9"/>
      <c r="O166" s="9" t="s">
        <v>355</v>
      </c>
      <c r="P166" s="9" t="s">
        <v>356</v>
      </c>
      <c r="Q166" s="9" t="s">
        <v>13</v>
      </c>
      <c r="R166" s="9"/>
      <c r="S166" s="9" t="s">
        <v>355</v>
      </c>
      <c r="T166" s="9" t="s">
        <v>356</v>
      </c>
      <c r="U166" s="9" t="s">
        <v>13</v>
      </c>
      <c r="V166" s="9"/>
      <c r="W166" s="9"/>
      <c r="X166" s="9"/>
      <c r="Y166" s="9"/>
      <c r="Z166" s="9"/>
      <c r="AA166" s="9"/>
      <c r="AB166" s="9"/>
      <c r="AC166" s="9"/>
    </row>
    <row r="167" spans="1:29" ht="15.5" x14ac:dyDescent="0.35">
      <c r="A167" s="15">
        <v>293</v>
      </c>
      <c r="B167" s="15" t="s">
        <v>357</v>
      </c>
      <c r="C167" s="7">
        <v>50</v>
      </c>
      <c r="D167" s="16">
        <v>1</v>
      </c>
      <c r="E167" s="15" t="s">
        <v>368</v>
      </c>
      <c r="F167" s="15">
        <v>532</v>
      </c>
      <c r="G167" s="22">
        <v>19411</v>
      </c>
      <c r="H167" s="22" t="s">
        <v>358</v>
      </c>
      <c r="I167" s="22" t="s">
        <v>115</v>
      </c>
      <c r="J167" s="15">
        <v>6.39</v>
      </c>
      <c r="K167" s="22">
        <v>19411</v>
      </c>
      <c r="L167" s="22" t="s">
        <v>358</v>
      </c>
      <c r="M167" s="22" t="s">
        <v>115</v>
      </c>
      <c r="N167" s="9"/>
      <c r="O167" s="22">
        <v>19411</v>
      </c>
      <c r="P167" s="22" t="s">
        <v>358</v>
      </c>
      <c r="Q167" s="22" t="s">
        <v>115</v>
      </c>
      <c r="R167" s="9"/>
      <c r="S167" s="22">
        <v>19411</v>
      </c>
      <c r="T167" s="22" t="s">
        <v>358</v>
      </c>
      <c r="U167" s="22" t="s">
        <v>115</v>
      </c>
      <c r="V167" s="9"/>
      <c r="W167" s="9"/>
      <c r="X167" s="9"/>
      <c r="Y167" s="9"/>
      <c r="Z167" s="9"/>
      <c r="AA167" s="9"/>
      <c r="AB167" s="9"/>
      <c r="AC167" s="9"/>
    </row>
    <row r="168" spans="1:29" ht="15.5" x14ac:dyDescent="0.35">
      <c r="A168" s="15">
        <v>294</v>
      </c>
      <c r="B168" s="15" t="s">
        <v>359</v>
      </c>
      <c r="C168" s="7">
        <v>50</v>
      </c>
      <c r="D168" s="16">
        <v>1</v>
      </c>
      <c r="E168" s="15" t="s">
        <v>368</v>
      </c>
      <c r="F168" s="41">
        <v>28</v>
      </c>
      <c r="G168" s="15">
        <v>43142</v>
      </c>
      <c r="H168" s="15" t="s">
        <v>360</v>
      </c>
      <c r="I168" s="15" t="s">
        <v>115</v>
      </c>
      <c r="J168" s="15">
        <v>1.1000000000000001</v>
      </c>
      <c r="K168" s="22">
        <v>43142</v>
      </c>
      <c r="L168" s="22" t="s">
        <v>360</v>
      </c>
      <c r="M168" s="22" t="s">
        <v>115</v>
      </c>
      <c r="N168" s="9"/>
      <c r="O168" s="15">
        <v>43142</v>
      </c>
      <c r="P168" s="15" t="s">
        <v>360</v>
      </c>
      <c r="Q168" s="15" t="s">
        <v>115</v>
      </c>
      <c r="R168" s="9"/>
      <c r="S168" s="15">
        <v>43142</v>
      </c>
      <c r="T168" s="15" t="s">
        <v>360</v>
      </c>
      <c r="U168" s="15" t="s">
        <v>115</v>
      </c>
      <c r="V168" s="9"/>
      <c r="W168" s="9"/>
      <c r="X168" s="9"/>
      <c r="Y168" s="9"/>
      <c r="Z168" s="9"/>
      <c r="AA168" s="9"/>
      <c r="AB168" s="9"/>
      <c r="AC168" s="9"/>
    </row>
    <row r="169" spans="1:29" ht="15.5" x14ac:dyDescent="0.35">
      <c r="A169" s="15">
        <v>295</v>
      </c>
      <c r="B169" s="15" t="s">
        <v>361</v>
      </c>
      <c r="C169" s="7">
        <v>50</v>
      </c>
      <c r="D169" s="16">
        <v>1</v>
      </c>
      <c r="E169" s="15" t="s">
        <v>368</v>
      </c>
      <c r="F169" s="15">
        <v>278</v>
      </c>
      <c r="G169" s="22">
        <v>19297</v>
      </c>
      <c r="H169" s="15" t="s">
        <v>362</v>
      </c>
      <c r="I169" s="15" t="s">
        <v>115</v>
      </c>
      <c r="J169" s="15">
        <v>0.37</v>
      </c>
      <c r="K169" s="22">
        <v>19297</v>
      </c>
      <c r="L169" s="22" t="s">
        <v>362</v>
      </c>
      <c r="M169" s="22" t="s">
        <v>115</v>
      </c>
      <c r="N169" s="9">
        <v>8.1</v>
      </c>
      <c r="O169" s="22">
        <v>19297</v>
      </c>
      <c r="P169" s="15" t="s">
        <v>362</v>
      </c>
      <c r="Q169" s="15" t="s">
        <v>115</v>
      </c>
      <c r="R169" s="9">
        <v>2.16</v>
      </c>
      <c r="S169" s="22">
        <v>19297</v>
      </c>
      <c r="T169" s="15" t="s">
        <v>362</v>
      </c>
      <c r="U169" s="15" t="s">
        <v>115</v>
      </c>
      <c r="V169" s="9">
        <v>1.62</v>
      </c>
      <c r="W169" s="9">
        <v>6.22</v>
      </c>
      <c r="X169" s="9">
        <v>0.27</v>
      </c>
      <c r="Y169" s="9">
        <v>3.78</v>
      </c>
      <c r="Z169" s="9">
        <v>4.59</v>
      </c>
      <c r="AA169" s="9">
        <v>10</v>
      </c>
      <c r="AB169" s="9">
        <v>5.67</v>
      </c>
      <c r="AC169" s="9">
        <v>5.67</v>
      </c>
    </row>
    <row r="170" spans="1:29" ht="15.5" x14ac:dyDescent="0.35">
      <c r="A170" s="15">
        <v>296</v>
      </c>
      <c r="B170" s="15" t="s">
        <v>363</v>
      </c>
      <c r="C170" s="7">
        <v>50</v>
      </c>
      <c r="D170" s="16">
        <v>1</v>
      </c>
      <c r="E170" s="15" t="s">
        <v>368</v>
      </c>
      <c r="F170" s="15">
        <v>532</v>
      </c>
      <c r="G170" s="15">
        <v>19411</v>
      </c>
      <c r="H170" s="15" t="s">
        <v>358</v>
      </c>
      <c r="I170" s="15" t="s">
        <v>115</v>
      </c>
      <c r="J170" s="15">
        <v>6.39</v>
      </c>
      <c r="K170" s="15">
        <v>19411</v>
      </c>
      <c r="L170" s="15" t="s">
        <v>358</v>
      </c>
      <c r="M170" s="15" t="s">
        <v>115</v>
      </c>
      <c r="N170" s="9">
        <v>6.39</v>
      </c>
      <c r="O170" s="15">
        <v>19411</v>
      </c>
      <c r="P170" s="15" t="s">
        <v>358</v>
      </c>
      <c r="Q170" s="15" t="s">
        <v>115</v>
      </c>
      <c r="R170" s="9">
        <v>1.69</v>
      </c>
      <c r="S170" s="15">
        <v>19411</v>
      </c>
      <c r="T170" s="15" t="s">
        <v>358</v>
      </c>
      <c r="U170" s="15" t="s">
        <v>115</v>
      </c>
      <c r="V170" s="9">
        <v>1.39</v>
      </c>
      <c r="W170" s="28">
        <v>3.96</v>
      </c>
      <c r="X170" s="28">
        <v>1.72</v>
      </c>
      <c r="Y170" s="28">
        <v>2.39</v>
      </c>
      <c r="Z170" s="28">
        <v>4.43</v>
      </c>
      <c r="AA170" s="28">
        <v>6.56</v>
      </c>
      <c r="AB170" s="28">
        <v>4.8499999999999996</v>
      </c>
      <c r="AC170" s="28">
        <v>6.13</v>
      </c>
    </row>
    <row r="171" spans="1:29" ht="15.5" x14ac:dyDescent="0.35">
      <c r="C171" s="6"/>
      <c r="O171" s="5"/>
      <c r="P171" s="4"/>
      <c r="Q171" s="4"/>
      <c r="S171" s="5"/>
      <c r="T171" s="4"/>
      <c r="U171" s="4"/>
    </row>
    <row r="172" spans="1:29" x14ac:dyDescent="0.35">
      <c r="C172" s="1"/>
    </row>
    <row r="173" spans="1:29" x14ac:dyDescent="0.35">
      <c r="C173" s="1"/>
    </row>
    <row r="174" spans="1:29" x14ac:dyDescent="0.35">
      <c r="C174" s="1"/>
    </row>
    <row r="175" spans="1:29" x14ac:dyDescent="0.35">
      <c r="C175" s="1"/>
    </row>
    <row r="176" spans="1:29" x14ac:dyDescent="0.35">
      <c r="C176" s="1"/>
    </row>
    <row r="177" spans="3:3" x14ac:dyDescent="0.35">
      <c r="C177" s="1"/>
    </row>
    <row r="178" spans="3:3" x14ac:dyDescent="0.35">
      <c r="C178" s="1"/>
    </row>
    <row r="179" spans="3:3" x14ac:dyDescent="0.35">
      <c r="C179" s="1"/>
    </row>
    <row r="180" spans="3:3" x14ac:dyDescent="0.35">
      <c r="C180" s="1"/>
    </row>
    <row r="181" spans="3:3" x14ac:dyDescent="0.35">
      <c r="C181" s="1"/>
    </row>
    <row r="182" spans="3:3" x14ac:dyDescent="0.35">
      <c r="C182" s="1"/>
    </row>
    <row r="183" spans="3:3" x14ac:dyDescent="0.35">
      <c r="C183" s="1"/>
    </row>
    <row r="184" spans="3:3" x14ac:dyDescent="0.35">
      <c r="C184" s="1"/>
    </row>
    <row r="185" spans="3:3" x14ac:dyDescent="0.35">
      <c r="C185" s="1"/>
    </row>
    <row r="186" spans="3:3" x14ac:dyDescent="0.35">
      <c r="C186" s="1"/>
    </row>
    <row r="187" spans="3:3" x14ac:dyDescent="0.35">
      <c r="C187" s="1"/>
    </row>
    <row r="188" spans="3:3" x14ac:dyDescent="0.35">
      <c r="C188" s="1"/>
    </row>
    <row r="189" spans="3:3" x14ac:dyDescent="0.35">
      <c r="C189" s="1"/>
    </row>
    <row r="190" spans="3:3" x14ac:dyDescent="0.35">
      <c r="C190" s="1"/>
    </row>
    <row r="191" spans="3:3" x14ac:dyDescent="0.35">
      <c r="C191" s="3"/>
    </row>
    <row r="192" spans="3:3" x14ac:dyDescent="0.35">
      <c r="C192" s="1"/>
    </row>
    <row r="193" spans="3:3" x14ac:dyDescent="0.35">
      <c r="C193" s="1"/>
    </row>
    <row r="194" spans="3:3" x14ac:dyDescent="0.35">
      <c r="C194" s="1"/>
    </row>
    <row r="195" spans="3:3" x14ac:dyDescent="0.35">
      <c r="C195" s="1"/>
    </row>
    <row r="196" spans="3:3" x14ac:dyDescent="0.35">
      <c r="C196" s="1"/>
    </row>
    <row r="197" spans="3:3" x14ac:dyDescent="0.35">
      <c r="C197" s="1"/>
    </row>
    <row r="198" spans="3:3" x14ac:dyDescent="0.35">
      <c r="C198" s="1"/>
    </row>
    <row r="199" spans="3:3" x14ac:dyDescent="0.35">
      <c r="C199" s="1"/>
    </row>
    <row r="200" spans="3:3" x14ac:dyDescent="0.35">
      <c r="C200" s="1"/>
    </row>
    <row r="201" spans="3:3" x14ac:dyDescent="0.35">
      <c r="C201" s="1"/>
    </row>
    <row r="202" spans="3:3" x14ac:dyDescent="0.35">
      <c r="C202" s="1"/>
    </row>
    <row r="203" spans="3:3" x14ac:dyDescent="0.35">
      <c r="C203" s="1"/>
    </row>
    <row r="204" spans="3:3" x14ac:dyDescent="0.35">
      <c r="C204" s="1"/>
    </row>
    <row r="205" spans="3:3" x14ac:dyDescent="0.35">
      <c r="C205" s="1"/>
    </row>
    <row r="206" spans="3:3" x14ac:dyDescent="0.35">
      <c r="C206" s="1"/>
    </row>
    <row r="207" spans="3:3" x14ac:dyDescent="0.35">
      <c r="C207" s="1"/>
    </row>
    <row r="208" spans="3:3" x14ac:dyDescent="0.35">
      <c r="C208" s="1"/>
    </row>
    <row r="209" spans="3:3" x14ac:dyDescent="0.35">
      <c r="C209" s="1"/>
    </row>
    <row r="210" spans="3:3" x14ac:dyDescent="0.35">
      <c r="C210" s="1"/>
    </row>
    <row r="211" spans="3:3" x14ac:dyDescent="0.35">
      <c r="C211" s="1"/>
    </row>
  </sheetData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4EF6D-5F9D-4372-B6FE-D00EADA28A53}">
  <dimension ref="A1:L175"/>
  <sheetViews>
    <sheetView workbookViewId="0">
      <selection activeCell="O173" sqref="O173:O174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457</v>
      </c>
      <c r="D1" t="s">
        <v>458</v>
      </c>
      <c r="E1" t="s">
        <v>459</v>
      </c>
      <c r="F1" t="s">
        <v>460</v>
      </c>
      <c r="G1" t="s">
        <v>461</v>
      </c>
      <c r="H1" t="s">
        <v>462</v>
      </c>
      <c r="I1" t="s">
        <v>463</v>
      </c>
      <c r="J1" t="s">
        <v>464</v>
      </c>
      <c r="K1" t="s">
        <v>465</v>
      </c>
      <c r="L1" t="s">
        <v>466</v>
      </c>
    </row>
    <row r="2" spans="1:12" x14ac:dyDescent="0.35">
      <c r="A2">
        <v>1</v>
      </c>
      <c r="B2" t="s">
        <v>371</v>
      </c>
      <c r="C2">
        <v>0.75</v>
      </c>
      <c r="D2">
        <v>0.73</v>
      </c>
      <c r="E2">
        <v>0.77999999999999903</v>
      </c>
      <c r="F2">
        <v>0.84</v>
      </c>
      <c r="G2">
        <v>0.69</v>
      </c>
      <c r="H2">
        <v>0.83</v>
      </c>
      <c r="I2">
        <v>0.79</v>
      </c>
      <c r="J2">
        <v>0.81</v>
      </c>
      <c r="K2">
        <v>0.92999999999999905</v>
      </c>
      <c r="L2">
        <v>0.77</v>
      </c>
    </row>
    <row r="3" spans="1:12" x14ac:dyDescent="0.35">
      <c r="A3">
        <v>2</v>
      </c>
      <c r="B3" t="s">
        <v>414</v>
      </c>
      <c r="C3">
        <v>0.75</v>
      </c>
      <c r="D3">
        <v>0.73</v>
      </c>
      <c r="E3">
        <v>0.77999999999999903</v>
      </c>
      <c r="F3">
        <v>0.84</v>
      </c>
      <c r="G3">
        <v>0.69</v>
      </c>
      <c r="H3">
        <v>0.83</v>
      </c>
      <c r="I3">
        <v>0.79</v>
      </c>
      <c r="J3">
        <v>0.81</v>
      </c>
      <c r="K3">
        <v>0.92999999999999905</v>
      </c>
      <c r="L3">
        <v>0.77</v>
      </c>
    </row>
    <row r="4" spans="1:12" x14ac:dyDescent="0.35">
      <c r="A4">
        <v>3</v>
      </c>
      <c r="B4" t="s">
        <v>377</v>
      </c>
      <c r="C4">
        <v>0.85</v>
      </c>
      <c r="D4">
        <v>0.96</v>
      </c>
      <c r="E4">
        <v>0.88999999999999901</v>
      </c>
      <c r="F4">
        <v>0.96</v>
      </c>
      <c r="G4">
        <v>0.9</v>
      </c>
      <c r="H4">
        <v>0.93999999999999895</v>
      </c>
      <c r="I4">
        <v>0.869999999999999</v>
      </c>
      <c r="J4">
        <v>0.95</v>
      </c>
      <c r="K4">
        <v>0.96999999999999897</v>
      </c>
      <c r="L4">
        <v>0.88</v>
      </c>
    </row>
    <row r="5" spans="1:12" x14ac:dyDescent="0.35">
      <c r="A5">
        <v>4</v>
      </c>
      <c r="B5" t="s">
        <v>467</v>
      </c>
      <c r="C5">
        <v>0.22</v>
      </c>
      <c r="D5">
        <v>0.5</v>
      </c>
      <c r="E5">
        <v>0.41</v>
      </c>
      <c r="F5">
        <v>0.61</v>
      </c>
      <c r="G5">
        <v>0.31</v>
      </c>
      <c r="H5">
        <v>0.61</v>
      </c>
      <c r="I5">
        <v>0.59</v>
      </c>
      <c r="J5">
        <v>0.59</v>
      </c>
      <c r="K5">
        <v>0.52</v>
      </c>
      <c r="L5">
        <v>0.42</v>
      </c>
    </row>
    <row r="6" spans="1:12" x14ac:dyDescent="0.35">
      <c r="A6">
        <v>5</v>
      </c>
      <c r="B6" t="s">
        <v>381</v>
      </c>
      <c r="C6">
        <v>0.85</v>
      </c>
      <c r="D6">
        <v>0.96</v>
      </c>
      <c r="E6">
        <v>0.88999999999999901</v>
      </c>
      <c r="F6">
        <v>0.96</v>
      </c>
      <c r="G6">
        <v>0.9</v>
      </c>
      <c r="H6">
        <v>0.93999999999999895</v>
      </c>
      <c r="I6">
        <v>0.869999999999999</v>
      </c>
      <c r="J6">
        <v>0.95</v>
      </c>
      <c r="K6">
        <v>0.96999999999999897</v>
      </c>
      <c r="L6">
        <v>0.88</v>
      </c>
    </row>
    <row r="7" spans="1:12" x14ac:dyDescent="0.35">
      <c r="A7">
        <v>6</v>
      </c>
      <c r="B7" t="s">
        <v>407</v>
      </c>
      <c r="C7">
        <v>0.85</v>
      </c>
      <c r="D7">
        <v>0.96</v>
      </c>
      <c r="E7">
        <v>0.88999999999999901</v>
      </c>
      <c r="F7">
        <v>0.96</v>
      </c>
      <c r="G7">
        <v>0.9</v>
      </c>
      <c r="H7">
        <v>0.93999999999999895</v>
      </c>
      <c r="I7">
        <v>0.869999999999999</v>
      </c>
      <c r="J7">
        <v>0.95</v>
      </c>
      <c r="K7">
        <v>0.96999999999999897</v>
      </c>
      <c r="L7">
        <v>0.88</v>
      </c>
    </row>
    <row r="8" spans="1:12" x14ac:dyDescent="0.35">
      <c r="A8">
        <v>7</v>
      </c>
      <c r="B8" t="s">
        <v>408</v>
      </c>
      <c r="C8">
        <v>0.85</v>
      </c>
      <c r="D8">
        <v>0.96</v>
      </c>
      <c r="E8">
        <v>0.88999999999999901</v>
      </c>
      <c r="F8">
        <v>0.96</v>
      </c>
      <c r="G8">
        <v>0.9</v>
      </c>
      <c r="H8">
        <v>0.93999999999999895</v>
      </c>
      <c r="I8">
        <v>0.869999999999999</v>
      </c>
      <c r="J8">
        <v>0.95</v>
      </c>
      <c r="K8">
        <v>0.96999999999999897</v>
      </c>
      <c r="L8">
        <v>0.88</v>
      </c>
    </row>
    <row r="9" spans="1:12" x14ac:dyDescent="0.35">
      <c r="A9">
        <v>8</v>
      </c>
      <c r="B9" t="s">
        <v>405</v>
      </c>
      <c r="C9">
        <v>0.55000000000000004</v>
      </c>
      <c r="D9">
        <v>0.57999999999999996</v>
      </c>
      <c r="E9">
        <v>0.62</v>
      </c>
      <c r="F9">
        <v>0.74</v>
      </c>
      <c r="G9">
        <v>0.6</v>
      </c>
      <c r="H9">
        <v>0.69</v>
      </c>
      <c r="I9">
        <v>0.69999999999999896</v>
      </c>
      <c r="J9">
        <v>0.71</v>
      </c>
      <c r="K9">
        <v>0.73999999999999899</v>
      </c>
      <c r="L9">
        <v>0.66</v>
      </c>
    </row>
    <row r="10" spans="1:12" x14ac:dyDescent="0.35">
      <c r="A10">
        <v>10</v>
      </c>
      <c r="B10" t="s">
        <v>406</v>
      </c>
      <c r="C10">
        <v>0.55000000000000004</v>
      </c>
      <c r="D10">
        <v>0.57999999999999996</v>
      </c>
      <c r="E10">
        <v>0.62</v>
      </c>
      <c r="F10">
        <v>0.74</v>
      </c>
      <c r="G10">
        <v>0.6</v>
      </c>
      <c r="H10">
        <v>0.69</v>
      </c>
      <c r="I10">
        <v>0.69999999999999896</v>
      </c>
      <c r="J10">
        <v>0.71</v>
      </c>
      <c r="K10">
        <v>0.73999999999999899</v>
      </c>
      <c r="L10">
        <v>0.66</v>
      </c>
    </row>
    <row r="11" spans="1:12" x14ac:dyDescent="0.35">
      <c r="A11">
        <v>11</v>
      </c>
      <c r="B11" t="s">
        <v>387</v>
      </c>
      <c r="C11">
        <v>0.22</v>
      </c>
      <c r="D11">
        <v>0.5</v>
      </c>
      <c r="E11">
        <v>0.41</v>
      </c>
      <c r="F11">
        <v>0.61</v>
      </c>
      <c r="G11">
        <v>0.31</v>
      </c>
      <c r="H11">
        <v>0.61</v>
      </c>
      <c r="I11">
        <v>0.59</v>
      </c>
      <c r="J11">
        <v>0.59</v>
      </c>
      <c r="K11">
        <v>0.52</v>
      </c>
      <c r="L11">
        <v>0.42</v>
      </c>
    </row>
    <row r="12" spans="1:12" x14ac:dyDescent="0.35">
      <c r="A12">
        <v>12</v>
      </c>
      <c r="B12" t="s">
        <v>409</v>
      </c>
      <c r="C12">
        <v>0.75</v>
      </c>
      <c r="D12">
        <v>0.73</v>
      </c>
      <c r="E12">
        <v>0.77999999999999903</v>
      </c>
      <c r="F12">
        <v>0.84</v>
      </c>
      <c r="G12">
        <v>0.69</v>
      </c>
      <c r="H12">
        <v>0.83</v>
      </c>
      <c r="I12">
        <v>0.79</v>
      </c>
      <c r="J12">
        <v>0.81</v>
      </c>
      <c r="K12">
        <v>0.92999999999999905</v>
      </c>
      <c r="L12">
        <v>0.77</v>
      </c>
    </row>
    <row r="13" spans="1:12" x14ac:dyDescent="0.35">
      <c r="A13">
        <v>13</v>
      </c>
      <c r="B13" t="s">
        <v>410</v>
      </c>
      <c r="C13">
        <v>0.75</v>
      </c>
      <c r="D13">
        <v>0.73</v>
      </c>
      <c r="E13">
        <v>0.77999999999999903</v>
      </c>
      <c r="F13">
        <v>0.84</v>
      </c>
      <c r="G13">
        <v>0.69</v>
      </c>
      <c r="H13">
        <v>0.83</v>
      </c>
      <c r="I13">
        <v>0.79</v>
      </c>
      <c r="J13">
        <v>0.81</v>
      </c>
      <c r="K13">
        <v>0.92999999999999905</v>
      </c>
      <c r="L13">
        <v>0.77</v>
      </c>
    </row>
    <row r="14" spans="1:12" x14ac:dyDescent="0.35">
      <c r="A14">
        <v>55</v>
      </c>
      <c r="B14" t="s">
        <v>390</v>
      </c>
      <c r="C14">
        <v>0.68</v>
      </c>
      <c r="D14">
        <v>0.69</v>
      </c>
      <c r="E14">
        <v>0.73</v>
      </c>
      <c r="F14">
        <v>0.77</v>
      </c>
      <c r="G14">
        <v>0.68</v>
      </c>
      <c r="H14">
        <v>0.74</v>
      </c>
      <c r="I14">
        <v>0.74</v>
      </c>
      <c r="J14">
        <v>0.76</v>
      </c>
      <c r="K14">
        <v>0.76</v>
      </c>
      <c r="L14">
        <v>0.73</v>
      </c>
    </row>
    <row r="15" spans="1:12" x14ac:dyDescent="0.35">
      <c r="A15">
        <v>56</v>
      </c>
      <c r="B15" t="s">
        <v>468</v>
      </c>
      <c r="C15">
        <v>0.9</v>
      </c>
      <c r="D15">
        <v>0.86</v>
      </c>
      <c r="E15">
        <v>0.92</v>
      </c>
      <c r="F15">
        <v>0.84</v>
      </c>
      <c r="G15">
        <v>0.869999999999999</v>
      </c>
      <c r="H15">
        <v>0.92</v>
      </c>
      <c r="I15">
        <v>0.91</v>
      </c>
      <c r="J15">
        <v>0.91</v>
      </c>
      <c r="K15">
        <v>0.93</v>
      </c>
      <c r="L15">
        <v>0.9</v>
      </c>
    </row>
    <row r="16" spans="1:12" x14ac:dyDescent="0.35">
      <c r="A16">
        <v>57</v>
      </c>
      <c r="B16" t="s">
        <v>392</v>
      </c>
      <c r="C16">
        <v>0.89</v>
      </c>
      <c r="D16">
        <v>0.8</v>
      </c>
      <c r="E16">
        <v>0.8</v>
      </c>
      <c r="F16">
        <v>0.90999999999999903</v>
      </c>
      <c r="G16">
        <v>0.83</v>
      </c>
      <c r="H16">
        <v>0.89</v>
      </c>
      <c r="I16">
        <v>0.88</v>
      </c>
      <c r="J16">
        <v>0.92999999999999905</v>
      </c>
      <c r="K16">
        <v>0.91</v>
      </c>
      <c r="L16">
        <v>0.87</v>
      </c>
    </row>
    <row r="17" spans="1:12" x14ac:dyDescent="0.35">
      <c r="A17">
        <v>58</v>
      </c>
      <c r="B17" t="s">
        <v>393</v>
      </c>
      <c r="C17">
        <v>0.8</v>
      </c>
      <c r="D17">
        <v>0.74</v>
      </c>
      <c r="E17">
        <v>0.84</v>
      </c>
      <c r="F17">
        <v>0.78</v>
      </c>
      <c r="G17">
        <v>0.72</v>
      </c>
      <c r="H17">
        <v>0.81</v>
      </c>
      <c r="I17">
        <v>0.76</v>
      </c>
      <c r="J17">
        <v>0.79</v>
      </c>
      <c r="K17">
        <v>0.82</v>
      </c>
      <c r="L17">
        <v>0.76999999999999902</v>
      </c>
    </row>
    <row r="18" spans="1:12" x14ac:dyDescent="0.35">
      <c r="A18">
        <v>59</v>
      </c>
      <c r="B18" t="s">
        <v>394</v>
      </c>
      <c r="C18">
        <v>0.749999999999999</v>
      </c>
      <c r="D18">
        <v>0.77</v>
      </c>
      <c r="E18">
        <v>0.77</v>
      </c>
      <c r="F18">
        <v>0.84</v>
      </c>
      <c r="G18">
        <v>0.76</v>
      </c>
      <c r="H18">
        <v>0.82</v>
      </c>
      <c r="I18">
        <v>0.81</v>
      </c>
      <c r="J18">
        <v>0.83</v>
      </c>
      <c r="K18">
        <v>0.84</v>
      </c>
      <c r="L18">
        <v>0.79</v>
      </c>
    </row>
    <row r="19" spans="1:12" x14ac:dyDescent="0.35">
      <c r="A19">
        <v>60</v>
      </c>
      <c r="B19" t="s">
        <v>395</v>
      </c>
      <c r="C19">
        <v>0.9</v>
      </c>
      <c r="D19">
        <v>0.86</v>
      </c>
      <c r="E19">
        <v>0.92</v>
      </c>
      <c r="F19">
        <v>0.84</v>
      </c>
      <c r="G19">
        <v>0.869999999999999</v>
      </c>
      <c r="H19">
        <v>0.92</v>
      </c>
      <c r="I19">
        <v>0.91</v>
      </c>
      <c r="J19">
        <v>0.91</v>
      </c>
      <c r="K19">
        <v>0.93</v>
      </c>
      <c r="L19">
        <v>0.9</v>
      </c>
    </row>
    <row r="20" spans="1:12" x14ac:dyDescent="0.35">
      <c r="A20">
        <v>61</v>
      </c>
      <c r="B20" t="s">
        <v>369</v>
      </c>
      <c r="C20">
        <v>0.94</v>
      </c>
      <c r="D20">
        <v>0.92</v>
      </c>
      <c r="E20">
        <v>0.95</v>
      </c>
      <c r="F20">
        <v>0.95</v>
      </c>
      <c r="G20">
        <v>0.91</v>
      </c>
      <c r="H20">
        <v>0.91</v>
      </c>
      <c r="I20">
        <v>0.92</v>
      </c>
      <c r="J20">
        <v>0.94</v>
      </c>
      <c r="K20">
        <v>0.95</v>
      </c>
      <c r="L20">
        <v>0.94</v>
      </c>
    </row>
    <row r="21" spans="1:12" x14ac:dyDescent="0.35">
      <c r="A21">
        <v>62</v>
      </c>
      <c r="B21" t="s">
        <v>370</v>
      </c>
      <c r="C21">
        <v>0.86</v>
      </c>
      <c r="D21">
        <v>0.87</v>
      </c>
      <c r="E21">
        <v>0.89</v>
      </c>
      <c r="F21">
        <v>0.9</v>
      </c>
      <c r="G21">
        <v>0.85999999999999899</v>
      </c>
      <c r="H21">
        <v>0.91</v>
      </c>
      <c r="I21">
        <v>0.89999999999999902</v>
      </c>
      <c r="J21">
        <v>0.90999999999999903</v>
      </c>
      <c r="K21">
        <v>0.88999999999999901</v>
      </c>
      <c r="L21">
        <v>0.9</v>
      </c>
    </row>
    <row r="22" spans="1:12" x14ac:dyDescent="0.35">
      <c r="A22">
        <v>63</v>
      </c>
      <c r="B22" t="s">
        <v>396</v>
      </c>
      <c r="C22">
        <v>0.68</v>
      </c>
      <c r="D22">
        <v>0.69</v>
      </c>
      <c r="E22">
        <v>0.73</v>
      </c>
      <c r="F22">
        <v>0.77</v>
      </c>
      <c r="G22">
        <v>0.68</v>
      </c>
      <c r="H22">
        <v>0.74</v>
      </c>
      <c r="I22">
        <v>0.74</v>
      </c>
      <c r="J22">
        <v>0.76</v>
      </c>
      <c r="K22">
        <v>0.76</v>
      </c>
      <c r="L22">
        <v>0.73</v>
      </c>
    </row>
    <row r="23" spans="1:12" x14ac:dyDescent="0.35">
      <c r="A23">
        <v>64</v>
      </c>
      <c r="B23" t="s">
        <v>469</v>
      </c>
      <c r="C23">
        <v>0.9</v>
      </c>
      <c r="D23">
        <v>0.86</v>
      </c>
      <c r="E23">
        <v>0.92</v>
      </c>
      <c r="F23">
        <v>0.84</v>
      </c>
      <c r="G23">
        <v>0.869999999999999</v>
      </c>
      <c r="H23">
        <v>0.92</v>
      </c>
      <c r="I23">
        <v>0.91</v>
      </c>
      <c r="J23">
        <v>0.91</v>
      </c>
      <c r="K23">
        <v>0.93</v>
      </c>
      <c r="L23">
        <v>0.9</v>
      </c>
    </row>
    <row r="24" spans="1:12" x14ac:dyDescent="0.35">
      <c r="A24">
        <v>65</v>
      </c>
      <c r="B24" t="s">
        <v>398</v>
      </c>
      <c r="C24">
        <v>0.89</v>
      </c>
      <c r="D24">
        <v>0.8</v>
      </c>
      <c r="E24">
        <v>0.8</v>
      </c>
      <c r="F24">
        <v>0.90999999999999903</v>
      </c>
      <c r="G24">
        <v>0.83</v>
      </c>
      <c r="H24">
        <v>0.89</v>
      </c>
      <c r="I24">
        <v>0.88</v>
      </c>
      <c r="J24">
        <v>0.92999999999999905</v>
      </c>
      <c r="K24">
        <v>0.91</v>
      </c>
      <c r="L24">
        <v>0.87</v>
      </c>
    </row>
    <row r="25" spans="1:12" x14ac:dyDescent="0.35">
      <c r="A25">
        <v>66</v>
      </c>
      <c r="B25" t="s">
        <v>399</v>
      </c>
      <c r="C25">
        <v>0.8</v>
      </c>
      <c r="D25">
        <v>0.74</v>
      </c>
      <c r="E25">
        <v>0.84</v>
      </c>
      <c r="F25">
        <v>0.78</v>
      </c>
      <c r="G25">
        <v>0.72</v>
      </c>
      <c r="H25">
        <v>0.81</v>
      </c>
      <c r="I25">
        <v>0.76</v>
      </c>
      <c r="J25">
        <v>0.79</v>
      </c>
      <c r="K25">
        <v>0.82</v>
      </c>
      <c r="L25">
        <v>0.76999999999999902</v>
      </c>
    </row>
    <row r="26" spans="1:12" x14ac:dyDescent="0.35">
      <c r="A26">
        <v>67</v>
      </c>
      <c r="B26" t="s">
        <v>400</v>
      </c>
      <c r="C26">
        <v>0.749999999999999</v>
      </c>
      <c r="D26">
        <v>0.77</v>
      </c>
      <c r="E26">
        <v>0.77</v>
      </c>
      <c r="F26">
        <v>0.84</v>
      </c>
      <c r="G26">
        <v>0.76</v>
      </c>
      <c r="H26">
        <v>0.82</v>
      </c>
      <c r="I26">
        <v>0.81</v>
      </c>
      <c r="J26">
        <v>0.83</v>
      </c>
      <c r="K26">
        <v>0.84</v>
      </c>
      <c r="L26">
        <v>0.79</v>
      </c>
    </row>
    <row r="27" spans="1:12" x14ac:dyDescent="0.35">
      <c r="A27">
        <v>68</v>
      </c>
      <c r="B27" t="s">
        <v>401</v>
      </c>
      <c r="C27">
        <v>0.9</v>
      </c>
      <c r="D27">
        <v>0.86</v>
      </c>
      <c r="E27">
        <v>0.92</v>
      </c>
      <c r="F27">
        <v>0.84</v>
      </c>
      <c r="G27">
        <v>0.869999999999999</v>
      </c>
      <c r="H27">
        <v>0.92</v>
      </c>
      <c r="I27">
        <v>0.91</v>
      </c>
      <c r="J27">
        <v>0.91</v>
      </c>
      <c r="K27">
        <v>0.93</v>
      </c>
      <c r="L27">
        <v>0.9</v>
      </c>
    </row>
    <row r="28" spans="1:12" x14ac:dyDescent="0.35">
      <c r="A28">
        <v>70</v>
      </c>
      <c r="B28" t="s">
        <v>413</v>
      </c>
      <c r="C28">
        <v>0.75</v>
      </c>
      <c r="D28">
        <v>0.73</v>
      </c>
      <c r="E28">
        <v>0.77999999999999903</v>
      </c>
      <c r="F28">
        <v>0.84</v>
      </c>
      <c r="G28">
        <v>0.69</v>
      </c>
      <c r="H28">
        <v>0.83</v>
      </c>
      <c r="I28">
        <v>0.79</v>
      </c>
      <c r="J28">
        <v>0.81</v>
      </c>
      <c r="K28">
        <v>0.92999999999999905</v>
      </c>
      <c r="L28">
        <v>0.77</v>
      </c>
    </row>
    <row r="29" spans="1:12" x14ac:dyDescent="0.35">
      <c r="A29">
        <v>71</v>
      </c>
      <c r="B29" t="s">
        <v>373</v>
      </c>
      <c r="C29">
        <v>0.71699999999999997</v>
      </c>
      <c r="D29">
        <v>0.80600000000000005</v>
      </c>
      <c r="E29">
        <v>0.86399999999999999</v>
      </c>
      <c r="F29">
        <v>0.75600000000000001</v>
      </c>
      <c r="G29">
        <v>0.79</v>
      </c>
      <c r="H29">
        <v>0.79699999999999904</v>
      </c>
      <c r="I29">
        <v>0.77800000000000002</v>
      </c>
      <c r="J29">
        <v>0.79</v>
      </c>
      <c r="K29">
        <v>0.78700000000000003</v>
      </c>
      <c r="L29">
        <v>0.77300000000000002</v>
      </c>
    </row>
    <row r="30" spans="1:12" x14ac:dyDescent="0.35">
      <c r="A30">
        <v>72</v>
      </c>
      <c r="B30" t="s">
        <v>374</v>
      </c>
      <c r="C30">
        <v>0.71699999999999997</v>
      </c>
      <c r="D30">
        <v>0.80600000000000005</v>
      </c>
      <c r="E30">
        <v>0.86399999999999999</v>
      </c>
      <c r="F30">
        <v>0.75600000000000001</v>
      </c>
      <c r="G30">
        <v>0.79</v>
      </c>
      <c r="H30">
        <v>0.79699999999999904</v>
      </c>
      <c r="I30">
        <v>0.77800000000000002</v>
      </c>
      <c r="J30">
        <v>0.79</v>
      </c>
      <c r="K30">
        <v>0.78700000000000003</v>
      </c>
      <c r="L30">
        <v>0.77300000000000002</v>
      </c>
    </row>
    <row r="31" spans="1:12" x14ac:dyDescent="0.35">
      <c r="A31">
        <v>73</v>
      </c>
      <c r="B31" t="s">
        <v>375</v>
      </c>
      <c r="C31" t="s">
        <v>470</v>
      </c>
      <c r="D31" t="s">
        <v>470</v>
      </c>
      <c r="E31" t="s">
        <v>470</v>
      </c>
      <c r="F31" t="s">
        <v>470</v>
      </c>
      <c r="G31" t="s">
        <v>470</v>
      </c>
      <c r="H31" t="s">
        <v>470</v>
      </c>
      <c r="I31" t="s">
        <v>470</v>
      </c>
      <c r="J31" t="s">
        <v>470</v>
      </c>
      <c r="K31" t="s">
        <v>470</v>
      </c>
      <c r="L31" t="s">
        <v>470</v>
      </c>
    </row>
    <row r="32" spans="1:12" x14ac:dyDescent="0.35">
      <c r="A32">
        <v>74</v>
      </c>
      <c r="B32" t="s">
        <v>376</v>
      </c>
      <c r="C32">
        <v>0.22</v>
      </c>
      <c r="D32">
        <v>0.5</v>
      </c>
      <c r="E32">
        <v>0.41</v>
      </c>
      <c r="F32">
        <v>0.61</v>
      </c>
      <c r="G32">
        <v>0.31</v>
      </c>
      <c r="H32">
        <v>0.61</v>
      </c>
      <c r="I32">
        <v>0.59</v>
      </c>
      <c r="J32">
        <v>0.59</v>
      </c>
      <c r="K32">
        <v>0.52</v>
      </c>
      <c r="L32">
        <v>0.42</v>
      </c>
    </row>
    <row r="33" spans="1:12" x14ac:dyDescent="0.35">
      <c r="A33">
        <v>75</v>
      </c>
      <c r="B33" t="s">
        <v>386</v>
      </c>
      <c r="C33">
        <v>0.82</v>
      </c>
      <c r="D33">
        <v>0.82</v>
      </c>
      <c r="E33">
        <v>0.84</v>
      </c>
      <c r="F33">
        <v>0.92</v>
      </c>
      <c r="G33">
        <v>0.81</v>
      </c>
      <c r="H33">
        <v>0.84</v>
      </c>
      <c r="I33">
        <v>0.85</v>
      </c>
      <c r="J33">
        <v>0.85</v>
      </c>
      <c r="K33">
        <v>0.87</v>
      </c>
      <c r="L33">
        <v>0.83</v>
      </c>
    </row>
    <row r="34" spans="1:12" x14ac:dyDescent="0.35">
      <c r="A34">
        <v>92</v>
      </c>
      <c r="B34" t="s">
        <v>112</v>
      </c>
      <c r="C34">
        <v>0.95</v>
      </c>
      <c r="D34">
        <v>0.89</v>
      </c>
      <c r="E34">
        <v>0.97</v>
      </c>
      <c r="F34">
        <v>0.95999999999999897</v>
      </c>
      <c r="G34">
        <v>0.94</v>
      </c>
      <c r="H34">
        <v>0.97</v>
      </c>
      <c r="I34">
        <v>0.88999999999999901</v>
      </c>
      <c r="J34">
        <v>0.97</v>
      </c>
      <c r="K34">
        <v>0.98</v>
      </c>
      <c r="L34">
        <v>0.92</v>
      </c>
    </row>
    <row r="35" spans="1:12" x14ac:dyDescent="0.35">
      <c r="A35">
        <v>93</v>
      </c>
      <c r="B35" t="s">
        <v>266</v>
      </c>
      <c r="C35">
        <v>0.55000000000000004</v>
      </c>
      <c r="D35">
        <v>0.57999999999999996</v>
      </c>
      <c r="E35">
        <v>0.62</v>
      </c>
      <c r="F35">
        <v>0.74</v>
      </c>
      <c r="G35">
        <v>0.6</v>
      </c>
      <c r="H35">
        <v>0.69</v>
      </c>
      <c r="I35">
        <v>0.69999999999999896</v>
      </c>
      <c r="J35">
        <v>0.71</v>
      </c>
      <c r="K35">
        <v>0.73999999999999899</v>
      </c>
      <c r="L35">
        <v>0.66</v>
      </c>
    </row>
    <row r="36" spans="1:12" x14ac:dyDescent="0.35">
      <c r="A36">
        <v>94</v>
      </c>
      <c r="B36" t="s">
        <v>288</v>
      </c>
      <c r="C36">
        <v>0.88</v>
      </c>
      <c r="D36">
        <v>0.86599999999999999</v>
      </c>
      <c r="E36">
        <v>0.91800000000000004</v>
      </c>
      <c r="F36">
        <v>0.86899999999999999</v>
      </c>
      <c r="G36">
        <v>0.88</v>
      </c>
      <c r="H36">
        <v>0.88799999999999901</v>
      </c>
      <c r="I36">
        <v>0.872</v>
      </c>
      <c r="J36">
        <v>0.88</v>
      </c>
      <c r="K36">
        <v>0.86899999999999999</v>
      </c>
      <c r="L36">
        <v>0.878</v>
      </c>
    </row>
    <row r="37" spans="1:12" x14ac:dyDescent="0.35">
      <c r="A37">
        <v>101</v>
      </c>
      <c r="B37" t="s">
        <v>10</v>
      </c>
      <c r="C37">
        <v>0.94</v>
      </c>
      <c r="D37">
        <v>0.92</v>
      </c>
      <c r="E37">
        <v>0.95</v>
      </c>
      <c r="F37">
        <v>0.95</v>
      </c>
      <c r="G37">
        <v>0.91</v>
      </c>
      <c r="H37">
        <v>0.91</v>
      </c>
      <c r="I37">
        <v>0.92</v>
      </c>
      <c r="J37">
        <v>0.94</v>
      </c>
      <c r="K37">
        <v>0.95</v>
      </c>
      <c r="L37">
        <v>0.94</v>
      </c>
    </row>
    <row r="38" spans="1:12" x14ac:dyDescent="0.35">
      <c r="A38">
        <v>102</v>
      </c>
      <c r="B38" t="s">
        <v>14</v>
      </c>
      <c r="C38">
        <v>0.94</v>
      </c>
      <c r="D38">
        <v>0.92</v>
      </c>
      <c r="E38">
        <v>0.95</v>
      </c>
      <c r="F38">
        <v>0.95</v>
      </c>
      <c r="G38">
        <v>0.91</v>
      </c>
      <c r="H38">
        <v>0.91</v>
      </c>
      <c r="I38">
        <v>0.92</v>
      </c>
      <c r="J38">
        <v>0.94</v>
      </c>
      <c r="K38">
        <v>0.95</v>
      </c>
      <c r="L38">
        <v>0.94</v>
      </c>
    </row>
    <row r="39" spans="1:12" x14ac:dyDescent="0.35">
      <c r="A39">
        <v>103</v>
      </c>
      <c r="B39" t="s">
        <v>15</v>
      </c>
      <c r="C39">
        <v>0.97</v>
      </c>
      <c r="D39">
        <v>0.92</v>
      </c>
      <c r="E39">
        <v>0.95</v>
      </c>
      <c r="F39">
        <v>0.86</v>
      </c>
      <c r="G39">
        <v>0.90999999999999903</v>
      </c>
      <c r="H39">
        <v>0.99</v>
      </c>
      <c r="I39">
        <v>0.92</v>
      </c>
      <c r="J39">
        <v>0.94</v>
      </c>
      <c r="K39">
        <v>0.86</v>
      </c>
      <c r="L39">
        <v>0.88</v>
      </c>
    </row>
    <row r="40" spans="1:12" x14ac:dyDescent="0.35">
      <c r="A40">
        <v>104</v>
      </c>
      <c r="B40" t="s">
        <v>18</v>
      </c>
      <c r="C40">
        <v>0.97</v>
      </c>
      <c r="D40">
        <v>0.92</v>
      </c>
      <c r="E40">
        <v>0.95</v>
      </c>
      <c r="F40">
        <v>0.86</v>
      </c>
      <c r="G40">
        <v>0.90999999999999903</v>
      </c>
      <c r="H40">
        <v>0.99</v>
      </c>
      <c r="I40">
        <v>0.92</v>
      </c>
      <c r="J40">
        <v>0.94</v>
      </c>
      <c r="K40">
        <v>0.86</v>
      </c>
      <c r="L40">
        <v>0.88</v>
      </c>
    </row>
    <row r="41" spans="1:12" x14ac:dyDescent="0.35">
      <c r="A41">
        <v>105</v>
      </c>
      <c r="B41" t="s">
        <v>21</v>
      </c>
      <c r="C41">
        <v>0.97</v>
      </c>
      <c r="D41">
        <v>0.92</v>
      </c>
      <c r="E41">
        <v>0.95</v>
      </c>
      <c r="F41">
        <v>0.86</v>
      </c>
      <c r="G41">
        <v>0.90999999999999903</v>
      </c>
      <c r="H41">
        <v>0.99</v>
      </c>
      <c r="I41">
        <v>0.92</v>
      </c>
      <c r="J41">
        <v>0.94</v>
      </c>
      <c r="K41">
        <v>0.86</v>
      </c>
      <c r="L41">
        <v>0.88</v>
      </c>
    </row>
    <row r="42" spans="1:12" x14ac:dyDescent="0.35">
      <c r="A42">
        <v>106</v>
      </c>
      <c r="B42" t="s">
        <v>22</v>
      </c>
      <c r="C42">
        <v>0.97</v>
      </c>
      <c r="D42">
        <v>0.92</v>
      </c>
      <c r="E42">
        <v>0.95</v>
      </c>
      <c r="F42">
        <v>0.86</v>
      </c>
      <c r="G42">
        <v>0.90999999999999903</v>
      </c>
      <c r="H42">
        <v>0.99</v>
      </c>
      <c r="I42">
        <v>0.92</v>
      </c>
      <c r="J42">
        <v>0.94</v>
      </c>
      <c r="K42">
        <v>0.86</v>
      </c>
      <c r="L42">
        <v>0.88</v>
      </c>
    </row>
    <row r="43" spans="1:12" x14ac:dyDescent="0.35">
      <c r="A43">
        <v>107</v>
      </c>
      <c r="B43" t="s">
        <v>23</v>
      </c>
      <c r="C43">
        <v>0.86</v>
      </c>
      <c r="D43">
        <v>0.87</v>
      </c>
      <c r="E43">
        <v>0.89</v>
      </c>
      <c r="F43">
        <v>0.9</v>
      </c>
      <c r="G43">
        <v>0.85999999999999899</v>
      </c>
      <c r="H43">
        <v>0.91</v>
      </c>
      <c r="I43">
        <v>0.89999999999999902</v>
      </c>
      <c r="J43">
        <v>0.90999999999999903</v>
      </c>
      <c r="K43">
        <v>0.88999999999999901</v>
      </c>
      <c r="L43">
        <v>0.9</v>
      </c>
    </row>
    <row r="44" spans="1:12" x14ac:dyDescent="0.35">
      <c r="A44">
        <v>108</v>
      </c>
      <c r="B44" t="s">
        <v>26</v>
      </c>
      <c r="C44">
        <v>0.86</v>
      </c>
      <c r="D44">
        <v>0.87</v>
      </c>
      <c r="E44">
        <v>0.89</v>
      </c>
      <c r="F44">
        <v>0.9</v>
      </c>
      <c r="G44">
        <v>0.85999999999999899</v>
      </c>
      <c r="H44">
        <v>0.91</v>
      </c>
      <c r="I44">
        <v>0.89999999999999902</v>
      </c>
      <c r="J44">
        <v>0.90999999999999903</v>
      </c>
      <c r="K44">
        <v>0.88999999999999901</v>
      </c>
      <c r="L44">
        <v>0.9</v>
      </c>
    </row>
    <row r="45" spans="1:12" x14ac:dyDescent="0.35">
      <c r="A45">
        <v>110</v>
      </c>
      <c r="B45" t="s">
        <v>27</v>
      </c>
      <c r="C45">
        <v>0.91</v>
      </c>
      <c r="D45">
        <v>0.81</v>
      </c>
      <c r="E45">
        <v>0.88</v>
      </c>
      <c r="F45">
        <v>0.89</v>
      </c>
      <c r="G45">
        <v>0.83</v>
      </c>
      <c r="H45">
        <v>0.9</v>
      </c>
      <c r="I45">
        <v>0.89</v>
      </c>
      <c r="J45">
        <v>0.9</v>
      </c>
      <c r="K45">
        <v>0.91</v>
      </c>
      <c r="L45">
        <v>0.86</v>
      </c>
    </row>
    <row r="46" spans="1:12" x14ac:dyDescent="0.35">
      <c r="A46">
        <v>111</v>
      </c>
      <c r="B46" t="s">
        <v>30</v>
      </c>
      <c r="C46">
        <v>0.86</v>
      </c>
      <c r="D46">
        <v>0.87</v>
      </c>
      <c r="E46">
        <v>0.89</v>
      </c>
      <c r="F46">
        <v>0.9</v>
      </c>
      <c r="G46">
        <v>0.85999999999999899</v>
      </c>
      <c r="H46">
        <v>0.91</v>
      </c>
      <c r="I46">
        <v>0.89999999999999902</v>
      </c>
      <c r="J46">
        <v>0.90999999999999903</v>
      </c>
      <c r="K46">
        <v>0.88999999999999901</v>
      </c>
      <c r="L46">
        <v>0.9</v>
      </c>
    </row>
    <row r="47" spans="1:12" x14ac:dyDescent="0.35">
      <c r="A47">
        <v>112</v>
      </c>
      <c r="B47" t="s">
        <v>33</v>
      </c>
      <c r="C47">
        <v>0.86</v>
      </c>
      <c r="D47">
        <v>0.87</v>
      </c>
      <c r="E47">
        <v>0.89</v>
      </c>
      <c r="F47">
        <v>0.9</v>
      </c>
      <c r="G47">
        <v>0.85999999999999899</v>
      </c>
      <c r="H47">
        <v>0.91</v>
      </c>
      <c r="I47">
        <v>0.89999999999999902</v>
      </c>
      <c r="J47">
        <v>0.90999999999999903</v>
      </c>
      <c r="K47">
        <v>0.88999999999999901</v>
      </c>
      <c r="L47">
        <v>0.9</v>
      </c>
    </row>
    <row r="48" spans="1:12" x14ac:dyDescent="0.35">
      <c r="A48">
        <v>114</v>
      </c>
      <c r="B48" t="s">
        <v>38</v>
      </c>
      <c r="C48">
        <v>0.86</v>
      </c>
      <c r="D48">
        <v>0.87</v>
      </c>
      <c r="E48">
        <v>0.89</v>
      </c>
      <c r="F48">
        <v>0.9</v>
      </c>
      <c r="G48">
        <v>0.85999999999999899</v>
      </c>
      <c r="H48">
        <v>0.91</v>
      </c>
      <c r="I48">
        <v>0.89999999999999902</v>
      </c>
      <c r="J48">
        <v>0.90999999999999903</v>
      </c>
      <c r="K48">
        <v>0.88999999999999901</v>
      </c>
      <c r="L48">
        <v>0.9</v>
      </c>
    </row>
    <row r="49" spans="1:12" x14ac:dyDescent="0.35">
      <c r="A49">
        <v>115</v>
      </c>
      <c r="B49" t="s">
        <v>39</v>
      </c>
      <c r="C49">
        <v>0.68</v>
      </c>
      <c r="D49">
        <v>0.69</v>
      </c>
      <c r="E49">
        <v>0.73</v>
      </c>
      <c r="F49">
        <v>0.77</v>
      </c>
      <c r="G49">
        <v>0.68</v>
      </c>
      <c r="H49">
        <v>0.74</v>
      </c>
      <c r="I49">
        <v>0.74</v>
      </c>
      <c r="J49">
        <v>0.76</v>
      </c>
      <c r="K49">
        <v>0.76</v>
      </c>
      <c r="L49">
        <v>0.73</v>
      </c>
    </row>
    <row r="50" spans="1:12" x14ac:dyDescent="0.35">
      <c r="A50">
        <v>116</v>
      </c>
      <c r="B50" t="s">
        <v>471</v>
      </c>
      <c r="C50">
        <v>0.9</v>
      </c>
      <c r="D50">
        <v>0.86</v>
      </c>
      <c r="E50">
        <v>0.92</v>
      </c>
      <c r="F50">
        <v>0.84</v>
      </c>
      <c r="G50">
        <v>0.869999999999999</v>
      </c>
      <c r="H50">
        <v>0.92</v>
      </c>
      <c r="I50">
        <v>0.91</v>
      </c>
      <c r="J50">
        <v>0.91</v>
      </c>
      <c r="K50">
        <v>0.93</v>
      </c>
      <c r="L50">
        <v>0.9</v>
      </c>
    </row>
    <row r="51" spans="1:12" x14ac:dyDescent="0.35">
      <c r="A51">
        <v>117</v>
      </c>
      <c r="B51" t="s">
        <v>45</v>
      </c>
      <c r="C51">
        <v>0.89</v>
      </c>
      <c r="D51">
        <v>0.8</v>
      </c>
      <c r="E51">
        <v>0.8</v>
      </c>
      <c r="F51">
        <v>0.90999999999999903</v>
      </c>
      <c r="G51">
        <v>0.83</v>
      </c>
      <c r="H51">
        <v>0.89</v>
      </c>
      <c r="I51">
        <v>0.88</v>
      </c>
      <c r="J51">
        <v>0.92999999999999905</v>
      </c>
      <c r="K51">
        <v>0.91</v>
      </c>
      <c r="L51">
        <v>0.87</v>
      </c>
    </row>
    <row r="52" spans="1:12" x14ac:dyDescent="0.35">
      <c r="A52">
        <v>118</v>
      </c>
      <c r="B52" t="s">
        <v>48</v>
      </c>
      <c r="C52">
        <v>0.8</v>
      </c>
      <c r="D52">
        <v>0.74</v>
      </c>
      <c r="E52">
        <v>0.84</v>
      </c>
      <c r="F52">
        <v>0.78</v>
      </c>
      <c r="G52">
        <v>0.72</v>
      </c>
      <c r="H52">
        <v>0.81</v>
      </c>
      <c r="I52">
        <v>0.76</v>
      </c>
      <c r="J52">
        <v>0.79</v>
      </c>
      <c r="K52">
        <v>0.82</v>
      </c>
      <c r="L52">
        <v>0.76999999999999902</v>
      </c>
    </row>
    <row r="53" spans="1:12" x14ac:dyDescent="0.35">
      <c r="A53">
        <v>120</v>
      </c>
      <c r="B53" t="s">
        <v>51</v>
      </c>
      <c r="C53">
        <v>0.749999999999999</v>
      </c>
      <c r="D53">
        <v>0.77</v>
      </c>
      <c r="E53">
        <v>0.77</v>
      </c>
      <c r="F53">
        <v>0.84</v>
      </c>
      <c r="G53">
        <v>0.76</v>
      </c>
      <c r="H53">
        <v>0.82</v>
      </c>
      <c r="I53">
        <v>0.81</v>
      </c>
      <c r="J53">
        <v>0.83</v>
      </c>
      <c r="K53">
        <v>0.84</v>
      </c>
      <c r="L53">
        <v>0.79</v>
      </c>
    </row>
    <row r="54" spans="1:12" x14ac:dyDescent="0.35">
      <c r="A54">
        <v>121</v>
      </c>
      <c r="B54" t="s">
        <v>54</v>
      </c>
      <c r="C54">
        <v>0.9</v>
      </c>
      <c r="D54">
        <v>0.86</v>
      </c>
      <c r="E54">
        <v>0.92</v>
      </c>
      <c r="F54">
        <v>0.84</v>
      </c>
      <c r="G54">
        <v>0.869999999999999</v>
      </c>
      <c r="H54">
        <v>0.92</v>
      </c>
      <c r="I54">
        <v>0.91</v>
      </c>
      <c r="J54">
        <v>0.91</v>
      </c>
      <c r="K54">
        <v>0.93</v>
      </c>
      <c r="L54">
        <v>0.9</v>
      </c>
    </row>
    <row r="55" spans="1:12" x14ac:dyDescent="0.35">
      <c r="A55">
        <v>122</v>
      </c>
      <c r="B55" t="s">
        <v>57</v>
      </c>
      <c r="C55">
        <v>0.75</v>
      </c>
      <c r="D55">
        <v>0.73</v>
      </c>
      <c r="E55">
        <v>0.77999999999999903</v>
      </c>
      <c r="F55">
        <v>0.84</v>
      </c>
      <c r="G55">
        <v>0.69</v>
      </c>
      <c r="H55">
        <v>0.83</v>
      </c>
      <c r="I55">
        <v>0.79</v>
      </c>
      <c r="J55">
        <v>0.81</v>
      </c>
      <c r="K55">
        <v>0.92999999999999905</v>
      </c>
      <c r="L55">
        <v>0.77</v>
      </c>
    </row>
    <row r="56" spans="1:12" x14ac:dyDescent="0.35">
      <c r="A56">
        <v>139</v>
      </c>
      <c r="B56" t="s">
        <v>60</v>
      </c>
      <c r="C56">
        <v>0.76</v>
      </c>
      <c r="D56">
        <v>0.64</v>
      </c>
      <c r="E56">
        <v>0.84</v>
      </c>
      <c r="F56">
        <v>0.82</v>
      </c>
      <c r="G56">
        <v>0.69</v>
      </c>
      <c r="H56">
        <v>0.76</v>
      </c>
      <c r="I56">
        <v>0.28999999999999998</v>
      </c>
      <c r="J56">
        <v>0.75</v>
      </c>
      <c r="K56">
        <v>0.62</v>
      </c>
      <c r="L56">
        <v>0.74</v>
      </c>
    </row>
    <row r="57" spans="1:12" x14ac:dyDescent="0.35">
      <c r="A57">
        <v>140</v>
      </c>
      <c r="B57" t="s">
        <v>63</v>
      </c>
      <c r="C57">
        <v>0.71699999999999997</v>
      </c>
      <c r="D57">
        <v>0.80600000000000005</v>
      </c>
      <c r="E57">
        <v>0.86399999999999999</v>
      </c>
      <c r="F57">
        <v>0.75600000000000001</v>
      </c>
      <c r="G57">
        <v>0.79</v>
      </c>
      <c r="H57">
        <v>0.79699999999999904</v>
      </c>
      <c r="I57">
        <v>0.77800000000000002</v>
      </c>
      <c r="J57">
        <v>0.79</v>
      </c>
      <c r="K57">
        <v>0.78700000000000003</v>
      </c>
      <c r="L57">
        <v>0.77300000000000002</v>
      </c>
    </row>
    <row r="58" spans="1:12" x14ac:dyDescent="0.35">
      <c r="A58">
        <v>141</v>
      </c>
      <c r="B58" t="s">
        <v>66</v>
      </c>
      <c r="C58">
        <v>0.71699999999999997</v>
      </c>
      <c r="D58">
        <v>0.80600000000000005</v>
      </c>
      <c r="E58">
        <v>0.86399999999999999</v>
      </c>
      <c r="F58">
        <v>0.75600000000000001</v>
      </c>
      <c r="G58">
        <v>0.79</v>
      </c>
      <c r="H58">
        <v>0.79699999999999904</v>
      </c>
      <c r="I58">
        <v>0.77800000000000002</v>
      </c>
      <c r="J58">
        <v>0.79</v>
      </c>
      <c r="K58">
        <v>0.78700000000000003</v>
      </c>
      <c r="L58">
        <v>0.77300000000000002</v>
      </c>
    </row>
    <row r="59" spans="1:12" x14ac:dyDescent="0.35">
      <c r="A59">
        <v>142</v>
      </c>
      <c r="B59" t="s">
        <v>69</v>
      </c>
      <c r="C59">
        <v>0.71699999999999997</v>
      </c>
      <c r="D59">
        <v>0.80600000000000005</v>
      </c>
      <c r="E59">
        <v>0.86399999999999999</v>
      </c>
      <c r="F59">
        <v>0.75600000000000001</v>
      </c>
      <c r="G59">
        <v>0.79</v>
      </c>
      <c r="H59">
        <v>0.79699999999999904</v>
      </c>
      <c r="I59">
        <v>0.77800000000000002</v>
      </c>
      <c r="J59">
        <v>0.79</v>
      </c>
      <c r="K59">
        <v>0.78700000000000003</v>
      </c>
      <c r="L59">
        <v>0.77300000000000002</v>
      </c>
    </row>
    <row r="60" spans="1:12" x14ac:dyDescent="0.35">
      <c r="A60">
        <v>143</v>
      </c>
      <c r="B60" t="s">
        <v>72</v>
      </c>
      <c r="C60">
        <v>0.71699999999999997</v>
      </c>
      <c r="D60">
        <v>0.80600000000000005</v>
      </c>
      <c r="E60">
        <v>0.86399999999999999</v>
      </c>
      <c r="F60">
        <v>0.75600000000000001</v>
      </c>
      <c r="G60">
        <v>0.79</v>
      </c>
      <c r="H60">
        <v>0.79699999999999904</v>
      </c>
      <c r="I60">
        <v>0.77800000000000002</v>
      </c>
      <c r="J60">
        <v>0.79</v>
      </c>
      <c r="K60">
        <v>0.78700000000000003</v>
      </c>
      <c r="L60">
        <v>0.77300000000000002</v>
      </c>
    </row>
    <row r="61" spans="1:12" x14ac:dyDescent="0.35">
      <c r="A61">
        <v>144</v>
      </c>
      <c r="B61" t="s">
        <v>76</v>
      </c>
      <c r="C61">
        <v>0.8</v>
      </c>
      <c r="D61">
        <v>0.82</v>
      </c>
      <c r="E61">
        <v>0.82</v>
      </c>
      <c r="F61">
        <v>0.86</v>
      </c>
      <c r="G61">
        <v>0.81</v>
      </c>
      <c r="H61">
        <v>0.86</v>
      </c>
      <c r="I61">
        <v>0.84</v>
      </c>
      <c r="J61">
        <v>0.86</v>
      </c>
      <c r="K61">
        <v>0.86</v>
      </c>
      <c r="L61">
        <v>0.83</v>
      </c>
    </row>
    <row r="62" spans="1:12" x14ac:dyDescent="0.35">
      <c r="A62">
        <v>145</v>
      </c>
      <c r="B62" t="s">
        <v>79</v>
      </c>
      <c r="C62">
        <v>0.71699999999999997</v>
      </c>
      <c r="D62">
        <v>0.80600000000000005</v>
      </c>
      <c r="E62">
        <v>0.86399999999999999</v>
      </c>
      <c r="F62">
        <v>0.75600000000000001</v>
      </c>
      <c r="G62">
        <v>0.79</v>
      </c>
      <c r="H62">
        <v>0.79699999999999904</v>
      </c>
      <c r="I62">
        <v>0.77800000000000002</v>
      </c>
      <c r="J62">
        <v>0.79</v>
      </c>
      <c r="K62">
        <v>0.78700000000000003</v>
      </c>
      <c r="L62">
        <v>0.77300000000000002</v>
      </c>
    </row>
    <row r="63" spans="1:12" x14ac:dyDescent="0.35">
      <c r="A63">
        <v>146</v>
      </c>
      <c r="B63" t="s">
        <v>82</v>
      </c>
      <c r="C63">
        <v>0.71999999999999897</v>
      </c>
      <c r="D63">
        <v>0.83</v>
      </c>
      <c r="E63">
        <v>0.73</v>
      </c>
      <c r="F63">
        <v>0.8</v>
      </c>
      <c r="G63">
        <v>0.76</v>
      </c>
      <c r="H63">
        <v>0.84</v>
      </c>
      <c r="I63">
        <v>0.79</v>
      </c>
      <c r="J63">
        <v>0.8</v>
      </c>
      <c r="K63">
        <v>0.8</v>
      </c>
      <c r="L63">
        <v>0.77</v>
      </c>
    </row>
    <row r="64" spans="1:12" x14ac:dyDescent="0.35">
      <c r="A64">
        <v>147</v>
      </c>
      <c r="B64" t="s">
        <v>85</v>
      </c>
      <c r="C64">
        <v>0.71699999999999997</v>
      </c>
      <c r="D64">
        <v>0.80600000000000005</v>
      </c>
      <c r="E64">
        <v>0.86399999999999999</v>
      </c>
      <c r="F64">
        <v>0.75600000000000001</v>
      </c>
      <c r="G64">
        <v>0.79</v>
      </c>
      <c r="H64">
        <v>0.79699999999999904</v>
      </c>
      <c r="I64">
        <v>0.77800000000000002</v>
      </c>
      <c r="J64">
        <v>0.79</v>
      </c>
      <c r="K64">
        <v>0.78700000000000003</v>
      </c>
      <c r="L64">
        <v>0.77300000000000002</v>
      </c>
    </row>
    <row r="65" spans="1:12" x14ac:dyDescent="0.35">
      <c r="A65">
        <v>148</v>
      </c>
      <c r="B65" t="s">
        <v>88</v>
      </c>
      <c r="C65">
        <v>0.71699999999999997</v>
      </c>
      <c r="D65">
        <v>0.80600000000000005</v>
      </c>
      <c r="E65">
        <v>0.86399999999999999</v>
      </c>
      <c r="F65">
        <v>0.75600000000000001</v>
      </c>
      <c r="G65">
        <v>0.79</v>
      </c>
      <c r="H65">
        <v>0.79699999999999904</v>
      </c>
      <c r="I65">
        <v>0.77800000000000002</v>
      </c>
      <c r="J65">
        <v>0.79</v>
      </c>
      <c r="K65">
        <v>0.78700000000000003</v>
      </c>
      <c r="L65">
        <v>0.77300000000000002</v>
      </c>
    </row>
    <row r="66" spans="1:12" x14ac:dyDescent="0.35">
      <c r="A66">
        <v>150</v>
      </c>
      <c r="B66" t="s">
        <v>372</v>
      </c>
      <c r="C66">
        <v>0.71699999999999997</v>
      </c>
      <c r="D66">
        <v>0.80600000000000005</v>
      </c>
      <c r="E66">
        <v>0.86399999999999999</v>
      </c>
      <c r="F66">
        <v>0.75600000000000001</v>
      </c>
      <c r="G66">
        <v>0.79</v>
      </c>
      <c r="H66">
        <v>0.79699999999999904</v>
      </c>
      <c r="I66">
        <v>0.77800000000000002</v>
      </c>
      <c r="J66">
        <v>0.79</v>
      </c>
      <c r="K66">
        <v>0.78700000000000003</v>
      </c>
      <c r="L66">
        <v>0.77300000000000002</v>
      </c>
    </row>
    <row r="67" spans="1:12" x14ac:dyDescent="0.35">
      <c r="A67">
        <v>152</v>
      </c>
      <c r="B67" t="s">
        <v>91</v>
      </c>
      <c r="C67">
        <v>0.71699999999999997</v>
      </c>
      <c r="D67">
        <v>0.80600000000000005</v>
      </c>
      <c r="E67">
        <v>0.86399999999999999</v>
      </c>
      <c r="F67">
        <v>0.75600000000000001</v>
      </c>
      <c r="G67">
        <v>0.79</v>
      </c>
      <c r="H67">
        <v>0.79699999999999904</v>
      </c>
      <c r="I67">
        <v>0.77800000000000002</v>
      </c>
      <c r="J67">
        <v>0.79</v>
      </c>
      <c r="K67">
        <v>0.78700000000000003</v>
      </c>
      <c r="L67">
        <v>0.77300000000000002</v>
      </c>
    </row>
    <row r="68" spans="1:12" x14ac:dyDescent="0.35">
      <c r="A68">
        <v>158</v>
      </c>
      <c r="B68" t="s">
        <v>403</v>
      </c>
      <c r="C68">
        <v>0.71699999999999997</v>
      </c>
      <c r="D68">
        <v>0.80600000000000005</v>
      </c>
      <c r="E68">
        <v>0.86399999999999999</v>
      </c>
      <c r="F68">
        <v>0.75600000000000001</v>
      </c>
      <c r="G68">
        <v>0.79</v>
      </c>
      <c r="H68">
        <v>0.79699999999999904</v>
      </c>
      <c r="I68">
        <v>0.77800000000000002</v>
      </c>
      <c r="J68">
        <v>0.79</v>
      </c>
      <c r="K68">
        <v>0.78700000000000003</v>
      </c>
      <c r="L68">
        <v>0.77300000000000002</v>
      </c>
    </row>
    <row r="69" spans="1:12" x14ac:dyDescent="0.35">
      <c r="A69">
        <v>160</v>
      </c>
      <c r="B69" t="s">
        <v>93</v>
      </c>
      <c r="C69">
        <v>0.85</v>
      </c>
      <c r="D69">
        <v>0.96</v>
      </c>
      <c r="E69">
        <v>0.88999999999999901</v>
      </c>
      <c r="F69">
        <v>0.96</v>
      </c>
      <c r="G69">
        <v>0.9</v>
      </c>
      <c r="H69">
        <v>0.93999999999999895</v>
      </c>
      <c r="I69">
        <v>0.869999999999999</v>
      </c>
      <c r="J69">
        <v>0.95</v>
      </c>
      <c r="K69">
        <v>0.96999999999999897</v>
      </c>
      <c r="L69">
        <v>0.88</v>
      </c>
    </row>
    <row r="70" spans="1:12" x14ac:dyDescent="0.35">
      <c r="A70">
        <v>162</v>
      </c>
      <c r="B70" t="s">
        <v>96</v>
      </c>
      <c r="C70">
        <v>0.85</v>
      </c>
      <c r="D70">
        <v>0.96</v>
      </c>
      <c r="E70">
        <v>0.88999999999999901</v>
      </c>
      <c r="F70">
        <v>0.96</v>
      </c>
      <c r="G70">
        <v>0.9</v>
      </c>
      <c r="H70">
        <v>0.93999999999999895</v>
      </c>
      <c r="I70">
        <v>0.869999999999999</v>
      </c>
      <c r="J70">
        <v>0.95</v>
      </c>
      <c r="K70">
        <v>0.96999999999999897</v>
      </c>
      <c r="L70">
        <v>0.88</v>
      </c>
    </row>
    <row r="71" spans="1:12" x14ac:dyDescent="0.35">
      <c r="A71">
        <v>163</v>
      </c>
      <c r="B71" t="s">
        <v>99</v>
      </c>
      <c r="C71">
        <v>0.85</v>
      </c>
      <c r="D71">
        <v>0.96</v>
      </c>
      <c r="E71">
        <v>0.88999999999999901</v>
      </c>
      <c r="F71">
        <v>0.96</v>
      </c>
      <c r="G71">
        <v>0.9</v>
      </c>
      <c r="H71">
        <v>0.93999999999999895</v>
      </c>
      <c r="I71">
        <v>0.869999999999999</v>
      </c>
      <c r="J71">
        <v>0.95</v>
      </c>
      <c r="K71">
        <v>0.96999999999999897</v>
      </c>
      <c r="L71">
        <v>0.88</v>
      </c>
    </row>
    <row r="72" spans="1:12" x14ac:dyDescent="0.35">
      <c r="A72">
        <v>164</v>
      </c>
      <c r="B72" t="s">
        <v>103</v>
      </c>
      <c r="C72">
        <v>0.85</v>
      </c>
      <c r="D72">
        <v>0.96</v>
      </c>
      <c r="E72">
        <v>0.88999999999999901</v>
      </c>
      <c r="F72">
        <v>0.96</v>
      </c>
      <c r="G72">
        <v>0.9</v>
      </c>
      <c r="H72">
        <v>0.93999999999999895</v>
      </c>
      <c r="I72">
        <v>0.869999999999999</v>
      </c>
      <c r="J72">
        <v>0.95</v>
      </c>
      <c r="K72">
        <v>0.96999999999999897</v>
      </c>
      <c r="L72">
        <v>0.88</v>
      </c>
    </row>
    <row r="73" spans="1:12" x14ac:dyDescent="0.35">
      <c r="A73">
        <v>165</v>
      </c>
      <c r="B73" t="s">
        <v>472</v>
      </c>
      <c r="C73">
        <v>0.85</v>
      </c>
      <c r="D73">
        <v>0.96</v>
      </c>
      <c r="E73">
        <v>0.88999999999999901</v>
      </c>
      <c r="F73">
        <v>0.96</v>
      </c>
      <c r="G73">
        <v>0.9</v>
      </c>
      <c r="H73">
        <v>0.93999999999999895</v>
      </c>
      <c r="I73">
        <v>0.869999999999999</v>
      </c>
      <c r="J73">
        <v>0.95</v>
      </c>
      <c r="K73">
        <v>0.96999999999999897</v>
      </c>
      <c r="L73">
        <v>0.88</v>
      </c>
    </row>
    <row r="74" spans="1:12" x14ac:dyDescent="0.35">
      <c r="A74">
        <v>166</v>
      </c>
      <c r="B74" t="s">
        <v>109</v>
      </c>
      <c r="C74">
        <v>0.85</v>
      </c>
      <c r="D74">
        <v>0.96</v>
      </c>
      <c r="E74">
        <v>0.88999999999999901</v>
      </c>
      <c r="F74">
        <v>0.96</v>
      </c>
      <c r="G74">
        <v>0.9</v>
      </c>
      <c r="H74">
        <v>0.93999999999999895</v>
      </c>
      <c r="I74">
        <v>0.869999999999999</v>
      </c>
      <c r="J74">
        <v>0.95</v>
      </c>
      <c r="K74">
        <v>0.96999999999999897</v>
      </c>
      <c r="L74">
        <v>0.88</v>
      </c>
    </row>
    <row r="75" spans="1:12" x14ac:dyDescent="0.35">
      <c r="A75">
        <v>167</v>
      </c>
      <c r="B75" t="s">
        <v>112</v>
      </c>
      <c r="C75">
        <v>0.85</v>
      </c>
      <c r="D75">
        <v>0.96</v>
      </c>
      <c r="E75">
        <v>0.88999999999999901</v>
      </c>
      <c r="F75">
        <v>0.96</v>
      </c>
      <c r="G75">
        <v>0.9</v>
      </c>
      <c r="H75">
        <v>0.93999999999999895</v>
      </c>
      <c r="I75">
        <v>0.869999999999999</v>
      </c>
      <c r="J75">
        <v>0.95</v>
      </c>
      <c r="K75">
        <v>0.96999999999999897</v>
      </c>
      <c r="L75">
        <v>0.88</v>
      </c>
    </row>
    <row r="76" spans="1:12" x14ac:dyDescent="0.35">
      <c r="A76">
        <v>170</v>
      </c>
      <c r="B76" t="s">
        <v>113</v>
      </c>
      <c r="C76" t="s">
        <v>470</v>
      </c>
      <c r="D76" t="s">
        <v>470</v>
      </c>
      <c r="E76" t="s">
        <v>470</v>
      </c>
      <c r="F76" t="s">
        <v>470</v>
      </c>
      <c r="G76" t="s">
        <v>470</v>
      </c>
      <c r="H76" t="s">
        <v>470</v>
      </c>
      <c r="I76" t="s">
        <v>470</v>
      </c>
      <c r="J76" t="s">
        <v>470</v>
      </c>
      <c r="K76" t="s">
        <v>470</v>
      </c>
      <c r="L76" t="s">
        <v>470</v>
      </c>
    </row>
    <row r="77" spans="1:12" x14ac:dyDescent="0.35">
      <c r="A77">
        <v>171</v>
      </c>
      <c r="B77" t="s">
        <v>116</v>
      </c>
      <c r="C77">
        <v>0.22</v>
      </c>
      <c r="D77">
        <v>0.5</v>
      </c>
      <c r="E77">
        <v>0.41</v>
      </c>
      <c r="F77">
        <v>0.61</v>
      </c>
      <c r="G77">
        <v>0.31</v>
      </c>
      <c r="H77">
        <v>0.61</v>
      </c>
      <c r="I77">
        <v>0.59</v>
      </c>
      <c r="J77">
        <v>0.59</v>
      </c>
      <c r="K77">
        <v>0.52</v>
      </c>
      <c r="L77">
        <v>0.42</v>
      </c>
    </row>
    <row r="78" spans="1:12" x14ac:dyDescent="0.35">
      <c r="A78">
        <v>172</v>
      </c>
      <c r="B78" t="s">
        <v>119</v>
      </c>
      <c r="C78">
        <v>0.22</v>
      </c>
      <c r="D78">
        <v>0.5</v>
      </c>
      <c r="E78">
        <v>0.41</v>
      </c>
      <c r="F78">
        <v>0.61</v>
      </c>
      <c r="G78">
        <v>0.31</v>
      </c>
      <c r="H78">
        <v>0.61</v>
      </c>
      <c r="I78">
        <v>0.59</v>
      </c>
      <c r="J78">
        <v>0.59</v>
      </c>
      <c r="K78">
        <v>0.52</v>
      </c>
      <c r="L78">
        <v>0.42</v>
      </c>
    </row>
    <row r="79" spans="1:12" x14ac:dyDescent="0.35">
      <c r="A79">
        <v>173</v>
      </c>
      <c r="B79" t="s">
        <v>120</v>
      </c>
      <c r="C79">
        <v>0.22</v>
      </c>
      <c r="D79">
        <v>0.5</v>
      </c>
      <c r="E79">
        <v>0.41</v>
      </c>
      <c r="F79">
        <v>0.61</v>
      </c>
      <c r="G79">
        <v>0.31</v>
      </c>
      <c r="H79">
        <v>0.61</v>
      </c>
      <c r="I79">
        <v>0.59</v>
      </c>
      <c r="J79">
        <v>0.59</v>
      </c>
      <c r="K79">
        <v>0.52</v>
      </c>
      <c r="L79">
        <v>0.42</v>
      </c>
    </row>
    <row r="80" spans="1:12" x14ac:dyDescent="0.35">
      <c r="A80">
        <v>174</v>
      </c>
      <c r="B80" t="s">
        <v>123</v>
      </c>
      <c r="C80">
        <v>0.22</v>
      </c>
      <c r="D80">
        <v>0.5</v>
      </c>
      <c r="E80">
        <v>0.41</v>
      </c>
      <c r="F80">
        <v>0.61</v>
      </c>
      <c r="G80">
        <v>0.31</v>
      </c>
      <c r="H80">
        <v>0.61</v>
      </c>
      <c r="I80">
        <v>0.59</v>
      </c>
      <c r="J80">
        <v>0.59</v>
      </c>
      <c r="K80">
        <v>0.52</v>
      </c>
      <c r="L80">
        <v>0.42</v>
      </c>
    </row>
    <row r="81" spans="1:12" x14ac:dyDescent="0.35">
      <c r="A81">
        <v>175</v>
      </c>
      <c r="B81" t="s">
        <v>125</v>
      </c>
      <c r="C81">
        <v>0.22</v>
      </c>
      <c r="D81">
        <v>0.5</v>
      </c>
      <c r="E81">
        <v>0.41</v>
      </c>
      <c r="F81">
        <v>0.61</v>
      </c>
      <c r="G81">
        <v>0.31</v>
      </c>
      <c r="H81">
        <v>0.61</v>
      </c>
      <c r="I81">
        <v>0.59</v>
      </c>
      <c r="J81">
        <v>0.59</v>
      </c>
      <c r="K81">
        <v>0.52</v>
      </c>
      <c r="L81">
        <v>0.42</v>
      </c>
    </row>
    <row r="82" spans="1:12" x14ac:dyDescent="0.35">
      <c r="A82">
        <v>178</v>
      </c>
      <c r="B82" t="s">
        <v>404</v>
      </c>
      <c r="C82" t="s">
        <v>470</v>
      </c>
      <c r="D82" t="s">
        <v>470</v>
      </c>
      <c r="E82" t="s">
        <v>470</v>
      </c>
      <c r="F82" t="s">
        <v>470</v>
      </c>
      <c r="G82" t="s">
        <v>470</v>
      </c>
      <c r="H82" t="s">
        <v>470</v>
      </c>
      <c r="I82" t="s">
        <v>470</v>
      </c>
      <c r="J82" t="s">
        <v>470</v>
      </c>
      <c r="K82" t="s">
        <v>470</v>
      </c>
      <c r="L82" t="s">
        <v>470</v>
      </c>
    </row>
    <row r="83" spans="1:12" x14ac:dyDescent="0.35">
      <c r="A83">
        <v>180</v>
      </c>
      <c r="B83" t="s">
        <v>128</v>
      </c>
      <c r="C83">
        <v>0.47</v>
      </c>
      <c r="D83">
        <v>0.37</v>
      </c>
      <c r="E83">
        <v>0.52</v>
      </c>
      <c r="F83">
        <v>0.68</v>
      </c>
      <c r="G83">
        <v>0.52</v>
      </c>
      <c r="H83">
        <v>0.61</v>
      </c>
      <c r="I83">
        <v>0.66</v>
      </c>
      <c r="J83">
        <v>0.7</v>
      </c>
      <c r="K83">
        <v>0.75</v>
      </c>
      <c r="L83">
        <v>0.66</v>
      </c>
    </row>
    <row r="84" spans="1:12" x14ac:dyDescent="0.35">
      <c r="A84">
        <v>181</v>
      </c>
      <c r="B84" t="s">
        <v>131</v>
      </c>
      <c r="C84">
        <v>0.8</v>
      </c>
      <c r="D84">
        <v>0.78</v>
      </c>
      <c r="E84">
        <v>0.73</v>
      </c>
      <c r="F84">
        <v>0.81</v>
      </c>
      <c r="G84">
        <v>0.71</v>
      </c>
      <c r="H84">
        <v>0.73</v>
      </c>
      <c r="I84">
        <v>0.68</v>
      </c>
      <c r="J84">
        <v>0.71</v>
      </c>
      <c r="K84">
        <v>0.73</v>
      </c>
      <c r="L84">
        <v>0.7</v>
      </c>
    </row>
    <row r="85" spans="1:12" x14ac:dyDescent="0.35">
      <c r="A85">
        <v>182</v>
      </c>
      <c r="B85" t="s">
        <v>134</v>
      </c>
      <c r="C85">
        <v>0.78</v>
      </c>
      <c r="D85">
        <v>0.8</v>
      </c>
      <c r="E85">
        <v>0.8</v>
      </c>
      <c r="F85">
        <v>0.85</v>
      </c>
      <c r="G85">
        <v>0.79</v>
      </c>
      <c r="H85">
        <v>0.84</v>
      </c>
      <c r="I85">
        <v>0.82</v>
      </c>
      <c r="J85">
        <v>0.85</v>
      </c>
      <c r="K85">
        <v>0.85</v>
      </c>
      <c r="L85">
        <v>0.81</v>
      </c>
    </row>
    <row r="86" spans="1:12" x14ac:dyDescent="0.35">
      <c r="A86">
        <v>183</v>
      </c>
      <c r="B86" t="s">
        <v>137</v>
      </c>
      <c r="C86">
        <v>0.63</v>
      </c>
      <c r="D86">
        <v>0.56000000000000005</v>
      </c>
      <c r="E86">
        <v>0.69</v>
      </c>
      <c r="F86">
        <v>0.88</v>
      </c>
      <c r="G86">
        <v>0.67</v>
      </c>
      <c r="H86">
        <v>0.78</v>
      </c>
      <c r="I86">
        <v>0.77</v>
      </c>
      <c r="J86">
        <v>0.77</v>
      </c>
      <c r="K86">
        <v>0.83</v>
      </c>
      <c r="L86">
        <v>0.77999999999999903</v>
      </c>
    </row>
    <row r="87" spans="1:12" x14ac:dyDescent="0.35">
      <c r="A87">
        <v>184</v>
      </c>
      <c r="B87" t="s">
        <v>140</v>
      </c>
      <c r="C87">
        <v>0.87</v>
      </c>
      <c r="D87">
        <v>0.9</v>
      </c>
      <c r="E87">
        <v>0.89</v>
      </c>
      <c r="F87">
        <v>0.92</v>
      </c>
      <c r="G87">
        <v>0.87</v>
      </c>
      <c r="H87">
        <v>0.91</v>
      </c>
      <c r="I87">
        <v>0.9</v>
      </c>
      <c r="J87">
        <v>0.9</v>
      </c>
      <c r="K87">
        <v>0.91</v>
      </c>
      <c r="L87">
        <v>0.88</v>
      </c>
    </row>
    <row r="88" spans="1:12" x14ac:dyDescent="0.35">
      <c r="A88">
        <v>185</v>
      </c>
      <c r="B88" t="s">
        <v>143</v>
      </c>
      <c r="C88">
        <v>0.82</v>
      </c>
      <c r="D88">
        <v>0.82</v>
      </c>
      <c r="E88">
        <v>0.84</v>
      </c>
      <c r="F88">
        <v>0.92</v>
      </c>
      <c r="G88">
        <v>0.81</v>
      </c>
      <c r="H88">
        <v>0.84</v>
      </c>
      <c r="I88">
        <v>0.85</v>
      </c>
      <c r="J88">
        <v>0.85</v>
      </c>
      <c r="K88">
        <v>0.87</v>
      </c>
      <c r="L88">
        <v>0.83</v>
      </c>
    </row>
    <row r="89" spans="1:12" x14ac:dyDescent="0.35">
      <c r="A89">
        <v>188</v>
      </c>
      <c r="B89" t="s">
        <v>402</v>
      </c>
      <c r="C89">
        <v>0.82</v>
      </c>
      <c r="D89">
        <v>0.82</v>
      </c>
      <c r="E89">
        <v>0.84</v>
      </c>
      <c r="F89">
        <v>0.92</v>
      </c>
      <c r="G89">
        <v>0.81</v>
      </c>
      <c r="H89">
        <v>0.84</v>
      </c>
      <c r="I89">
        <v>0.85</v>
      </c>
      <c r="J89">
        <v>0.85</v>
      </c>
      <c r="K89">
        <v>0.87</v>
      </c>
      <c r="L89">
        <v>0.83</v>
      </c>
    </row>
    <row r="90" spans="1:12" x14ac:dyDescent="0.35">
      <c r="A90">
        <v>190</v>
      </c>
      <c r="B90" t="s">
        <v>144</v>
      </c>
      <c r="C90">
        <v>0.82</v>
      </c>
      <c r="D90">
        <v>0.9</v>
      </c>
      <c r="E90">
        <v>0.85</v>
      </c>
      <c r="F90">
        <v>0.83</v>
      </c>
      <c r="G90">
        <v>0.85</v>
      </c>
      <c r="H90">
        <v>0.75</v>
      </c>
      <c r="I90">
        <v>0.83</v>
      </c>
      <c r="J90">
        <v>0.84</v>
      </c>
      <c r="K90">
        <v>0.83</v>
      </c>
      <c r="L90">
        <v>0.8</v>
      </c>
    </row>
    <row r="91" spans="1:12" x14ac:dyDescent="0.35">
      <c r="A91">
        <v>191</v>
      </c>
      <c r="B91" t="s">
        <v>147</v>
      </c>
      <c r="C91">
        <v>0.86</v>
      </c>
      <c r="D91">
        <v>0.93</v>
      </c>
      <c r="E91">
        <v>0.89</v>
      </c>
      <c r="F91">
        <v>0.93</v>
      </c>
      <c r="G91">
        <v>0.92</v>
      </c>
      <c r="H91">
        <v>0.89</v>
      </c>
      <c r="I91">
        <v>0.93</v>
      </c>
      <c r="J91">
        <v>0.94</v>
      </c>
      <c r="K91">
        <v>0.92</v>
      </c>
      <c r="L91">
        <v>0.92</v>
      </c>
    </row>
    <row r="92" spans="1:12" x14ac:dyDescent="0.35">
      <c r="A92">
        <v>192</v>
      </c>
      <c r="B92" t="s">
        <v>150</v>
      </c>
      <c r="C92">
        <v>0.78800000000000003</v>
      </c>
      <c r="D92">
        <v>0.98599999999999999</v>
      </c>
      <c r="E92">
        <v>1</v>
      </c>
      <c r="F92">
        <v>0.97</v>
      </c>
      <c r="G92">
        <v>0.95099999999999996</v>
      </c>
      <c r="H92">
        <v>0.97699999999999998</v>
      </c>
      <c r="I92">
        <v>0.96299999999999997</v>
      </c>
      <c r="J92">
        <v>0.96799999999999997</v>
      </c>
      <c r="K92">
        <v>0.95899999999999996</v>
      </c>
      <c r="L92">
        <v>0.96099999999999897</v>
      </c>
    </row>
    <row r="93" spans="1:12" x14ac:dyDescent="0.35">
      <c r="A93">
        <v>193</v>
      </c>
      <c r="B93" t="s">
        <v>153</v>
      </c>
      <c r="C93">
        <v>0.83</v>
      </c>
      <c r="D93">
        <v>0.99</v>
      </c>
      <c r="E93">
        <v>0.88</v>
      </c>
      <c r="F93">
        <v>0.98999999999999899</v>
      </c>
      <c r="G93">
        <v>0.96</v>
      </c>
      <c r="H93">
        <v>0.97</v>
      </c>
      <c r="I93">
        <v>0.96</v>
      </c>
      <c r="J93">
        <v>1</v>
      </c>
      <c r="K93">
        <v>0.99</v>
      </c>
      <c r="L93">
        <v>0.98</v>
      </c>
    </row>
    <row r="94" spans="1:12" x14ac:dyDescent="0.35">
      <c r="A94">
        <v>194</v>
      </c>
      <c r="B94" t="s">
        <v>156</v>
      </c>
      <c r="C94">
        <v>0.78800000000000003</v>
      </c>
      <c r="D94">
        <v>0.98599999999999999</v>
      </c>
      <c r="E94">
        <v>1</v>
      </c>
      <c r="F94">
        <v>0.97</v>
      </c>
      <c r="G94">
        <v>0.95099999999999996</v>
      </c>
      <c r="H94">
        <v>0.97699999999999998</v>
      </c>
      <c r="I94">
        <v>0.96299999999999997</v>
      </c>
      <c r="J94">
        <v>0.96799999999999997</v>
      </c>
      <c r="K94">
        <v>0.95899999999999996</v>
      </c>
      <c r="L94">
        <v>0.96099999999999897</v>
      </c>
    </row>
    <row r="95" spans="1:12" x14ac:dyDescent="0.35">
      <c r="A95">
        <v>195</v>
      </c>
      <c r="B95" t="s">
        <v>159</v>
      </c>
      <c r="C95">
        <v>0.67</v>
      </c>
      <c r="D95">
        <v>0.79999999999999905</v>
      </c>
      <c r="E95">
        <v>0.7</v>
      </c>
      <c r="F95">
        <v>0.82</v>
      </c>
      <c r="G95">
        <v>0.77</v>
      </c>
      <c r="H95">
        <v>0.68</v>
      </c>
      <c r="I95">
        <v>0.83</v>
      </c>
      <c r="J95">
        <v>0.82</v>
      </c>
      <c r="K95">
        <v>0.83</v>
      </c>
      <c r="L95">
        <v>0.8</v>
      </c>
    </row>
    <row r="96" spans="1:12" x14ac:dyDescent="0.35">
      <c r="A96">
        <v>196</v>
      </c>
      <c r="B96" t="s">
        <v>162</v>
      </c>
      <c r="C96">
        <v>0.69</v>
      </c>
      <c r="D96">
        <v>0.78999999999999904</v>
      </c>
      <c r="E96">
        <v>0.74</v>
      </c>
      <c r="F96">
        <v>0.81</v>
      </c>
      <c r="G96">
        <v>0.77</v>
      </c>
      <c r="H96">
        <v>0.75</v>
      </c>
      <c r="I96">
        <v>0.81</v>
      </c>
      <c r="J96">
        <v>0.8</v>
      </c>
      <c r="K96">
        <v>0.8</v>
      </c>
      <c r="L96">
        <v>0.75</v>
      </c>
    </row>
    <row r="97" spans="1:12" x14ac:dyDescent="0.35">
      <c r="A97">
        <v>200</v>
      </c>
      <c r="B97" t="s">
        <v>165</v>
      </c>
      <c r="C97">
        <v>0.51</v>
      </c>
      <c r="D97">
        <v>0.63</v>
      </c>
      <c r="E97">
        <v>0.52</v>
      </c>
      <c r="F97">
        <v>0.62</v>
      </c>
      <c r="G97">
        <v>0.61</v>
      </c>
      <c r="H97">
        <v>0.56000000000000005</v>
      </c>
      <c r="I97">
        <v>0.56000000000000005</v>
      </c>
      <c r="J97">
        <v>0.59</v>
      </c>
      <c r="K97">
        <v>0.56000000000000005</v>
      </c>
      <c r="L97">
        <v>0.57999999999999996</v>
      </c>
    </row>
    <row r="98" spans="1:12" x14ac:dyDescent="0.35">
      <c r="A98">
        <v>201</v>
      </c>
      <c r="B98" t="s">
        <v>168</v>
      </c>
      <c r="C98">
        <v>0.51</v>
      </c>
      <c r="D98">
        <v>0.63</v>
      </c>
      <c r="E98">
        <v>0.52</v>
      </c>
      <c r="F98">
        <v>0.62</v>
      </c>
      <c r="G98">
        <v>0.61</v>
      </c>
      <c r="H98">
        <v>0.56000000000000005</v>
      </c>
      <c r="I98">
        <v>0.56000000000000005</v>
      </c>
      <c r="J98">
        <v>0.59</v>
      </c>
      <c r="K98">
        <v>0.56000000000000005</v>
      </c>
      <c r="L98">
        <v>0.57999999999999996</v>
      </c>
    </row>
    <row r="99" spans="1:12" x14ac:dyDescent="0.35">
      <c r="A99">
        <v>202</v>
      </c>
      <c r="B99" t="s">
        <v>171</v>
      </c>
      <c r="C99">
        <v>0.54</v>
      </c>
      <c r="D99">
        <v>0.57999999999999996</v>
      </c>
      <c r="E99">
        <v>0.61</v>
      </c>
      <c r="F99">
        <v>0.74</v>
      </c>
      <c r="G99">
        <v>0.6</v>
      </c>
      <c r="H99">
        <v>0.68</v>
      </c>
      <c r="I99">
        <v>0.7</v>
      </c>
      <c r="J99">
        <v>0.71</v>
      </c>
      <c r="K99">
        <v>0.74</v>
      </c>
      <c r="L99">
        <v>0.66</v>
      </c>
    </row>
    <row r="100" spans="1:12" x14ac:dyDescent="0.35">
      <c r="A100">
        <v>203</v>
      </c>
      <c r="B100" t="s">
        <v>174</v>
      </c>
      <c r="C100">
        <v>0.51</v>
      </c>
      <c r="D100">
        <v>0.63</v>
      </c>
      <c r="E100">
        <v>0.52</v>
      </c>
      <c r="F100">
        <v>0.62</v>
      </c>
      <c r="G100">
        <v>0.61</v>
      </c>
      <c r="H100">
        <v>0.56000000000000005</v>
      </c>
      <c r="I100">
        <v>0.56000000000000005</v>
      </c>
      <c r="J100">
        <v>0.59</v>
      </c>
      <c r="K100">
        <v>0.56000000000000005</v>
      </c>
      <c r="L100">
        <v>0.57999999999999996</v>
      </c>
    </row>
    <row r="101" spans="1:12" x14ac:dyDescent="0.35">
      <c r="A101">
        <v>204</v>
      </c>
      <c r="B101" t="s">
        <v>177</v>
      </c>
      <c r="C101">
        <v>0.51</v>
      </c>
      <c r="D101">
        <v>0.63</v>
      </c>
      <c r="E101">
        <v>0.52</v>
      </c>
      <c r="F101">
        <v>0.62</v>
      </c>
      <c r="G101">
        <v>0.61</v>
      </c>
      <c r="H101">
        <v>0.56000000000000005</v>
      </c>
      <c r="I101">
        <v>0.56000000000000005</v>
      </c>
      <c r="J101">
        <v>0.59</v>
      </c>
      <c r="K101">
        <v>0.56000000000000005</v>
      </c>
      <c r="L101">
        <v>0.57999999999999996</v>
      </c>
    </row>
    <row r="102" spans="1:12" x14ac:dyDescent="0.35">
      <c r="A102">
        <v>205</v>
      </c>
      <c r="B102" t="s">
        <v>180</v>
      </c>
      <c r="C102">
        <v>0.51</v>
      </c>
      <c r="D102">
        <v>0.63</v>
      </c>
      <c r="E102">
        <v>0.52</v>
      </c>
      <c r="F102">
        <v>0.62</v>
      </c>
      <c r="G102">
        <v>0.61</v>
      </c>
      <c r="H102">
        <v>0.56000000000000005</v>
      </c>
      <c r="I102">
        <v>0.56000000000000005</v>
      </c>
      <c r="J102">
        <v>0.59</v>
      </c>
      <c r="K102">
        <v>0.56000000000000005</v>
      </c>
      <c r="L102">
        <v>0.57999999999999996</v>
      </c>
    </row>
    <row r="103" spans="1:12" x14ac:dyDescent="0.35">
      <c r="A103">
        <v>206</v>
      </c>
      <c r="B103" t="s">
        <v>183</v>
      </c>
      <c r="C103">
        <v>0.51</v>
      </c>
      <c r="D103">
        <v>0.63</v>
      </c>
      <c r="E103">
        <v>0.52</v>
      </c>
      <c r="F103">
        <v>0.62</v>
      </c>
      <c r="G103">
        <v>0.61</v>
      </c>
      <c r="H103">
        <v>0.56000000000000005</v>
      </c>
      <c r="I103">
        <v>0.56000000000000005</v>
      </c>
      <c r="J103">
        <v>0.59</v>
      </c>
      <c r="K103">
        <v>0.56000000000000005</v>
      </c>
      <c r="L103">
        <v>0.57999999999999996</v>
      </c>
    </row>
    <row r="104" spans="1:12" x14ac:dyDescent="0.35">
      <c r="A104">
        <v>207</v>
      </c>
      <c r="B104" t="s">
        <v>186</v>
      </c>
      <c r="C104">
        <v>0.51</v>
      </c>
      <c r="D104">
        <v>0.63</v>
      </c>
      <c r="E104">
        <v>0.52</v>
      </c>
      <c r="F104">
        <v>0.62</v>
      </c>
      <c r="G104">
        <v>0.61</v>
      </c>
      <c r="H104">
        <v>0.56000000000000005</v>
      </c>
      <c r="I104">
        <v>0.56000000000000005</v>
      </c>
      <c r="J104">
        <v>0.59</v>
      </c>
      <c r="K104">
        <v>0.56000000000000005</v>
      </c>
      <c r="L104">
        <v>0.57999999999999996</v>
      </c>
    </row>
    <row r="105" spans="1:12" x14ac:dyDescent="0.35">
      <c r="A105">
        <v>208</v>
      </c>
      <c r="B105" t="s">
        <v>189</v>
      </c>
      <c r="C105">
        <v>0.51</v>
      </c>
      <c r="D105">
        <v>0.63</v>
      </c>
      <c r="E105">
        <v>0.52</v>
      </c>
      <c r="F105">
        <v>0.62</v>
      </c>
      <c r="G105">
        <v>0.61</v>
      </c>
      <c r="H105">
        <v>0.56000000000000005</v>
      </c>
      <c r="I105">
        <v>0.56000000000000005</v>
      </c>
      <c r="J105">
        <v>0.59</v>
      </c>
      <c r="K105">
        <v>0.56000000000000005</v>
      </c>
      <c r="L105">
        <v>0.57999999999999996</v>
      </c>
    </row>
    <row r="106" spans="1:12" x14ac:dyDescent="0.35">
      <c r="A106">
        <v>210</v>
      </c>
      <c r="B106" t="s">
        <v>192</v>
      </c>
      <c r="C106">
        <v>0.51</v>
      </c>
      <c r="D106">
        <v>0.63</v>
      </c>
      <c r="E106">
        <v>0.52</v>
      </c>
      <c r="F106">
        <v>0.62</v>
      </c>
      <c r="G106">
        <v>0.61</v>
      </c>
      <c r="H106">
        <v>0.56000000000000005</v>
      </c>
      <c r="I106">
        <v>0.56000000000000005</v>
      </c>
      <c r="J106">
        <v>0.59</v>
      </c>
      <c r="K106">
        <v>0.56000000000000005</v>
      </c>
      <c r="L106">
        <v>0.57999999999999996</v>
      </c>
    </row>
    <row r="107" spans="1:12" x14ac:dyDescent="0.35">
      <c r="A107">
        <v>211</v>
      </c>
      <c r="B107" t="s">
        <v>195</v>
      </c>
      <c r="C107">
        <v>0.51</v>
      </c>
      <c r="D107">
        <v>0.63</v>
      </c>
      <c r="E107">
        <v>0.52</v>
      </c>
      <c r="F107">
        <v>0.62</v>
      </c>
      <c r="G107">
        <v>0.61</v>
      </c>
      <c r="H107">
        <v>0.56000000000000005</v>
      </c>
      <c r="I107">
        <v>0.56000000000000005</v>
      </c>
      <c r="J107">
        <v>0.59</v>
      </c>
      <c r="K107">
        <v>0.56000000000000005</v>
      </c>
      <c r="L107">
        <v>0.57999999999999996</v>
      </c>
    </row>
    <row r="108" spans="1:12" x14ac:dyDescent="0.35">
      <c r="A108">
        <v>212</v>
      </c>
      <c r="B108" t="s">
        <v>198</v>
      </c>
      <c r="C108">
        <v>0.51</v>
      </c>
      <c r="D108">
        <v>0.63</v>
      </c>
      <c r="E108">
        <v>0.52</v>
      </c>
      <c r="F108">
        <v>0.62</v>
      </c>
      <c r="G108">
        <v>0.61</v>
      </c>
      <c r="H108">
        <v>0.56000000000000005</v>
      </c>
      <c r="I108">
        <v>0.56000000000000005</v>
      </c>
      <c r="J108">
        <v>0.59</v>
      </c>
      <c r="K108">
        <v>0.56000000000000005</v>
      </c>
      <c r="L108">
        <v>0.57999999999999996</v>
      </c>
    </row>
    <row r="109" spans="1:12" x14ac:dyDescent="0.35">
      <c r="A109">
        <v>213</v>
      </c>
      <c r="B109" t="s">
        <v>201</v>
      </c>
      <c r="C109">
        <v>0.51</v>
      </c>
      <c r="D109">
        <v>0.63</v>
      </c>
      <c r="E109">
        <v>0.52</v>
      </c>
      <c r="F109">
        <v>0.62</v>
      </c>
      <c r="G109">
        <v>0.61</v>
      </c>
      <c r="H109">
        <v>0.56000000000000005</v>
      </c>
      <c r="I109">
        <v>0.56000000000000005</v>
      </c>
      <c r="J109">
        <v>0.59</v>
      </c>
      <c r="K109">
        <v>0.56000000000000005</v>
      </c>
      <c r="L109">
        <v>0.57999999999999996</v>
      </c>
    </row>
    <row r="110" spans="1:12" x14ac:dyDescent="0.35">
      <c r="A110">
        <v>214</v>
      </c>
      <c r="B110" t="s">
        <v>82</v>
      </c>
      <c r="C110">
        <v>0.72</v>
      </c>
      <c r="D110">
        <v>0.81</v>
      </c>
      <c r="E110">
        <v>0.69</v>
      </c>
      <c r="F110">
        <v>0.76</v>
      </c>
      <c r="G110">
        <v>0.74</v>
      </c>
      <c r="H110">
        <v>0.81</v>
      </c>
      <c r="I110">
        <v>0.77</v>
      </c>
      <c r="J110">
        <v>0.77</v>
      </c>
      <c r="K110">
        <v>0.76</v>
      </c>
      <c r="L110">
        <v>0.74</v>
      </c>
    </row>
    <row r="111" spans="1:12" x14ac:dyDescent="0.35">
      <c r="A111">
        <v>215</v>
      </c>
      <c r="B111" t="s">
        <v>206</v>
      </c>
      <c r="C111">
        <v>0.75</v>
      </c>
      <c r="D111">
        <v>0.87</v>
      </c>
      <c r="E111">
        <v>0.71</v>
      </c>
      <c r="F111">
        <v>0.84</v>
      </c>
      <c r="G111">
        <v>0.81</v>
      </c>
      <c r="H111">
        <v>0.85</v>
      </c>
      <c r="I111">
        <v>0.82</v>
      </c>
      <c r="J111">
        <v>0.85</v>
      </c>
      <c r="K111">
        <v>0.84</v>
      </c>
      <c r="L111">
        <v>0.81</v>
      </c>
    </row>
    <row r="112" spans="1:12" x14ac:dyDescent="0.35">
      <c r="A112">
        <v>216</v>
      </c>
      <c r="B112" t="s">
        <v>209</v>
      </c>
      <c r="C112">
        <v>0.77</v>
      </c>
      <c r="D112">
        <v>0.79</v>
      </c>
      <c r="E112">
        <v>0.79</v>
      </c>
      <c r="F112">
        <v>0.85</v>
      </c>
      <c r="G112">
        <v>0.78</v>
      </c>
      <c r="H112">
        <v>0.83</v>
      </c>
      <c r="I112">
        <v>0.82</v>
      </c>
      <c r="J112">
        <v>0.84</v>
      </c>
      <c r="K112">
        <v>0.85</v>
      </c>
      <c r="L112">
        <v>0.81</v>
      </c>
    </row>
    <row r="113" spans="1:12" x14ac:dyDescent="0.35">
      <c r="A113">
        <v>217</v>
      </c>
      <c r="B113" t="s">
        <v>212</v>
      </c>
      <c r="C113">
        <v>0.51</v>
      </c>
      <c r="D113">
        <v>0.63</v>
      </c>
      <c r="E113">
        <v>0.52</v>
      </c>
      <c r="F113">
        <v>0.62</v>
      </c>
      <c r="G113">
        <v>0.61</v>
      </c>
      <c r="H113">
        <v>0.56000000000000005</v>
      </c>
      <c r="I113">
        <v>0.56000000000000005</v>
      </c>
      <c r="J113">
        <v>0.59</v>
      </c>
      <c r="K113">
        <v>0.56000000000000005</v>
      </c>
      <c r="L113">
        <v>0.57999999999999996</v>
      </c>
    </row>
    <row r="114" spans="1:12" x14ac:dyDescent="0.35">
      <c r="A114">
        <v>220</v>
      </c>
      <c r="B114" t="s">
        <v>215</v>
      </c>
      <c r="C114">
        <v>0.83</v>
      </c>
      <c r="D114">
        <v>0.85</v>
      </c>
      <c r="E114">
        <v>0.84</v>
      </c>
      <c r="F114">
        <v>0.88</v>
      </c>
      <c r="G114">
        <v>0.83</v>
      </c>
      <c r="H114">
        <v>0.87</v>
      </c>
      <c r="I114">
        <v>0.85</v>
      </c>
      <c r="J114">
        <v>0.87</v>
      </c>
      <c r="K114">
        <v>0.88</v>
      </c>
      <c r="L114">
        <v>0.85</v>
      </c>
    </row>
    <row r="115" spans="1:12" x14ac:dyDescent="0.35">
      <c r="A115">
        <v>221</v>
      </c>
      <c r="B115" t="s">
        <v>218</v>
      </c>
      <c r="C115">
        <v>0.55000000000000004</v>
      </c>
      <c r="D115">
        <v>0.57999999999999996</v>
      </c>
      <c r="E115">
        <v>0.62</v>
      </c>
      <c r="F115">
        <v>0.74</v>
      </c>
      <c r="G115">
        <v>0.6</v>
      </c>
      <c r="H115">
        <v>0.69</v>
      </c>
      <c r="I115">
        <v>0.69999999999999896</v>
      </c>
      <c r="J115">
        <v>0.71</v>
      </c>
      <c r="K115">
        <v>0.73999999999999899</v>
      </c>
      <c r="L115">
        <v>0.66</v>
      </c>
    </row>
    <row r="116" spans="1:12" x14ac:dyDescent="0.35">
      <c r="A116">
        <v>222</v>
      </c>
      <c r="B116" t="s">
        <v>221</v>
      </c>
      <c r="C116">
        <v>0.55000000000000004</v>
      </c>
      <c r="D116">
        <v>0.57999999999999996</v>
      </c>
      <c r="E116">
        <v>0.62</v>
      </c>
      <c r="F116">
        <v>0.74</v>
      </c>
      <c r="G116">
        <v>0.6</v>
      </c>
      <c r="H116">
        <v>0.69</v>
      </c>
      <c r="I116">
        <v>0.69999999999999896</v>
      </c>
      <c r="J116">
        <v>0.71</v>
      </c>
      <c r="K116">
        <v>0.73999999999999899</v>
      </c>
      <c r="L116">
        <v>0.66</v>
      </c>
    </row>
    <row r="117" spans="1:12" x14ac:dyDescent="0.35">
      <c r="A117">
        <v>223</v>
      </c>
      <c r="B117" t="s">
        <v>224</v>
      </c>
      <c r="C117">
        <v>0.55000000000000004</v>
      </c>
      <c r="D117">
        <v>0.57999999999999996</v>
      </c>
      <c r="E117">
        <v>0.62</v>
      </c>
      <c r="F117">
        <v>0.74</v>
      </c>
      <c r="G117">
        <v>0.6</v>
      </c>
      <c r="H117">
        <v>0.69</v>
      </c>
      <c r="I117">
        <v>0.69999999999999896</v>
      </c>
      <c r="J117">
        <v>0.71</v>
      </c>
      <c r="K117">
        <v>0.73999999999999899</v>
      </c>
      <c r="L117">
        <v>0.66</v>
      </c>
    </row>
    <row r="118" spans="1:12" x14ac:dyDescent="0.35">
      <c r="A118">
        <v>224</v>
      </c>
      <c r="B118" t="s">
        <v>227</v>
      </c>
      <c r="C118">
        <v>0.78949999999999998</v>
      </c>
      <c r="D118">
        <v>0.86299999999999999</v>
      </c>
      <c r="E118">
        <v>0.84450000000000003</v>
      </c>
      <c r="F118">
        <v>0.86850000000000005</v>
      </c>
      <c r="G118">
        <v>0.77700000000000002</v>
      </c>
      <c r="H118">
        <v>0.69299999999999995</v>
      </c>
      <c r="I118">
        <v>0.78400000000000003</v>
      </c>
      <c r="J118">
        <v>0.80649999999999999</v>
      </c>
      <c r="K118">
        <v>0.79649999999999999</v>
      </c>
      <c r="L118">
        <v>0.74199999999999999</v>
      </c>
    </row>
    <row r="119" spans="1:12" x14ac:dyDescent="0.35">
      <c r="A119">
        <v>225</v>
      </c>
      <c r="B119" t="s">
        <v>230</v>
      </c>
      <c r="C119">
        <v>0.78949999999999998</v>
      </c>
      <c r="D119">
        <v>0.86299999999999999</v>
      </c>
      <c r="E119">
        <v>0.84450000000000003</v>
      </c>
      <c r="F119">
        <v>0.86850000000000005</v>
      </c>
      <c r="G119">
        <v>0.77700000000000002</v>
      </c>
      <c r="H119">
        <v>0.69299999999999995</v>
      </c>
      <c r="I119">
        <v>0.78400000000000003</v>
      </c>
      <c r="J119">
        <v>0.80649999999999999</v>
      </c>
      <c r="K119">
        <v>0.79649999999999999</v>
      </c>
      <c r="L119">
        <v>0.74199999999999999</v>
      </c>
    </row>
    <row r="120" spans="1:12" x14ac:dyDescent="0.35">
      <c r="A120">
        <v>226</v>
      </c>
      <c r="B120" t="s">
        <v>233</v>
      </c>
      <c r="C120">
        <v>0.55000000000000004</v>
      </c>
      <c r="D120">
        <v>0.57999999999999996</v>
      </c>
      <c r="E120">
        <v>0.62</v>
      </c>
      <c r="F120">
        <v>0.74</v>
      </c>
      <c r="G120">
        <v>0.6</v>
      </c>
      <c r="H120">
        <v>0.69</v>
      </c>
      <c r="I120">
        <v>0.69999999999999896</v>
      </c>
      <c r="J120">
        <v>0.71</v>
      </c>
      <c r="K120">
        <v>0.73999999999999899</v>
      </c>
      <c r="L120">
        <v>0.66</v>
      </c>
    </row>
    <row r="121" spans="1:12" x14ac:dyDescent="0.35">
      <c r="A121">
        <v>227</v>
      </c>
      <c r="B121" t="s">
        <v>236</v>
      </c>
      <c r="C121">
        <v>0.55000000000000004</v>
      </c>
      <c r="D121">
        <v>0.57999999999999996</v>
      </c>
      <c r="E121">
        <v>0.62</v>
      </c>
      <c r="F121">
        <v>0.74</v>
      </c>
      <c r="G121">
        <v>0.6</v>
      </c>
      <c r="H121">
        <v>0.69</v>
      </c>
      <c r="I121">
        <v>0.69999999999999896</v>
      </c>
      <c r="J121">
        <v>0.71</v>
      </c>
      <c r="K121">
        <v>0.73999999999999899</v>
      </c>
      <c r="L121">
        <v>0.66</v>
      </c>
    </row>
    <row r="122" spans="1:12" x14ac:dyDescent="0.35">
      <c r="A122">
        <v>228</v>
      </c>
      <c r="B122" t="s">
        <v>239</v>
      </c>
      <c r="C122">
        <v>0.77</v>
      </c>
      <c r="D122">
        <v>0.79</v>
      </c>
      <c r="E122">
        <v>0.79</v>
      </c>
      <c r="F122">
        <v>0.85</v>
      </c>
      <c r="G122">
        <v>0.78</v>
      </c>
      <c r="H122">
        <v>0.83</v>
      </c>
      <c r="I122">
        <v>0.82</v>
      </c>
      <c r="J122">
        <v>0.84</v>
      </c>
      <c r="K122">
        <v>0.85</v>
      </c>
      <c r="L122">
        <v>0.81</v>
      </c>
    </row>
    <row r="123" spans="1:12" x14ac:dyDescent="0.35">
      <c r="A123">
        <v>230</v>
      </c>
      <c r="B123" t="s">
        <v>242</v>
      </c>
      <c r="C123">
        <v>0.55000000000000004</v>
      </c>
      <c r="D123">
        <v>0.57999999999999996</v>
      </c>
      <c r="E123">
        <v>0.62</v>
      </c>
      <c r="F123">
        <v>0.74</v>
      </c>
      <c r="G123">
        <v>0.6</v>
      </c>
      <c r="H123">
        <v>0.69</v>
      </c>
      <c r="I123">
        <v>0.69999999999999896</v>
      </c>
      <c r="J123">
        <v>0.71</v>
      </c>
      <c r="K123">
        <v>0.73999999999999899</v>
      </c>
      <c r="L123">
        <v>0.66</v>
      </c>
    </row>
    <row r="124" spans="1:12" x14ac:dyDescent="0.35">
      <c r="A124">
        <v>231</v>
      </c>
      <c r="B124" t="s">
        <v>473</v>
      </c>
      <c r="C124">
        <v>0.55000000000000004</v>
      </c>
      <c r="D124">
        <v>0.57999999999999996</v>
      </c>
      <c r="E124">
        <v>0.62</v>
      </c>
      <c r="F124">
        <v>0.74</v>
      </c>
      <c r="G124">
        <v>0.6</v>
      </c>
      <c r="H124">
        <v>0.69</v>
      </c>
      <c r="I124">
        <v>0.69999999999999896</v>
      </c>
      <c r="J124">
        <v>0.71</v>
      </c>
      <c r="K124">
        <v>0.73999999999999899</v>
      </c>
      <c r="L124">
        <v>0.66</v>
      </c>
    </row>
    <row r="125" spans="1:12" x14ac:dyDescent="0.35">
      <c r="A125">
        <v>232</v>
      </c>
      <c r="B125" t="s">
        <v>474</v>
      </c>
      <c r="C125">
        <v>0.55000000000000004</v>
      </c>
      <c r="D125">
        <v>0.57999999999999996</v>
      </c>
      <c r="E125">
        <v>0.62</v>
      </c>
      <c r="F125">
        <v>0.74</v>
      </c>
      <c r="G125">
        <v>0.6</v>
      </c>
      <c r="H125">
        <v>0.69</v>
      </c>
      <c r="I125">
        <v>0.69999999999999896</v>
      </c>
      <c r="J125">
        <v>0.71</v>
      </c>
      <c r="K125">
        <v>0.73999999999999899</v>
      </c>
      <c r="L125">
        <v>0.66</v>
      </c>
    </row>
    <row r="126" spans="1:12" x14ac:dyDescent="0.35">
      <c r="A126">
        <v>233</v>
      </c>
      <c r="B126" t="s">
        <v>251</v>
      </c>
      <c r="C126">
        <v>0.55000000000000004</v>
      </c>
      <c r="D126">
        <v>0.57999999999999996</v>
      </c>
      <c r="E126">
        <v>0.62</v>
      </c>
      <c r="F126">
        <v>0.74</v>
      </c>
      <c r="G126">
        <v>0.6</v>
      </c>
      <c r="H126">
        <v>0.69</v>
      </c>
      <c r="I126">
        <v>0.69999999999999896</v>
      </c>
      <c r="J126">
        <v>0.71</v>
      </c>
      <c r="K126">
        <v>0.73999999999999899</v>
      </c>
      <c r="L126">
        <v>0.66</v>
      </c>
    </row>
    <row r="127" spans="1:12" x14ac:dyDescent="0.35">
      <c r="A127">
        <v>234</v>
      </c>
      <c r="B127" t="s">
        <v>254</v>
      </c>
      <c r="C127">
        <v>0.55000000000000004</v>
      </c>
      <c r="D127">
        <v>0.57999999999999996</v>
      </c>
      <c r="E127">
        <v>0.62</v>
      </c>
      <c r="F127">
        <v>0.74</v>
      </c>
      <c r="G127">
        <v>0.6</v>
      </c>
      <c r="H127">
        <v>0.69</v>
      </c>
      <c r="I127">
        <v>0.69999999999999896</v>
      </c>
      <c r="J127">
        <v>0.71</v>
      </c>
      <c r="K127">
        <v>0.73999999999999899</v>
      </c>
      <c r="L127">
        <v>0.66</v>
      </c>
    </row>
    <row r="128" spans="1:12" x14ac:dyDescent="0.35">
      <c r="A128">
        <v>235</v>
      </c>
      <c r="B128" t="s">
        <v>257</v>
      </c>
      <c r="C128">
        <v>0.55000000000000004</v>
      </c>
      <c r="D128">
        <v>0.57999999999999996</v>
      </c>
      <c r="E128">
        <v>0.62</v>
      </c>
      <c r="F128">
        <v>0.74</v>
      </c>
      <c r="G128">
        <v>0.6</v>
      </c>
      <c r="H128">
        <v>0.69</v>
      </c>
      <c r="I128">
        <v>0.69999999999999896</v>
      </c>
      <c r="J128">
        <v>0.71</v>
      </c>
      <c r="K128">
        <v>0.73999999999999899</v>
      </c>
      <c r="L128">
        <v>0.66</v>
      </c>
    </row>
    <row r="129" spans="1:12" x14ac:dyDescent="0.35">
      <c r="A129">
        <v>236</v>
      </c>
      <c r="B129" t="s">
        <v>475</v>
      </c>
      <c r="C129">
        <v>0.55000000000000004</v>
      </c>
      <c r="D129">
        <v>0.57999999999999996</v>
      </c>
      <c r="E129">
        <v>0.62</v>
      </c>
      <c r="F129">
        <v>0.74</v>
      </c>
      <c r="G129">
        <v>0.6</v>
      </c>
      <c r="H129">
        <v>0.69</v>
      </c>
      <c r="I129">
        <v>0.69999999999999896</v>
      </c>
      <c r="J129">
        <v>0.71</v>
      </c>
      <c r="K129">
        <v>0.73999999999999899</v>
      </c>
      <c r="L129">
        <v>0.66</v>
      </c>
    </row>
    <row r="130" spans="1:12" x14ac:dyDescent="0.35">
      <c r="A130">
        <v>237</v>
      </c>
      <c r="B130" t="s">
        <v>263</v>
      </c>
      <c r="C130">
        <v>0.51</v>
      </c>
      <c r="D130">
        <v>0.55000000000000004</v>
      </c>
      <c r="E130">
        <v>0.59</v>
      </c>
      <c r="F130">
        <v>0.72</v>
      </c>
      <c r="G130">
        <v>0.56999999999999995</v>
      </c>
      <c r="H130">
        <v>0.66</v>
      </c>
      <c r="I130">
        <v>0.68</v>
      </c>
      <c r="J130">
        <v>0.69</v>
      </c>
      <c r="K130">
        <v>0.72</v>
      </c>
      <c r="L130">
        <v>0.64</v>
      </c>
    </row>
    <row r="131" spans="1:12" x14ac:dyDescent="0.35">
      <c r="A131">
        <v>238</v>
      </c>
      <c r="B131" t="s">
        <v>266</v>
      </c>
      <c r="C131">
        <v>0.55000000000000004</v>
      </c>
      <c r="D131">
        <v>0.57999999999999996</v>
      </c>
      <c r="E131">
        <v>0.62</v>
      </c>
      <c r="F131">
        <v>0.74</v>
      </c>
      <c r="G131">
        <v>0.6</v>
      </c>
      <c r="H131">
        <v>0.69</v>
      </c>
      <c r="I131">
        <v>0.69999999999999896</v>
      </c>
      <c r="J131">
        <v>0.71</v>
      </c>
      <c r="K131">
        <v>0.73999999999999899</v>
      </c>
      <c r="L131">
        <v>0.66</v>
      </c>
    </row>
    <row r="132" spans="1:12" x14ac:dyDescent="0.35">
      <c r="A132">
        <v>240</v>
      </c>
      <c r="B132" t="s">
        <v>269</v>
      </c>
      <c r="C132">
        <v>0.63</v>
      </c>
      <c r="D132">
        <v>0.56000000000000005</v>
      </c>
      <c r="E132">
        <v>0.69</v>
      </c>
      <c r="F132">
        <v>0.88</v>
      </c>
      <c r="G132">
        <v>0.67</v>
      </c>
      <c r="H132">
        <v>0.78</v>
      </c>
      <c r="I132">
        <v>0.77</v>
      </c>
      <c r="J132">
        <v>0.77</v>
      </c>
      <c r="K132">
        <v>0.83</v>
      </c>
      <c r="L132">
        <v>0.77999999999999903</v>
      </c>
    </row>
    <row r="133" spans="1:12" x14ac:dyDescent="0.35">
      <c r="A133">
        <v>241</v>
      </c>
      <c r="B133" t="s">
        <v>270</v>
      </c>
      <c r="C133">
        <v>0.78</v>
      </c>
      <c r="D133">
        <v>0.8</v>
      </c>
      <c r="E133">
        <v>0.8</v>
      </c>
      <c r="F133">
        <v>0.85</v>
      </c>
      <c r="G133">
        <v>0.79</v>
      </c>
      <c r="H133">
        <v>0.84</v>
      </c>
      <c r="I133">
        <v>0.82</v>
      </c>
      <c r="J133">
        <v>0.85</v>
      </c>
      <c r="K133">
        <v>0.85</v>
      </c>
      <c r="L133">
        <v>0.81</v>
      </c>
    </row>
    <row r="134" spans="1:12" x14ac:dyDescent="0.35">
      <c r="A134">
        <v>242</v>
      </c>
      <c r="B134" t="s">
        <v>272</v>
      </c>
      <c r="C134">
        <v>0.88</v>
      </c>
      <c r="D134">
        <v>0.86599999999999999</v>
      </c>
      <c r="E134">
        <v>0.91800000000000004</v>
      </c>
      <c r="F134">
        <v>0.86899999999999999</v>
      </c>
      <c r="G134">
        <v>0.88</v>
      </c>
      <c r="H134">
        <v>0.88799999999999901</v>
      </c>
      <c r="I134">
        <v>0.872</v>
      </c>
      <c r="J134">
        <v>0.88</v>
      </c>
      <c r="K134">
        <v>0.86899999999999999</v>
      </c>
      <c r="L134">
        <v>0.878</v>
      </c>
    </row>
    <row r="135" spans="1:12" x14ac:dyDescent="0.35">
      <c r="A135">
        <v>243</v>
      </c>
      <c r="B135" t="s">
        <v>476</v>
      </c>
      <c r="C135">
        <v>0.88</v>
      </c>
      <c r="D135">
        <v>0.86599999999999999</v>
      </c>
      <c r="E135">
        <v>0.91800000000000004</v>
      </c>
      <c r="F135">
        <v>0.86899999999999999</v>
      </c>
      <c r="G135">
        <v>0.88</v>
      </c>
      <c r="H135">
        <v>0.88799999999999901</v>
      </c>
      <c r="I135">
        <v>0.872</v>
      </c>
      <c r="J135">
        <v>0.88</v>
      </c>
      <c r="K135">
        <v>0.86899999999999999</v>
      </c>
      <c r="L135">
        <v>0.878</v>
      </c>
    </row>
    <row r="136" spans="1:12" x14ac:dyDescent="0.35">
      <c r="A136">
        <v>244</v>
      </c>
      <c r="B136" t="s">
        <v>477</v>
      </c>
      <c r="C136">
        <v>0.88</v>
      </c>
      <c r="D136">
        <v>0.86599999999999999</v>
      </c>
      <c r="E136">
        <v>0.91800000000000004</v>
      </c>
      <c r="F136">
        <v>0.86899999999999999</v>
      </c>
      <c r="G136">
        <v>0.88</v>
      </c>
      <c r="H136">
        <v>0.88799999999999901</v>
      </c>
      <c r="I136">
        <v>0.872</v>
      </c>
      <c r="J136">
        <v>0.88</v>
      </c>
      <c r="K136">
        <v>0.86899999999999999</v>
      </c>
      <c r="L136">
        <v>0.878</v>
      </c>
    </row>
    <row r="137" spans="1:12" x14ac:dyDescent="0.35">
      <c r="A137">
        <v>245</v>
      </c>
      <c r="B137" t="s">
        <v>281</v>
      </c>
      <c r="C137">
        <v>0.88</v>
      </c>
      <c r="D137">
        <v>0.86599999999999999</v>
      </c>
      <c r="E137">
        <v>0.91800000000000004</v>
      </c>
      <c r="F137">
        <v>0.86899999999999999</v>
      </c>
      <c r="G137">
        <v>0.88</v>
      </c>
      <c r="H137">
        <v>0.88799999999999901</v>
      </c>
      <c r="I137">
        <v>0.872</v>
      </c>
      <c r="J137">
        <v>0.88</v>
      </c>
      <c r="K137">
        <v>0.86899999999999999</v>
      </c>
      <c r="L137">
        <v>0.878</v>
      </c>
    </row>
    <row r="138" spans="1:12" x14ac:dyDescent="0.35">
      <c r="A138">
        <v>246</v>
      </c>
      <c r="B138" t="s">
        <v>284</v>
      </c>
      <c r="C138">
        <v>0.88</v>
      </c>
      <c r="D138">
        <v>0.86599999999999999</v>
      </c>
      <c r="E138">
        <v>0.91800000000000004</v>
      </c>
      <c r="F138">
        <v>0.86899999999999999</v>
      </c>
      <c r="G138">
        <v>0.88</v>
      </c>
      <c r="H138">
        <v>0.88799999999999901</v>
      </c>
      <c r="I138">
        <v>0.872</v>
      </c>
      <c r="J138">
        <v>0.88</v>
      </c>
      <c r="K138">
        <v>0.86899999999999999</v>
      </c>
      <c r="L138">
        <v>0.878</v>
      </c>
    </row>
    <row r="139" spans="1:12" x14ac:dyDescent="0.35">
      <c r="A139">
        <v>247</v>
      </c>
      <c r="B139" t="s">
        <v>288</v>
      </c>
      <c r="C139">
        <v>0.88</v>
      </c>
      <c r="D139">
        <v>0.86599999999999999</v>
      </c>
      <c r="E139">
        <v>0.91800000000000004</v>
      </c>
      <c r="F139">
        <v>0.86899999999999999</v>
      </c>
      <c r="G139">
        <v>0.88</v>
      </c>
      <c r="H139">
        <v>0.88799999999999901</v>
      </c>
      <c r="I139">
        <v>0.872</v>
      </c>
      <c r="J139">
        <v>0.88</v>
      </c>
      <c r="K139">
        <v>0.86899999999999999</v>
      </c>
      <c r="L139">
        <v>0.878</v>
      </c>
    </row>
    <row r="140" spans="1:12" x14ac:dyDescent="0.35">
      <c r="A140">
        <v>250</v>
      </c>
      <c r="B140" t="s">
        <v>291</v>
      </c>
      <c r="C140">
        <v>0.51</v>
      </c>
      <c r="D140">
        <v>0.63</v>
      </c>
      <c r="E140">
        <v>0.52</v>
      </c>
      <c r="F140">
        <v>0.62</v>
      </c>
      <c r="G140">
        <v>0.61</v>
      </c>
      <c r="H140">
        <v>0.56000000000000005</v>
      </c>
      <c r="I140">
        <v>0.56000000000000005</v>
      </c>
      <c r="J140">
        <v>0.59</v>
      </c>
      <c r="K140">
        <v>0.56000000000000005</v>
      </c>
      <c r="L140">
        <v>0.57999999999999996</v>
      </c>
    </row>
    <row r="141" spans="1:12" x14ac:dyDescent="0.35">
      <c r="A141">
        <v>251</v>
      </c>
      <c r="B141" t="s">
        <v>294</v>
      </c>
      <c r="C141">
        <v>0.51</v>
      </c>
      <c r="D141">
        <v>0.63</v>
      </c>
      <c r="E141">
        <v>0.52</v>
      </c>
      <c r="F141">
        <v>0.62</v>
      </c>
      <c r="G141">
        <v>0.61</v>
      </c>
      <c r="H141">
        <v>0.56000000000000005</v>
      </c>
      <c r="I141">
        <v>0.56000000000000005</v>
      </c>
      <c r="J141">
        <v>0.59</v>
      </c>
      <c r="K141">
        <v>0.56000000000000005</v>
      </c>
      <c r="L141">
        <v>0.57999999999999996</v>
      </c>
    </row>
    <row r="142" spans="1:12" x14ac:dyDescent="0.35">
      <c r="A142">
        <v>252</v>
      </c>
      <c r="B142" t="s">
        <v>297</v>
      </c>
      <c r="C142">
        <v>0.73</v>
      </c>
      <c r="D142">
        <v>0.75</v>
      </c>
      <c r="E142">
        <v>0.76</v>
      </c>
      <c r="F142">
        <v>0.83</v>
      </c>
      <c r="G142">
        <v>0.75</v>
      </c>
      <c r="H142">
        <v>0.81</v>
      </c>
      <c r="I142">
        <v>0.8</v>
      </c>
      <c r="J142">
        <v>0.81999999999999895</v>
      </c>
      <c r="K142">
        <v>0.83</v>
      </c>
      <c r="L142">
        <v>0.78</v>
      </c>
    </row>
    <row r="143" spans="1:12" x14ac:dyDescent="0.35">
      <c r="A143">
        <v>253</v>
      </c>
      <c r="B143" t="s">
        <v>300</v>
      </c>
      <c r="C143">
        <v>0.73</v>
      </c>
      <c r="D143">
        <v>0.75</v>
      </c>
      <c r="E143">
        <v>0.76</v>
      </c>
      <c r="F143">
        <v>0.83</v>
      </c>
      <c r="G143">
        <v>0.75</v>
      </c>
      <c r="H143">
        <v>0.81</v>
      </c>
      <c r="I143">
        <v>0.8</v>
      </c>
      <c r="J143">
        <v>0.81999999999999895</v>
      </c>
      <c r="K143">
        <v>0.83</v>
      </c>
      <c r="L143">
        <v>0.78</v>
      </c>
    </row>
    <row r="144" spans="1:12" x14ac:dyDescent="0.35">
      <c r="A144">
        <v>254</v>
      </c>
      <c r="B144" t="s">
        <v>303</v>
      </c>
      <c r="C144">
        <v>0.73</v>
      </c>
      <c r="D144">
        <v>0.75</v>
      </c>
      <c r="E144">
        <v>0.76</v>
      </c>
      <c r="F144">
        <v>0.83</v>
      </c>
      <c r="G144">
        <v>0.75</v>
      </c>
      <c r="H144">
        <v>0.81</v>
      </c>
      <c r="I144">
        <v>0.8</v>
      </c>
      <c r="J144">
        <v>0.81999999999999895</v>
      </c>
      <c r="K144">
        <v>0.83</v>
      </c>
      <c r="L144">
        <v>0.78</v>
      </c>
    </row>
    <row r="145" spans="1:12" x14ac:dyDescent="0.35">
      <c r="A145">
        <v>255</v>
      </c>
      <c r="B145" t="s">
        <v>306</v>
      </c>
      <c r="C145">
        <v>0.73</v>
      </c>
      <c r="D145">
        <v>0.75</v>
      </c>
      <c r="E145">
        <v>0.76</v>
      </c>
      <c r="F145">
        <v>0.83</v>
      </c>
      <c r="G145">
        <v>0.75</v>
      </c>
      <c r="H145">
        <v>0.81</v>
      </c>
      <c r="I145">
        <v>0.8</v>
      </c>
      <c r="J145">
        <v>0.81999999999999895</v>
      </c>
      <c r="K145">
        <v>0.83</v>
      </c>
      <c r="L145">
        <v>0.78</v>
      </c>
    </row>
    <row r="146" spans="1:12" x14ac:dyDescent="0.35">
      <c r="A146">
        <v>256</v>
      </c>
      <c r="B146" t="s">
        <v>309</v>
      </c>
      <c r="C146">
        <v>0.51</v>
      </c>
      <c r="D146">
        <v>0.63</v>
      </c>
      <c r="E146">
        <v>0.52</v>
      </c>
      <c r="F146">
        <v>0.62</v>
      </c>
      <c r="G146">
        <v>0.61</v>
      </c>
      <c r="H146">
        <v>0.56000000000000005</v>
      </c>
      <c r="I146">
        <v>0.56000000000000005</v>
      </c>
      <c r="J146">
        <v>0.59</v>
      </c>
      <c r="K146">
        <v>0.56000000000000005</v>
      </c>
      <c r="L146">
        <v>0.57999999999999996</v>
      </c>
    </row>
    <row r="147" spans="1:12" x14ac:dyDescent="0.35">
      <c r="A147">
        <v>257</v>
      </c>
      <c r="B147" t="s">
        <v>312</v>
      </c>
      <c r="C147">
        <v>0.51</v>
      </c>
      <c r="D147">
        <v>0.63</v>
      </c>
      <c r="E147">
        <v>0.52</v>
      </c>
      <c r="F147">
        <v>0.62</v>
      </c>
      <c r="G147">
        <v>0.61</v>
      </c>
      <c r="H147">
        <v>0.56000000000000005</v>
      </c>
      <c r="I147">
        <v>0.56000000000000005</v>
      </c>
      <c r="J147">
        <v>0.59</v>
      </c>
      <c r="K147">
        <v>0.56000000000000005</v>
      </c>
      <c r="L147">
        <v>0.57999999999999996</v>
      </c>
    </row>
    <row r="148" spans="1:12" x14ac:dyDescent="0.35">
      <c r="A148">
        <v>258</v>
      </c>
      <c r="B148" t="s">
        <v>317</v>
      </c>
      <c r="C148">
        <v>0.73</v>
      </c>
      <c r="D148">
        <v>0.75</v>
      </c>
      <c r="E148">
        <v>0.76</v>
      </c>
      <c r="F148">
        <v>0.83</v>
      </c>
      <c r="G148">
        <v>0.75</v>
      </c>
      <c r="H148">
        <v>0.81</v>
      </c>
      <c r="I148">
        <v>0.8</v>
      </c>
      <c r="J148">
        <v>0.81999999999999895</v>
      </c>
      <c r="K148">
        <v>0.83</v>
      </c>
      <c r="L148">
        <v>0.78</v>
      </c>
    </row>
    <row r="149" spans="1:12" x14ac:dyDescent="0.35">
      <c r="A149">
        <v>260</v>
      </c>
      <c r="B149" t="s">
        <v>319</v>
      </c>
      <c r="C149">
        <v>0.8</v>
      </c>
      <c r="D149">
        <v>0.78</v>
      </c>
      <c r="E149">
        <v>0.73</v>
      </c>
      <c r="F149">
        <v>0.81</v>
      </c>
      <c r="G149">
        <v>0.71</v>
      </c>
      <c r="H149">
        <v>0.73</v>
      </c>
      <c r="I149">
        <v>0.68</v>
      </c>
      <c r="J149">
        <v>0.71</v>
      </c>
      <c r="K149">
        <v>0.73</v>
      </c>
      <c r="L149">
        <v>0.7</v>
      </c>
    </row>
    <row r="150" spans="1:12" x14ac:dyDescent="0.35">
      <c r="A150">
        <v>261</v>
      </c>
      <c r="B150" t="s">
        <v>322</v>
      </c>
      <c r="C150">
        <v>0.73</v>
      </c>
      <c r="D150">
        <v>0.75</v>
      </c>
      <c r="E150">
        <v>0.76</v>
      </c>
      <c r="F150">
        <v>0.83</v>
      </c>
      <c r="G150">
        <v>0.75</v>
      </c>
      <c r="H150">
        <v>0.81</v>
      </c>
      <c r="I150">
        <v>0.8</v>
      </c>
      <c r="J150">
        <v>0.81999999999999895</v>
      </c>
      <c r="K150">
        <v>0.83</v>
      </c>
      <c r="L150">
        <v>0.78</v>
      </c>
    </row>
    <row r="151" spans="1:12" x14ac:dyDescent="0.35">
      <c r="A151">
        <v>270</v>
      </c>
      <c r="B151" t="s">
        <v>323</v>
      </c>
      <c r="C151">
        <v>0.85</v>
      </c>
      <c r="D151">
        <v>0.96</v>
      </c>
      <c r="E151">
        <v>0.88999999999999901</v>
      </c>
      <c r="F151">
        <v>0.96</v>
      </c>
      <c r="G151">
        <v>0.9</v>
      </c>
      <c r="H151">
        <v>0.93999999999999895</v>
      </c>
      <c r="I151">
        <v>0.869999999999999</v>
      </c>
      <c r="J151">
        <v>0.95</v>
      </c>
      <c r="K151">
        <v>0.96999999999999897</v>
      </c>
      <c r="L151">
        <v>0.88</v>
      </c>
    </row>
    <row r="152" spans="1:12" x14ac:dyDescent="0.35">
      <c r="A152">
        <v>271</v>
      </c>
      <c r="B152" t="s">
        <v>325</v>
      </c>
      <c r="C152">
        <v>0.86</v>
      </c>
      <c r="D152">
        <v>0.87</v>
      </c>
      <c r="E152">
        <v>0.77</v>
      </c>
      <c r="F152">
        <v>0.86</v>
      </c>
      <c r="G152">
        <v>0.83</v>
      </c>
      <c r="H152">
        <v>0.92</v>
      </c>
      <c r="I152">
        <v>0.88</v>
      </c>
      <c r="J152">
        <v>0.88</v>
      </c>
      <c r="K152">
        <v>0.9</v>
      </c>
      <c r="L152">
        <v>0.84</v>
      </c>
    </row>
    <row r="153" spans="1:12" x14ac:dyDescent="0.35">
      <c r="A153">
        <v>272</v>
      </c>
      <c r="B153" t="s">
        <v>326</v>
      </c>
      <c r="C153">
        <v>0.85</v>
      </c>
      <c r="D153">
        <v>0.96</v>
      </c>
      <c r="E153">
        <v>0.88999999999999901</v>
      </c>
      <c r="F153">
        <v>0.96</v>
      </c>
      <c r="G153">
        <v>0.9</v>
      </c>
      <c r="H153">
        <v>0.93999999999999895</v>
      </c>
      <c r="I153">
        <v>0.869999999999999</v>
      </c>
      <c r="J153">
        <v>0.95</v>
      </c>
      <c r="K153">
        <v>0.96999999999999897</v>
      </c>
      <c r="L153">
        <v>0.88</v>
      </c>
    </row>
    <row r="154" spans="1:12" x14ac:dyDescent="0.35">
      <c r="A154">
        <v>273</v>
      </c>
      <c r="B154" t="s">
        <v>329</v>
      </c>
      <c r="C154">
        <v>0.73</v>
      </c>
      <c r="D154">
        <v>0.85</v>
      </c>
      <c r="E154">
        <v>0.7</v>
      </c>
      <c r="F154">
        <v>0.8</v>
      </c>
      <c r="G154">
        <v>0.8</v>
      </c>
      <c r="H154">
        <v>0.85</v>
      </c>
      <c r="I154">
        <v>0.82</v>
      </c>
      <c r="J154">
        <v>0.84</v>
      </c>
      <c r="K154">
        <v>0.83</v>
      </c>
      <c r="L154">
        <v>0.79</v>
      </c>
    </row>
    <row r="155" spans="1:12" x14ac:dyDescent="0.35">
      <c r="A155">
        <v>274</v>
      </c>
      <c r="B155" t="s">
        <v>330</v>
      </c>
      <c r="C155">
        <v>0.77</v>
      </c>
      <c r="D155">
        <v>0.79</v>
      </c>
      <c r="E155">
        <v>0.79</v>
      </c>
      <c r="F155">
        <v>0.85</v>
      </c>
      <c r="G155">
        <v>0.78</v>
      </c>
      <c r="H155">
        <v>0.83</v>
      </c>
      <c r="I155">
        <v>0.82</v>
      </c>
      <c r="J155">
        <v>0.84</v>
      </c>
      <c r="K155">
        <v>0.85</v>
      </c>
      <c r="L155">
        <v>0.81</v>
      </c>
    </row>
    <row r="156" spans="1:12" x14ac:dyDescent="0.35">
      <c r="A156">
        <v>275</v>
      </c>
      <c r="B156" t="s">
        <v>332</v>
      </c>
      <c r="C156">
        <v>0.77</v>
      </c>
      <c r="D156">
        <v>0.79</v>
      </c>
      <c r="E156">
        <v>0.79</v>
      </c>
      <c r="F156">
        <v>0.85</v>
      </c>
      <c r="G156">
        <v>0.78</v>
      </c>
      <c r="H156">
        <v>0.83</v>
      </c>
      <c r="I156">
        <v>0.82</v>
      </c>
      <c r="J156">
        <v>0.84</v>
      </c>
      <c r="K156">
        <v>0.85</v>
      </c>
      <c r="L156">
        <v>0.81</v>
      </c>
    </row>
    <row r="157" spans="1:12" x14ac:dyDescent="0.35">
      <c r="A157">
        <v>276</v>
      </c>
      <c r="B157" t="s">
        <v>335</v>
      </c>
      <c r="C157">
        <v>0.77</v>
      </c>
      <c r="D157">
        <v>0.79</v>
      </c>
      <c r="E157">
        <v>0.79</v>
      </c>
      <c r="F157">
        <v>0.85</v>
      </c>
      <c r="G157">
        <v>0.78</v>
      </c>
      <c r="H157">
        <v>0.83</v>
      </c>
      <c r="I157">
        <v>0.82</v>
      </c>
      <c r="J157">
        <v>0.84</v>
      </c>
      <c r="K157">
        <v>0.85</v>
      </c>
      <c r="L157">
        <v>0.81</v>
      </c>
    </row>
    <row r="158" spans="1:12" x14ac:dyDescent="0.35">
      <c r="A158">
        <v>278</v>
      </c>
      <c r="B158" t="s">
        <v>338</v>
      </c>
      <c r="C158">
        <v>0.87</v>
      </c>
      <c r="D158">
        <v>0.89</v>
      </c>
      <c r="E158">
        <v>0.86</v>
      </c>
      <c r="F158">
        <v>0.9</v>
      </c>
      <c r="G158">
        <v>0.91</v>
      </c>
      <c r="H158">
        <v>0.92999999999999905</v>
      </c>
      <c r="I158">
        <v>0.92</v>
      </c>
      <c r="J158">
        <v>0.91</v>
      </c>
      <c r="K158">
        <v>0.88</v>
      </c>
      <c r="L158">
        <v>0.9</v>
      </c>
    </row>
    <row r="159" spans="1:12" x14ac:dyDescent="0.35">
      <c r="A159">
        <v>280</v>
      </c>
      <c r="B159" t="s">
        <v>340</v>
      </c>
      <c r="C159">
        <v>0.53</v>
      </c>
      <c r="D159">
        <v>0.86099999999999999</v>
      </c>
      <c r="E159">
        <v>0.82199999999999995</v>
      </c>
      <c r="F159">
        <v>0.83099999999999996</v>
      </c>
      <c r="G159">
        <v>0.76900000000000002</v>
      </c>
      <c r="H159">
        <v>0.68100000000000005</v>
      </c>
      <c r="I159">
        <v>0.83</v>
      </c>
      <c r="J159">
        <v>0.90600000000000003</v>
      </c>
      <c r="K159">
        <v>0.83899999999999997</v>
      </c>
      <c r="L159">
        <v>0.82799999999999996</v>
      </c>
    </row>
    <row r="160" spans="1:12" x14ac:dyDescent="0.35">
      <c r="A160">
        <v>281</v>
      </c>
      <c r="B160" t="s">
        <v>343</v>
      </c>
      <c r="C160">
        <v>0.53</v>
      </c>
      <c r="D160">
        <v>0.86099999999999999</v>
      </c>
      <c r="E160">
        <v>0.82199999999999995</v>
      </c>
      <c r="F160">
        <v>0.83099999999999996</v>
      </c>
      <c r="G160">
        <v>0.76900000000000002</v>
      </c>
      <c r="H160">
        <v>0.68100000000000005</v>
      </c>
      <c r="I160">
        <v>0.83</v>
      </c>
      <c r="J160">
        <v>0.90600000000000003</v>
      </c>
      <c r="K160">
        <v>0.83899999999999997</v>
      </c>
      <c r="L160">
        <v>0.82799999999999996</v>
      </c>
    </row>
    <row r="161" spans="1:12" x14ac:dyDescent="0.35">
      <c r="A161">
        <v>282</v>
      </c>
      <c r="B161" t="s">
        <v>478</v>
      </c>
      <c r="C161">
        <v>0.53</v>
      </c>
      <c r="D161">
        <v>0.86099999999999999</v>
      </c>
      <c r="E161">
        <v>0.82199999999999995</v>
      </c>
      <c r="F161">
        <v>0.83099999999999996</v>
      </c>
      <c r="G161">
        <v>0.76900000000000002</v>
      </c>
      <c r="H161">
        <v>0.68100000000000005</v>
      </c>
      <c r="I161">
        <v>0.83</v>
      </c>
      <c r="J161">
        <v>0.90600000000000003</v>
      </c>
      <c r="K161">
        <v>0.83899999999999997</v>
      </c>
      <c r="L161">
        <v>0.82799999999999996</v>
      </c>
    </row>
    <row r="162" spans="1:12" x14ac:dyDescent="0.35">
      <c r="A162">
        <v>283</v>
      </c>
      <c r="B162" t="s">
        <v>345</v>
      </c>
      <c r="C162">
        <v>0.47</v>
      </c>
      <c r="D162">
        <v>0.48</v>
      </c>
      <c r="E162">
        <v>0.47</v>
      </c>
      <c r="F162">
        <v>0.41</v>
      </c>
      <c r="G162">
        <v>0.47</v>
      </c>
      <c r="H162">
        <v>0.42</v>
      </c>
      <c r="I162">
        <v>0.44</v>
      </c>
      <c r="J162">
        <v>0.47</v>
      </c>
      <c r="K162">
        <v>0.47</v>
      </c>
      <c r="L162">
        <v>0.46999999999999897</v>
      </c>
    </row>
    <row r="163" spans="1:12" x14ac:dyDescent="0.35">
      <c r="A163">
        <v>284</v>
      </c>
      <c r="B163" t="s">
        <v>348</v>
      </c>
      <c r="C163">
        <v>0.47</v>
      </c>
      <c r="D163">
        <v>0.48</v>
      </c>
      <c r="E163">
        <v>0.47</v>
      </c>
      <c r="F163">
        <v>0.41</v>
      </c>
      <c r="G163">
        <v>0.47</v>
      </c>
      <c r="H163">
        <v>0.42</v>
      </c>
      <c r="I163">
        <v>0.44</v>
      </c>
      <c r="J163">
        <v>0.47</v>
      </c>
      <c r="K163">
        <v>0.47</v>
      </c>
      <c r="L163">
        <v>0.46999999999999897</v>
      </c>
    </row>
    <row r="164" spans="1:12" x14ac:dyDescent="0.35">
      <c r="A164">
        <v>290</v>
      </c>
      <c r="B164" t="s">
        <v>350</v>
      </c>
      <c r="C164">
        <v>0.87</v>
      </c>
      <c r="D164">
        <v>0.89</v>
      </c>
      <c r="E164">
        <v>0.86</v>
      </c>
      <c r="F164">
        <v>0.9</v>
      </c>
      <c r="G164">
        <v>0.91</v>
      </c>
      <c r="H164">
        <v>0.92999999999999905</v>
      </c>
      <c r="I164">
        <v>0.92</v>
      </c>
      <c r="J164">
        <v>0.91</v>
      </c>
      <c r="K164">
        <v>0.88</v>
      </c>
      <c r="L164">
        <v>0.9</v>
      </c>
    </row>
    <row r="165" spans="1:12" x14ac:dyDescent="0.35">
      <c r="A165">
        <v>291</v>
      </c>
      <c r="B165" t="s">
        <v>352</v>
      </c>
      <c r="C165">
        <v>0.87</v>
      </c>
      <c r="D165">
        <v>0.89</v>
      </c>
      <c r="E165">
        <v>0.86</v>
      </c>
      <c r="F165">
        <v>0.9</v>
      </c>
      <c r="G165">
        <v>0.91</v>
      </c>
      <c r="H165">
        <v>0.92999999999999905</v>
      </c>
      <c r="I165">
        <v>0.92</v>
      </c>
      <c r="J165">
        <v>0.91</v>
      </c>
      <c r="K165">
        <v>0.88</v>
      </c>
      <c r="L165">
        <v>0.9</v>
      </c>
    </row>
    <row r="166" spans="1:12" x14ac:dyDescent="0.35">
      <c r="A166">
        <v>292</v>
      </c>
      <c r="B166" t="s">
        <v>354</v>
      </c>
      <c r="C166">
        <v>0.47</v>
      </c>
      <c r="D166">
        <v>0.48</v>
      </c>
      <c r="E166">
        <v>0.47</v>
      </c>
      <c r="F166">
        <v>0.41</v>
      </c>
      <c r="G166">
        <v>0.47</v>
      </c>
      <c r="H166">
        <v>0.42</v>
      </c>
      <c r="I166">
        <v>0.44</v>
      </c>
      <c r="J166">
        <v>0.47</v>
      </c>
      <c r="K166">
        <v>0.47</v>
      </c>
      <c r="L166">
        <v>0.46999999999999897</v>
      </c>
    </row>
    <row r="167" spans="1:12" x14ac:dyDescent="0.35">
      <c r="A167">
        <v>293</v>
      </c>
      <c r="B167" t="s">
        <v>357</v>
      </c>
      <c r="C167">
        <v>0.47</v>
      </c>
      <c r="D167">
        <v>0.48</v>
      </c>
      <c r="E167">
        <v>0.47</v>
      </c>
      <c r="F167">
        <v>0.41</v>
      </c>
      <c r="G167">
        <v>0.47</v>
      </c>
      <c r="H167">
        <v>0.42</v>
      </c>
      <c r="I167">
        <v>0.44</v>
      </c>
      <c r="J167">
        <v>0.47</v>
      </c>
      <c r="K167">
        <v>0.47</v>
      </c>
      <c r="L167">
        <v>0.46999999999999897</v>
      </c>
    </row>
    <row r="168" spans="1:12" x14ac:dyDescent="0.35">
      <c r="A168">
        <v>294</v>
      </c>
      <c r="B168" t="s">
        <v>359</v>
      </c>
      <c r="C168">
        <v>0.47</v>
      </c>
      <c r="D168">
        <v>0.48</v>
      </c>
      <c r="E168">
        <v>0.47</v>
      </c>
      <c r="F168">
        <v>0.41</v>
      </c>
      <c r="G168">
        <v>0.47</v>
      </c>
      <c r="H168">
        <v>0.42</v>
      </c>
      <c r="I168">
        <v>0.44</v>
      </c>
      <c r="J168">
        <v>0.47</v>
      </c>
      <c r="K168">
        <v>0.47</v>
      </c>
      <c r="L168">
        <v>0.46999999999999897</v>
      </c>
    </row>
    <row r="169" spans="1:12" x14ac:dyDescent="0.35">
      <c r="A169">
        <v>295</v>
      </c>
      <c r="B169" t="s">
        <v>361</v>
      </c>
      <c r="C169">
        <v>0.47</v>
      </c>
      <c r="D169">
        <v>0.48</v>
      </c>
      <c r="E169">
        <v>0.47</v>
      </c>
      <c r="F169">
        <v>0.41</v>
      </c>
      <c r="G169">
        <v>0.47</v>
      </c>
      <c r="H169">
        <v>0.42</v>
      </c>
      <c r="I169">
        <v>0.44</v>
      </c>
      <c r="J169">
        <v>0.47</v>
      </c>
      <c r="K169">
        <v>0.47</v>
      </c>
      <c r="L169">
        <v>0.46999999999999897</v>
      </c>
    </row>
    <row r="170" spans="1:12" x14ac:dyDescent="0.35">
      <c r="A170">
        <v>296</v>
      </c>
      <c r="B170" t="s">
        <v>363</v>
      </c>
      <c r="C170">
        <v>0.47</v>
      </c>
      <c r="D170">
        <v>0.48</v>
      </c>
      <c r="E170">
        <v>0.47</v>
      </c>
      <c r="F170">
        <v>0.41</v>
      </c>
      <c r="G170">
        <v>0.47</v>
      </c>
      <c r="H170">
        <v>0.42</v>
      </c>
      <c r="I170">
        <v>0.44</v>
      </c>
      <c r="J170">
        <v>0.47</v>
      </c>
      <c r="K170">
        <v>0.47</v>
      </c>
      <c r="L170">
        <v>0.46999999999999897</v>
      </c>
    </row>
    <row r="171" spans="1:12" x14ac:dyDescent="0.35">
      <c r="A171">
        <v>292</v>
      </c>
      <c r="B171" t="s">
        <v>354</v>
      </c>
      <c r="C171">
        <v>0.47</v>
      </c>
      <c r="D171">
        <v>0.48</v>
      </c>
      <c r="E171">
        <v>0.47</v>
      </c>
      <c r="F171">
        <v>0.41</v>
      </c>
      <c r="G171">
        <v>0.47</v>
      </c>
      <c r="H171">
        <v>0.42</v>
      </c>
      <c r="I171">
        <v>0.44</v>
      </c>
      <c r="J171">
        <v>0.47</v>
      </c>
      <c r="K171">
        <v>0.47</v>
      </c>
      <c r="L171">
        <v>0.46999999999999897</v>
      </c>
    </row>
    <row r="172" spans="1:12" x14ac:dyDescent="0.35">
      <c r="A172">
        <v>293</v>
      </c>
      <c r="B172" t="s">
        <v>357</v>
      </c>
      <c r="C172">
        <v>0.47</v>
      </c>
      <c r="D172">
        <v>0.48</v>
      </c>
      <c r="E172">
        <v>0.47</v>
      </c>
      <c r="F172">
        <v>0.41</v>
      </c>
      <c r="G172">
        <v>0.47</v>
      </c>
      <c r="H172">
        <v>0.42</v>
      </c>
      <c r="I172">
        <v>0.44</v>
      </c>
      <c r="J172">
        <v>0.47</v>
      </c>
      <c r="K172">
        <v>0.47</v>
      </c>
      <c r="L172">
        <v>0.46999999999999897</v>
      </c>
    </row>
    <row r="173" spans="1:12" x14ac:dyDescent="0.35">
      <c r="A173">
        <v>294</v>
      </c>
      <c r="B173" t="s">
        <v>359</v>
      </c>
      <c r="C173">
        <v>0.47</v>
      </c>
      <c r="D173">
        <v>0.48</v>
      </c>
      <c r="E173">
        <v>0.47</v>
      </c>
      <c r="F173">
        <v>0.41</v>
      </c>
      <c r="G173">
        <v>0.47</v>
      </c>
      <c r="H173">
        <v>0.42</v>
      </c>
      <c r="I173">
        <v>0.44</v>
      </c>
      <c r="J173">
        <v>0.47</v>
      </c>
      <c r="K173">
        <v>0.47</v>
      </c>
      <c r="L173">
        <v>0.46999999999999897</v>
      </c>
    </row>
    <row r="174" spans="1:12" x14ac:dyDescent="0.35">
      <c r="A174">
        <v>295</v>
      </c>
      <c r="B174" t="s">
        <v>361</v>
      </c>
      <c r="C174">
        <v>0.47</v>
      </c>
      <c r="D174">
        <v>0.48</v>
      </c>
      <c r="E174">
        <v>0.47</v>
      </c>
      <c r="F174">
        <v>0.41</v>
      </c>
      <c r="G174">
        <v>0.47</v>
      </c>
      <c r="H174">
        <v>0.42</v>
      </c>
      <c r="I174">
        <v>0.44</v>
      </c>
      <c r="J174">
        <v>0.47</v>
      </c>
      <c r="K174">
        <v>0.47</v>
      </c>
      <c r="L174">
        <v>0.46999999999999897</v>
      </c>
    </row>
    <row r="175" spans="1:12" x14ac:dyDescent="0.35">
      <c r="A175">
        <v>296</v>
      </c>
      <c r="B175" t="s">
        <v>363</v>
      </c>
      <c r="C175">
        <v>0.47</v>
      </c>
      <c r="D175">
        <v>0.48</v>
      </c>
      <c r="E175">
        <v>0.47</v>
      </c>
      <c r="F175">
        <v>0.41</v>
      </c>
      <c r="G175">
        <v>0.47</v>
      </c>
      <c r="H175">
        <v>0.42</v>
      </c>
      <c r="I175">
        <v>0.44</v>
      </c>
      <c r="J175">
        <v>0.47</v>
      </c>
      <c r="K175">
        <v>0.47</v>
      </c>
      <c r="L175">
        <v>0.46999999999999897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2455A-2C6B-442C-8B42-6109E6762D0A}">
  <dimension ref="A1:M175"/>
  <sheetViews>
    <sheetView topLeftCell="A146" workbookViewId="0">
      <selection activeCell="L150" sqref="L150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489</v>
      </c>
      <c r="D1" t="s">
        <v>479</v>
      </c>
      <c r="E1" t="s">
        <v>480</v>
      </c>
      <c r="F1" t="s">
        <v>481</v>
      </c>
      <c r="G1" t="s">
        <v>482</v>
      </c>
      <c r="H1" t="s">
        <v>483</v>
      </c>
      <c r="I1" t="s">
        <v>484</v>
      </c>
      <c r="J1" t="s">
        <v>485</v>
      </c>
      <c r="K1" t="s">
        <v>486</v>
      </c>
      <c r="L1" t="s">
        <v>487</v>
      </c>
      <c r="M1" t="s">
        <v>488</v>
      </c>
    </row>
    <row r="2" spans="1:13" x14ac:dyDescent="0.35">
      <c r="A2">
        <v>1</v>
      </c>
      <c r="B2" t="s">
        <v>371</v>
      </c>
      <c r="C2">
        <v>0.17666279833333301</v>
      </c>
      <c r="D2">
        <v>7.1773000000000003E-2</v>
      </c>
      <c r="E2">
        <v>0.14144802000000001</v>
      </c>
      <c r="F2">
        <v>0.13388425000000001</v>
      </c>
      <c r="G2">
        <v>0.1650779</v>
      </c>
      <c r="H2">
        <v>0.18227888222222199</v>
      </c>
      <c r="I2">
        <v>0.252487598888888</v>
      </c>
      <c r="J2">
        <v>0.46757348999999998</v>
      </c>
      <c r="K2">
        <v>0.37367968333333301</v>
      </c>
      <c r="L2">
        <v>0.30325012666666601</v>
      </c>
      <c r="M2">
        <v>6.9932666666666599</v>
      </c>
    </row>
    <row r="3" spans="1:13" x14ac:dyDescent="0.35">
      <c r="A3">
        <v>2</v>
      </c>
      <c r="B3" t="s">
        <v>414</v>
      </c>
      <c r="C3">
        <v>0.17666279833333301</v>
      </c>
      <c r="D3">
        <v>7.1773000000000003E-2</v>
      </c>
      <c r="E3">
        <v>0.14144802000000001</v>
      </c>
      <c r="F3">
        <v>0.13388425000000001</v>
      </c>
      <c r="G3">
        <v>0.1650779</v>
      </c>
      <c r="H3">
        <v>0.18227888222222199</v>
      </c>
      <c r="I3">
        <v>0.252487598888888</v>
      </c>
      <c r="J3">
        <v>0.46757348999999998</v>
      </c>
      <c r="K3">
        <v>0.37367968333333301</v>
      </c>
      <c r="L3">
        <v>0.30325012666666601</v>
      </c>
      <c r="M3">
        <v>6.9932666666666599</v>
      </c>
    </row>
    <row r="4" spans="1:13" x14ac:dyDescent="0.35">
      <c r="A4">
        <v>3</v>
      </c>
      <c r="B4" t="s">
        <v>377</v>
      </c>
      <c r="C4">
        <v>1.0483142399999901</v>
      </c>
      <c r="D4">
        <v>0.23835267999999901</v>
      </c>
      <c r="E4">
        <v>0.41280767999999901</v>
      </c>
      <c r="F4">
        <v>0.115423199999999</v>
      </c>
      <c r="G4">
        <v>0.72478979999999904</v>
      </c>
      <c r="H4">
        <v>0.53894335999999898</v>
      </c>
      <c r="I4">
        <v>0.78595277999999902</v>
      </c>
      <c r="J4">
        <v>1.7486991999999999</v>
      </c>
      <c r="K4">
        <v>0.92934535999999901</v>
      </c>
      <c r="L4">
        <v>0.94269824000000002</v>
      </c>
      <c r="M4">
        <v>16.596799999999899</v>
      </c>
    </row>
    <row r="5" spans="1:13" x14ac:dyDescent="0.35">
      <c r="A5">
        <v>4</v>
      </c>
      <c r="B5" t="s">
        <v>467</v>
      </c>
      <c r="C5">
        <v>0.11976249999999999</v>
      </c>
      <c r="D5">
        <v>7.0489249999999906E-2</v>
      </c>
      <c r="E5">
        <v>4.5795750000000003E-2</v>
      </c>
      <c r="F5">
        <v>5.9344999999999997E-3</v>
      </c>
      <c r="G5">
        <v>4.2012750000000001E-2</v>
      </c>
      <c r="H5">
        <v>4.9845714285714202E-2</v>
      </c>
      <c r="I5">
        <v>0.106832142857142</v>
      </c>
      <c r="J5">
        <v>0.173122857142857</v>
      </c>
      <c r="K5">
        <v>7.5808571428571406E-2</v>
      </c>
      <c r="L5">
        <v>8.4629999999999997E-2</v>
      </c>
      <c r="M5">
        <v>2.5545</v>
      </c>
    </row>
    <row r="6" spans="1:13" x14ac:dyDescent="0.35">
      <c r="A6">
        <v>5</v>
      </c>
      <c r="B6" t="s">
        <v>381</v>
      </c>
      <c r="C6">
        <v>0.37804223999999997</v>
      </c>
      <c r="D6">
        <v>0.231227339999999</v>
      </c>
      <c r="E6">
        <v>0.30588479999999901</v>
      </c>
      <c r="F6">
        <v>0.1041675</v>
      </c>
      <c r="G6">
        <v>0.64265220000000001</v>
      </c>
      <c r="H6">
        <v>0.22578611999999901</v>
      </c>
      <c r="I6">
        <v>0.70083893999999902</v>
      </c>
      <c r="J6">
        <v>1.6050781999999899</v>
      </c>
      <c r="K6">
        <v>0.80516983999999903</v>
      </c>
      <c r="L6">
        <v>0.877131199999999</v>
      </c>
      <c r="M6">
        <v>14.3791999999999</v>
      </c>
    </row>
    <row r="7" spans="1:13" x14ac:dyDescent="0.35">
      <c r="A7">
        <v>6</v>
      </c>
      <c r="B7" t="s">
        <v>407</v>
      </c>
      <c r="C7">
        <v>5.7400319999999998E-2</v>
      </c>
      <c r="D7">
        <v>8.4959400000000004E-3</v>
      </c>
      <c r="E7">
        <v>2.017536E-2</v>
      </c>
      <c r="F7">
        <v>5.0949000000000003E-3</v>
      </c>
      <c r="G7">
        <v>2.6506800000000001E-2</v>
      </c>
      <c r="H7">
        <v>1.9755039999999901E-2</v>
      </c>
      <c r="I7">
        <v>3.2898179999999999E-2</v>
      </c>
      <c r="J7">
        <v>7.0300000000000001E-2</v>
      </c>
      <c r="K7">
        <v>3.5746439999999997E-2</v>
      </c>
      <c r="L7">
        <v>4.2197760000000001E-2</v>
      </c>
      <c r="M7">
        <v>0.6512</v>
      </c>
    </row>
    <row r="8" spans="1:13" x14ac:dyDescent="0.35">
      <c r="A8">
        <v>7</v>
      </c>
      <c r="B8" t="s">
        <v>408</v>
      </c>
      <c r="C8">
        <v>0.25823807999999998</v>
      </c>
      <c r="D8">
        <v>3.6568319999999897E-2</v>
      </c>
      <c r="E8">
        <v>8.0737919999999894E-2</v>
      </c>
      <c r="F8">
        <v>1.6916699999999899E-2</v>
      </c>
      <c r="G8">
        <v>0.12336029999999901</v>
      </c>
      <c r="H8">
        <v>9.11799999999999E-2</v>
      </c>
      <c r="I8">
        <v>0.14441999999999899</v>
      </c>
      <c r="J8">
        <v>0.288799999999999</v>
      </c>
      <c r="K8">
        <v>0.160978289999999</v>
      </c>
      <c r="L8">
        <v>0.18479999999999999</v>
      </c>
      <c r="M8">
        <v>2.8248000000000002</v>
      </c>
    </row>
    <row r="9" spans="1:13" x14ac:dyDescent="0.35">
      <c r="A9">
        <v>8</v>
      </c>
      <c r="B9" t="s">
        <v>405</v>
      </c>
      <c r="C9">
        <v>5.0807999999999902E-2</v>
      </c>
      <c r="D9">
        <v>2.3993999999999901E-2</v>
      </c>
      <c r="E9">
        <v>8.8800000000000007E-3</v>
      </c>
      <c r="F9">
        <v>4.9500000000000004E-3</v>
      </c>
      <c r="G9">
        <v>2.32199999999999E-2</v>
      </c>
      <c r="H9">
        <v>1.5421499999999901E-2</v>
      </c>
      <c r="I9">
        <v>2.33099999999999E-2</v>
      </c>
      <c r="J9">
        <v>4.3878E-2</v>
      </c>
      <c r="K9">
        <v>2.98589999999999E-2</v>
      </c>
      <c r="L9">
        <v>2.0988E-2</v>
      </c>
      <c r="M9">
        <v>1.0785</v>
      </c>
    </row>
    <row r="10" spans="1:13" x14ac:dyDescent="0.35">
      <c r="A10">
        <v>10</v>
      </c>
      <c r="B10" t="s">
        <v>406</v>
      </c>
      <c r="C10">
        <v>3.7003999999999898E-2</v>
      </c>
      <c r="D10">
        <v>1.0540000000000001E-2</v>
      </c>
      <c r="E10">
        <v>1.332E-2</v>
      </c>
      <c r="F10">
        <v>1.848E-2</v>
      </c>
      <c r="G10">
        <v>5.0880000000000002E-2</v>
      </c>
      <c r="H10">
        <v>1.6007999999999901E-2</v>
      </c>
      <c r="I10">
        <v>6.7759999999999904E-2</v>
      </c>
      <c r="J10">
        <v>8.2359999999999906E-2</v>
      </c>
      <c r="K10">
        <v>4.9727999999999897E-2</v>
      </c>
      <c r="L10">
        <v>7.0487999999999995E-2</v>
      </c>
      <c r="M10">
        <v>1.4379999999999999</v>
      </c>
    </row>
    <row r="11" spans="1:13" x14ac:dyDescent="0.35">
      <c r="A11">
        <v>11</v>
      </c>
      <c r="B11" t="s">
        <v>387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5">
      <c r="A12">
        <v>12</v>
      </c>
      <c r="B12" t="s">
        <v>409</v>
      </c>
    </row>
    <row r="13" spans="1:13" x14ac:dyDescent="0.35">
      <c r="A13">
        <v>13</v>
      </c>
      <c r="B13" t="s">
        <v>410</v>
      </c>
      <c r="C13">
        <v>7.9770750000000001E-2</v>
      </c>
      <c r="D13">
        <v>8.5234499999999894E-2</v>
      </c>
      <c r="E13">
        <v>2.54645999999999E-2</v>
      </c>
      <c r="F13">
        <v>0.106807499999999</v>
      </c>
      <c r="G13">
        <v>0.128909249999999</v>
      </c>
      <c r="H13">
        <v>9.0113099999999904E-2</v>
      </c>
      <c r="I13">
        <v>0.15928769999999901</v>
      </c>
      <c r="J13">
        <v>0.32835375</v>
      </c>
      <c r="K13">
        <v>0.27406169999999902</v>
      </c>
      <c r="L13">
        <v>0.2117115</v>
      </c>
      <c r="M13">
        <v>5.3579999999999997</v>
      </c>
    </row>
    <row r="14" spans="1:13" x14ac:dyDescent="0.35">
      <c r="A14">
        <v>55</v>
      </c>
      <c r="B14" t="s">
        <v>390</v>
      </c>
      <c r="C14">
        <v>0.17649786000000001</v>
      </c>
      <c r="D14">
        <v>7.6389390000000001E-2</v>
      </c>
      <c r="E14">
        <v>0.12371128000000001</v>
      </c>
      <c r="F14">
        <v>7.6188560000000002E-2</v>
      </c>
      <c r="G14">
        <v>0.21275295999999999</v>
      </c>
      <c r="H14">
        <v>0.16191126</v>
      </c>
      <c r="I14">
        <v>0.26985209999999998</v>
      </c>
      <c r="J14">
        <v>0.96639396</v>
      </c>
      <c r="K14">
        <v>0.40969319999999998</v>
      </c>
      <c r="L14">
        <v>0.34799610999999903</v>
      </c>
      <c r="M14">
        <v>6.9444900000000001</v>
      </c>
    </row>
    <row r="15" spans="1:13" x14ac:dyDescent="0.35">
      <c r="A15">
        <v>56</v>
      </c>
      <c r="B15" t="s">
        <v>468</v>
      </c>
      <c r="C15">
        <v>0.21758</v>
      </c>
      <c r="D15">
        <v>0.104236</v>
      </c>
      <c r="E15">
        <v>0.194964</v>
      </c>
      <c r="F15">
        <v>0.12177</v>
      </c>
      <c r="G15">
        <v>0.33973499999999901</v>
      </c>
      <c r="H15">
        <v>0.21758</v>
      </c>
      <c r="I15">
        <v>0.34534500000000001</v>
      </c>
      <c r="J15">
        <v>0.85285199999999906</v>
      </c>
      <c r="K15">
        <v>0.49308600000000002</v>
      </c>
      <c r="L15">
        <v>0.47421000000000002</v>
      </c>
      <c r="M15">
        <v>9.68</v>
      </c>
    </row>
    <row r="16" spans="1:13" x14ac:dyDescent="0.35">
      <c r="A16">
        <v>57</v>
      </c>
      <c r="B16" t="s">
        <v>392</v>
      </c>
      <c r="C16">
        <v>9.82016E-2</v>
      </c>
      <c r="D16">
        <v>2.7180800000000001E-2</v>
      </c>
      <c r="E16">
        <v>9.1757119999999998E-2</v>
      </c>
      <c r="F16">
        <v>6.6329920000000001E-2</v>
      </c>
      <c r="G16">
        <v>0.13781652</v>
      </c>
      <c r="H16">
        <v>0.113963906666666</v>
      </c>
      <c r="I16">
        <v>0.171516693333333</v>
      </c>
      <c r="J16">
        <v>0.55958471999999904</v>
      </c>
      <c r="K16">
        <v>0.201799173333333</v>
      </c>
      <c r="L16">
        <v>0.20389436</v>
      </c>
      <c r="M16">
        <v>4.7127999999999997</v>
      </c>
    </row>
    <row r="17" spans="1:13" x14ac:dyDescent="0.35">
      <c r="A17">
        <v>58</v>
      </c>
      <c r="B17" t="s">
        <v>393</v>
      </c>
      <c r="C17">
        <v>0.27505059999999998</v>
      </c>
      <c r="D17">
        <v>0.1171968</v>
      </c>
      <c r="E17">
        <v>0.15813720000000001</v>
      </c>
      <c r="F17">
        <v>0.19184000000000001</v>
      </c>
      <c r="G17">
        <v>0.25898399999999999</v>
      </c>
      <c r="H17">
        <v>0.18805769999999999</v>
      </c>
      <c r="I17">
        <v>0.30070919999999901</v>
      </c>
      <c r="J17">
        <v>0.55885390000000001</v>
      </c>
      <c r="K17">
        <v>0.43617439999999902</v>
      </c>
      <c r="L17">
        <v>0.40118539999999903</v>
      </c>
      <c r="M17">
        <v>8.1204999999999998</v>
      </c>
    </row>
    <row r="18" spans="1:13" x14ac:dyDescent="0.35">
      <c r="A18">
        <v>59</v>
      </c>
      <c r="B18" t="s">
        <v>394</v>
      </c>
      <c r="C18">
        <v>0.18820339999999999</v>
      </c>
      <c r="D18">
        <v>0.1049895</v>
      </c>
      <c r="E18">
        <v>0.18749640000000001</v>
      </c>
      <c r="F18">
        <v>0.140137499999999</v>
      </c>
      <c r="G18">
        <v>0.32546239999999999</v>
      </c>
      <c r="H18">
        <v>0.194626999999999</v>
      </c>
      <c r="I18">
        <v>0.33869339999999998</v>
      </c>
      <c r="J18">
        <v>0.67734639999999902</v>
      </c>
      <c r="K18">
        <v>0.52091759999999898</v>
      </c>
      <c r="L18">
        <v>0.42368489999999998</v>
      </c>
      <c r="M18">
        <v>8.5244</v>
      </c>
    </row>
    <row r="19" spans="1:13" x14ac:dyDescent="0.35">
      <c r="A19">
        <v>60</v>
      </c>
      <c r="B19" t="s">
        <v>395</v>
      </c>
      <c r="C19">
        <v>0.17426008000000001</v>
      </c>
      <c r="D19">
        <v>5.994352E-2</v>
      </c>
      <c r="E19">
        <v>0.16479455999999901</v>
      </c>
      <c r="F19">
        <v>9.5371199999999906E-2</v>
      </c>
      <c r="G19">
        <v>0.23920127999999899</v>
      </c>
      <c r="H19">
        <v>0.15611664</v>
      </c>
      <c r="I19">
        <v>0.24107719999999999</v>
      </c>
      <c r="J19">
        <v>0.57728215999999999</v>
      </c>
      <c r="K19">
        <v>0.37955159999999999</v>
      </c>
      <c r="L19">
        <v>0.36408600000000002</v>
      </c>
      <c r="M19">
        <v>6.3007999999999997</v>
      </c>
    </row>
    <row r="20" spans="1:13" x14ac:dyDescent="0.35">
      <c r="A20">
        <v>61</v>
      </c>
      <c r="B20" t="s">
        <v>369</v>
      </c>
      <c r="C20">
        <v>0.26891599999999999</v>
      </c>
      <c r="D20">
        <v>9.7564999999999999E-2</v>
      </c>
      <c r="E20">
        <v>0.19513</v>
      </c>
      <c r="F20">
        <v>0.13663839999999999</v>
      </c>
      <c r="G20">
        <v>0.23579919999999999</v>
      </c>
      <c r="H20">
        <v>0.1761305</v>
      </c>
      <c r="I20">
        <v>0.3117972</v>
      </c>
      <c r="J20">
        <v>0.60076339999999995</v>
      </c>
      <c r="K20">
        <v>0.40226800000000001</v>
      </c>
      <c r="L20">
        <v>0.45001559999999902</v>
      </c>
      <c r="M20">
        <v>6.9599000000000002</v>
      </c>
    </row>
    <row r="21" spans="1:13" x14ac:dyDescent="0.35">
      <c r="A21">
        <v>62</v>
      </c>
      <c r="B21" t="s">
        <v>370</v>
      </c>
      <c r="C21">
        <v>0.221327999999999</v>
      </c>
      <c r="D21">
        <v>9.4339999999999993E-2</v>
      </c>
      <c r="E21">
        <v>0.16885800000000001</v>
      </c>
      <c r="F21">
        <v>0.2041984</v>
      </c>
      <c r="G21">
        <v>0.23519279999999901</v>
      </c>
      <c r="H21">
        <v>0.24693760000000001</v>
      </c>
      <c r="I21">
        <v>0.36061199999999899</v>
      </c>
      <c r="J21">
        <v>0.59129979999999904</v>
      </c>
      <c r="K21">
        <v>0.47453019999999901</v>
      </c>
      <c r="L21">
        <v>0.48844799999999999</v>
      </c>
      <c r="M21">
        <v>9.4339999999999993</v>
      </c>
    </row>
    <row r="22" spans="1:13" x14ac:dyDescent="0.35">
      <c r="A22">
        <v>63</v>
      </c>
      <c r="B22" t="s">
        <v>396</v>
      </c>
      <c r="C22">
        <v>0.17649786000000001</v>
      </c>
      <c r="D22">
        <v>7.6389390000000001E-2</v>
      </c>
      <c r="E22">
        <v>0.12371128000000001</v>
      </c>
      <c r="F22">
        <v>7.6188560000000002E-2</v>
      </c>
      <c r="G22">
        <v>0.21275295999999999</v>
      </c>
      <c r="H22">
        <v>0.16191126</v>
      </c>
      <c r="I22">
        <v>0.26985209999999998</v>
      </c>
      <c r="J22">
        <v>0.96639396</v>
      </c>
      <c r="K22">
        <v>0.40969319999999998</v>
      </c>
      <c r="L22">
        <v>0.34799610999999903</v>
      </c>
      <c r="M22">
        <v>6.9444900000000001</v>
      </c>
    </row>
    <row r="23" spans="1:13" x14ac:dyDescent="0.35">
      <c r="A23">
        <v>64</v>
      </c>
      <c r="B23" t="s">
        <v>469</v>
      </c>
      <c r="C23">
        <v>0.21758</v>
      </c>
      <c r="D23">
        <v>0.104236</v>
      </c>
      <c r="E23">
        <v>0.194964</v>
      </c>
      <c r="F23">
        <v>0.12177</v>
      </c>
      <c r="G23">
        <v>0.33973499999999901</v>
      </c>
      <c r="H23">
        <v>0.21758</v>
      </c>
      <c r="I23">
        <v>0.34534500000000001</v>
      </c>
      <c r="J23">
        <v>0.85285199999999906</v>
      </c>
      <c r="K23">
        <v>0.49308600000000002</v>
      </c>
      <c r="L23">
        <v>0.47421000000000002</v>
      </c>
      <c r="M23">
        <v>9.68</v>
      </c>
    </row>
    <row r="24" spans="1:13" x14ac:dyDescent="0.35">
      <c r="A24">
        <v>65</v>
      </c>
      <c r="B24" t="s">
        <v>398</v>
      </c>
      <c r="C24">
        <v>9.82016E-2</v>
      </c>
      <c r="D24">
        <v>2.7180800000000001E-2</v>
      </c>
      <c r="E24">
        <v>9.1757119999999998E-2</v>
      </c>
      <c r="F24">
        <v>6.6329920000000001E-2</v>
      </c>
      <c r="G24">
        <v>0.13781652</v>
      </c>
      <c r="H24">
        <v>0.113963906666666</v>
      </c>
      <c r="I24">
        <v>0.171516693333333</v>
      </c>
      <c r="J24">
        <v>0.55958471999999904</v>
      </c>
      <c r="K24">
        <v>0.201799173333333</v>
      </c>
      <c r="L24">
        <v>0.20389436</v>
      </c>
      <c r="M24">
        <v>4.7127999999999997</v>
      </c>
    </row>
    <row r="25" spans="1:13" x14ac:dyDescent="0.35">
      <c r="A25">
        <v>66</v>
      </c>
      <c r="B25" t="s">
        <v>399</v>
      </c>
      <c r="C25">
        <v>0.27505059999999998</v>
      </c>
      <c r="D25">
        <v>0.1171968</v>
      </c>
      <c r="E25">
        <v>0.15813720000000001</v>
      </c>
      <c r="F25">
        <v>0.19184000000000001</v>
      </c>
      <c r="G25">
        <v>0.25898399999999999</v>
      </c>
      <c r="H25">
        <v>0.18805769999999999</v>
      </c>
      <c r="I25">
        <v>0.30070919999999901</v>
      </c>
      <c r="J25">
        <v>0.55885390000000001</v>
      </c>
      <c r="K25">
        <v>0.43617439999999902</v>
      </c>
      <c r="L25">
        <v>0.40118539999999903</v>
      </c>
      <c r="M25">
        <v>8.1204999999999998</v>
      </c>
    </row>
    <row r="26" spans="1:13" x14ac:dyDescent="0.35">
      <c r="A26">
        <v>67</v>
      </c>
      <c r="B26" t="s">
        <v>400</v>
      </c>
      <c r="C26">
        <v>0.18820339999999999</v>
      </c>
      <c r="D26">
        <v>0.1049895</v>
      </c>
      <c r="E26">
        <v>0.18749640000000001</v>
      </c>
      <c r="F26">
        <v>0.140137499999999</v>
      </c>
      <c r="G26">
        <v>0.32546239999999999</v>
      </c>
      <c r="H26">
        <v>0.194626999999999</v>
      </c>
      <c r="I26">
        <v>0.33869339999999998</v>
      </c>
      <c r="J26">
        <v>0.67734639999999902</v>
      </c>
      <c r="K26">
        <v>0.52091759999999898</v>
      </c>
      <c r="L26">
        <v>0.42368489999999998</v>
      </c>
      <c r="M26">
        <v>8.5244</v>
      </c>
    </row>
    <row r="27" spans="1:13" x14ac:dyDescent="0.35">
      <c r="A27">
        <v>68</v>
      </c>
      <c r="B27" t="s">
        <v>401</v>
      </c>
      <c r="C27">
        <v>0.17426008000000001</v>
      </c>
      <c r="D27">
        <v>5.994352E-2</v>
      </c>
      <c r="E27">
        <v>0.16479455999999901</v>
      </c>
      <c r="F27">
        <v>9.5371199999999906E-2</v>
      </c>
      <c r="G27">
        <v>0.23920127999999899</v>
      </c>
      <c r="H27">
        <v>0.15611664</v>
      </c>
      <c r="I27">
        <v>0.24107719999999999</v>
      </c>
      <c r="J27">
        <v>0.57728215999999999</v>
      </c>
      <c r="K27">
        <v>0.37955159999999999</v>
      </c>
      <c r="L27">
        <v>0.36408600000000002</v>
      </c>
      <c r="M27">
        <v>6.3007999999999997</v>
      </c>
    </row>
    <row r="28" spans="1:13" x14ac:dyDescent="0.35">
      <c r="A28">
        <v>70</v>
      </c>
      <c r="B28" t="s">
        <v>413</v>
      </c>
      <c r="C28">
        <v>0.17666279833333301</v>
      </c>
      <c r="D28">
        <v>7.1773000000000003E-2</v>
      </c>
      <c r="E28">
        <v>0.14144802000000001</v>
      </c>
      <c r="F28">
        <v>0.13388425000000001</v>
      </c>
      <c r="G28">
        <v>0.1650779</v>
      </c>
      <c r="H28">
        <v>0.18227888222222199</v>
      </c>
      <c r="I28">
        <v>0.252487598888888</v>
      </c>
      <c r="J28">
        <v>0.46757348999999998</v>
      </c>
      <c r="K28">
        <v>0.37367968333333301</v>
      </c>
      <c r="L28">
        <v>0.30325012666666601</v>
      </c>
      <c r="M28">
        <v>6.9932666666666599</v>
      </c>
    </row>
    <row r="29" spans="1:13" x14ac:dyDescent="0.35">
      <c r="A29">
        <v>71</v>
      </c>
      <c r="B29" t="s">
        <v>373</v>
      </c>
      <c r="C29">
        <v>1.05539655</v>
      </c>
      <c r="D29">
        <v>0.18599760000000001</v>
      </c>
      <c r="E29">
        <v>0.1627479</v>
      </c>
      <c r="F29">
        <v>0.113286</v>
      </c>
      <c r="G29">
        <v>0.62566025000000003</v>
      </c>
      <c r="H29">
        <v>0.42342617500000002</v>
      </c>
      <c r="I29">
        <v>0.66302132499999999</v>
      </c>
      <c r="J29">
        <v>1.236498125</v>
      </c>
      <c r="K29">
        <v>0.88091369374999995</v>
      </c>
      <c r="L29">
        <v>0.79043598125000003</v>
      </c>
      <c r="M29">
        <v>15.859249999999999</v>
      </c>
    </row>
    <row r="30" spans="1:13" x14ac:dyDescent="0.35">
      <c r="A30">
        <v>72</v>
      </c>
      <c r="B30" t="s">
        <v>374</v>
      </c>
      <c r="C30">
        <v>0.44816501599999897</v>
      </c>
      <c r="D30">
        <v>7.8982271999999895E-2</v>
      </c>
      <c r="E30">
        <v>6.91094879999999E-2</v>
      </c>
      <c r="F30">
        <v>4.8105919999999899E-2</v>
      </c>
      <c r="G30">
        <v>0.265681213333333</v>
      </c>
      <c r="H30">
        <v>0.17980426266666599</v>
      </c>
      <c r="I30">
        <v>0.28154627066666599</v>
      </c>
      <c r="J30">
        <v>0.52506823333333297</v>
      </c>
      <c r="K30">
        <v>0.37407238033333301</v>
      </c>
      <c r="L30">
        <v>0.33565180233333303</v>
      </c>
      <c r="M30">
        <v>6.7344933333333303</v>
      </c>
    </row>
    <row r="31" spans="1:13" x14ac:dyDescent="0.35">
      <c r="A31">
        <v>73</v>
      </c>
      <c r="B31" t="s">
        <v>375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5">
      <c r="A32">
        <v>74</v>
      </c>
      <c r="B32" t="s">
        <v>376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7.8600000000000003E-2</v>
      </c>
    </row>
    <row r="33" spans="1:13" x14ac:dyDescent="0.35">
      <c r="A33">
        <v>75</v>
      </c>
      <c r="B33" t="s">
        <v>386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5">
      <c r="A34">
        <v>92</v>
      </c>
      <c r="B34" t="s">
        <v>112</v>
      </c>
      <c r="C34">
        <v>5.3214879999999999E-2</v>
      </c>
      <c r="D34">
        <v>9.2596199999999997E-3</v>
      </c>
      <c r="E34">
        <v>2.0175359999999899E-2</v>
      </c>
      <c r="F34">
        <v>5.6943000000000002E-3</v>
      </c>
      <c r="G34">
        <v>2.7684879999999999E-2</v>
      </c>
      <c r="H34">
        <v>2.0385520000000001E-2</v>
      </c>
      <c r="I34">
        <v>3.3654459999999997E-2</v>
      </c>
      <c r="J34">
        <v>7.1779999999999997E-2</v>
      </c>
      <c r="K34">
        <v>3.6114960000000002E-2</v>
      </c>
      <c r="L34">
        <v>4.4115840000000003E-2</v>
      </c>
      <c r="M34">
        <v>0.66600000000000004</v>
      </c>
    </row>
    <row r="35" spans="1:13" x14ac:dyDescent="0.35">
      <c r="A35">
        <v>93</v>
      </c>
      <c r="B35" t="s">
        <v>266</v>
      </c>
      <c r="C35">
        <v>1.66257E-2</v>
      </c>
      <c r="D35">
        <v>4.6220999999999996E-3</v>
      </c>
      <c r="E35">
        <v>6.6045000000000001E-3</v>
      </c>
      <c r="F35">
        <v>6.6412499999999996E-3</v>
      </c>
      <c r="G35">
        <v>2.0789999999999999E-2</v>
      </c>
      <c r="H35">
        <v>1.30409999999999E-2</v>
      </c>
      <c r="I35">
        <v>1.95877499999999E-2</v>
      </c>
      <c r="J35">
        <v>3.4348912500000002E-2</v>
      </c>
      <c r="K35">
        <v>2.66705249999999E-2</v>
      </c>
      <c r="L35">
        <v>2.5017299999999999E-2</v>
      </c>
      <c r="M35">
        <v>0.75495000000000001</v>
      </c>
    </row>
    <row r="36" spans="1:13" x14ac:dyDescent="0.35">
      <c r="A36">
        <v>94</v>
      </c>
      <c r="B36" t="s">
        <v>288</v>
      </c>
      <c r="C36">
        <v>5.2237119999999998E-2</v>
      </c>
      <c r="D36">
        <v>3.2579820000000002E-2</v>
      </c>
      <c r="E36">
        <v>2.37237E-2</v>
      </c>
      <c r="F36">
        <v>2.9057599999999999E-2</v>
      </c>
      <c r="G36">
        <v>7.6876799999999995E-2</v>
      </c>
      <c r="H36">
        <v>2.735928E-2</v>
      </c>
      <c r="I36">
        <v>8.0372239999999998E-2</v>
      </c>
      <c r="J36">
        <v>0.1146288</v>
      </c>
      <c r="K36">
        <v>6.8798730000000002E-2</v>
      </c>
      <c r="L36">
        <v>8.7317099999999995E-2</v>
      </c>
      <c r="M36">
        <v>2.4569999999999999</v>
      </c>
    </row>
    <row r="37" spans="1:13" x14ac:dyDescent="0.35">
      <c r="A37">
        <v>101</v>
      </c>
      <c r="B37" t="s">
        <v>10</v>
      </c>
      <c r="C37">
        <v>0.26891599999999999</v>
      </c>
      <c r="D37">
        <v>9.7564999999999999E-2</v>
      </c>
      <c r="E37">
        <v>0.19513</v>
      </c>
      <c r="F37">
        <v>0.13663839999999999</v>
      </c>
      <c r="G37">
        <v>0.23579919999999999</v>
      </c>
      <c r="H37">
        <v>0.1761305</v>
      </c>
      <c r="I37">
        <v>0.3117972</v>
      </c>
      <c r="J37">
        <v>0.60076339999999995</v>
      </c>
      <c r="K37">
        <v>0.40226800000000001</v>
      </c>
      <c r="L37">
        <v>0.45001559999999902</v>
      </c>
      <c r="M37">
        <v>6.9599000000000002</v>
      </c>
    </row>
    <row r="38" spans="1:13" x14ac:dyDescent="0.35">
      <c r="A38">
        <v>102</v>
      </c>
      <c r="B38" t="s">
        <v>14</v>
      </c>
      <c r="C38">
        <v>0.26891599999999999</v>
      </c>
      <c r="D38">
        <v>9.7564999999999999E-2</v>
      </c>
      <c r="E38">
        <v>0.19513</v>
      </c>
      <c r="F38">
        <v>0.13663839999999999</v>
      </c>
      <c r="G38">
        <v>0.23579919999999999</v>
      </c>
      <c r="H38">
        <v>0.1761305</v>
      </c>
      <c r="I38">
        <v>0.3117972</v>
      </c>
      <c r="J38">
        <v>0.60076339999999995</v>
      </c>
      <c r="K38">
        <v>0.40226800000000001</v>
      </c>
      <c r="L38">
        <v>0.45001559999999902</v>
      </c>
      <c r="M38">
        <v>6.9599000000000002</v>
      </c>
    </row>
    <row r="39" spans="1:13" x14ac:dyDescent="0.35">
      <c r="A39">
        <v>103</v>
      </c>
      <c r="B39" t="s">
        <v>15</v>
      </c>
      <c r="C39">
        <v>0.245088</v>
      </c>
      <c r="D39">
        <v>7.7329999999999996E-2</v>
      </c>
      <c r="E39">
        <v>0.13428039999999999</v>
      </c>
      <c r="F39">
        <v>0.118437</v>
      </c>
      <c r="G39">
        <v>0.21346780000000001</v>
      </c>
      <c r="H39">
        <v>0.16703280000000001</v>
      </c>
      <c r="I39">
        <v>0.24644959999999999</v>
      </c>
      <c r="J39">
        <v>0.55995799999999996</v>
      </c>
      <c r="K39">
        <v>0.33220080000000002</v>
      </c>
      <c r="L39">
        <v>0.35164800000000002</v>
      </c>
      <c r="M39">
        <v>6.5194000000000001</v>
      </c>
    </row>
    <row r="40" spans="1:13" x14ac:dyDescent="0.35">
      <c r="A40">
        <v>104</v>
      </c>
      <c r="B40" t="s">
        <v>18</v>
      </c>
      <c r="C40">
        <v>0.21665999999999999</v>
      </c>
      <c r="D40">
        <v>7.8375E-2</v>
      </c>
      <c r="E40">
        <v>0.129</v>
      </c>
      <c r="F40">
        <v>9.7485000000000002E-2</v>
      </c>
      <c r="G40">
        <v>0.206797499999999</v>
      </c>
      <c r="H40">
        <v>0.15666749999999899</v>
      </c>
      <c r="I40">
        <v>0.25391999999999998</v>
      </c>
      <c r="J40">
        <v>0.54637499999999894</v>
      </c>
      <c r="K40">
        <v>0.34378500000000001</v>
      </c>
      <c r="L40">
        <v>0.35442000000000001</v>
      </c>
      <c r="M40">
        <v>6.6074999999999999</v>
      </c>
    </row>
    <row r="41" spans="1:13" x14ac:dyDescent="0.35">
      <c r="A41">
        <v>105</v>
      </c>
      <c r="B41" t="s">
        <v>21</v>
      </c>
      <c r="C41">
        <v>0.21665999999999999</v>
      </c>
      <c r="D41">
        <v>7.8375E-2</v>
      </c>
      <c r="E41">
        <v>0.129</v>
      </c>
      <c r="F41">
        <v>9.7485000000000002E-2</v>
      </c>
      <c r="G41">
        <v>0.206797499999999</v>
      </c>
      <c r="H41">
        <v>0.15666749999999899</v>
      </c>
      <c r="I41">
        <v>0.25391999999999998</v>
      </c>
      <c r="J41">
        <v>0.54637499999999894</v>
      </c>
      <c r="K41">
        <v>0.34378500000000001</v>
      </c>
      <c r="L41">
        <v>0.35442000000000001</v>
      </c>
      <c r="M41">
        <v>6.6074999999999999</v>
      </c>
    </row>
    <row r="42" spans="1:13" x14ac:dyDescent="0.35">
      <c r="A42">
        <v>106</v>
      </c>
      <c r="B42" t="s">
        <v>22</v>
      </c>
      <c r="C42">
        <v>0.26891599999999999</v>
      </c>
      <c r="D42">
        <v>9.7564999999999999E-2</v>
      </c>
      <c r="E42">
        <v>0.176644</v>
      </c>
      <c r="F42">
        <v>0.14099919999999999</v>
      </c>
      <c r="G42">
        <v>0.23579919999999899</v>
      </c>
      <c r="H42">
        <v>0.19161449999999999</v>
      </c>
      <c r="I42">
        <v>0.3117972</v>
      </c>
      <c r="J42">
        <v>0.60076339999999995</v>
      </c>
      <c r="K42">
        <v>0.36415839999999999</v>
      </c>
      <c r="L42">
        <v>0.42129119999999998</v>
      </c>
      <c r="M42">
        <v>6.9599000000000002</v>
      </c>
    </row>
    <row r="43" spans="1:13" x14ac:dyDescent="0.35">
      <c r="A43">
        <v>107</v>
      </c>
      <c r="B43" t="s">
        <v>23</v>
      </c>
      <c r="C43">
        <v>0.221327999999999</v>
      </c>
      <c r="D43">
        <v>9.4339999999999993E-2</v>
      </c>
      <c r="E43">
        <v>0.16885800000000001</v>
      </c>
      <c r="F43">
        <v>0.2041984</v>
      </c>
      <c r="G43">
        <v>0.23519279999999901</v>
      </c>
      <c r="H43">
        <v>0.24693760000000001</v>
      </c>
      <c r="I43">
        <v>0.36061199999999899</v>
      </c>
      <c r="J43">
        <v>0.59129979999999904</v>
      </c>
      <c r="K43">
        <v>0.47453019999999901</v>
      </c>
      <c r="L43">
        <v>0.48844799999999999</v>
      </c>
      <c r="M43">
        <v>9.4339999999999993</v>
      </c>
    </row>
    <row r="44" spans="1:13" x14ac:dyDescent="0.35">
      <c r="A44">
        <v>108</v>
      </c>
      <c r="B44" t="s">
        <v>26</v>
      </c>
      <c r="C44">
        <v>0.221327999999999</v>
      </c>
      <c r="D44">
        <v>9.4339999999999993E-2</v>
      </c>
      <c r="E44">
        <v>0.16885800000000001</v>
      </c>
      <c r="F44">
        <v>0.2041984</v>
      </c>
      <c r="G44">
        <v>0.23519279999999901</v>
      </c>
      <c r="H44">
        <v>0.24693760000000001</v>
      </c>
      <c r="I44">
        <v>0.36061199999999899</v>
      </c>
      <c r="J44">
        <v>0.59129979999999904</v>
      </c>
      <c r="K44">
        <v>0.47453019999999901</v>
      </c>
      <c r="L44">
        <v>0.48844799999999999</v>
      </c>
      <c r="M44">
        <v>9.4339999999999993</v>
      </c>
    </row>
    <row r="45" spans="1:13" x14ac:dyDescent="0.35">
      <c r="A45">
        <v>110</v>
      </c>
      <c r="B45" t="s">
        <v>27</v>
      </c>
      <c r="C45">
        <v>0.17690400000000001</v>
      </c>
      <c r="D45">
        <v>9.5180799999999996E-2</v>
      </c>
      <c r="E45">
        <v>0.16383120000000001</v>
      </c>
      <c r="F45">
        <v>0.2119936</v>
      </c>
      <c r="G45">
        <v>0.2227056</v>
      </c>
      <c r="H45">
        <v>0.18251999999999999</v>
      </c>
      <c r="I45">
        <v>0.29526639999999998</v>
      </c>
      <c r="J45">
        <v>0.58219200000000004</v>
      </c>
      <c r="K45">
        <v>0.40600560000000002</v>
      </c>
      <c r="L45">
        <v>0.35865439999999998</v>
      </c>
      <c r="M45">
        <v>9.1519999999999992</v>
      </c>
    </row>
    <row r="46" spans="1:13" x14ac:dyDescent="0.35">
      <c r="A46">
        <v>111</v>
      </c>
      <c r="B46" t="s">
        <v>30</v>
      </c>
      <c r="C46">
        <v>0.24795</v>
      </c>
      <c r="D46">
        <v>0.1055184</v>
      </c>
      <c r="E46">
        <v>0.161082</v>
      </c>
      <c r="F46">
        <v>0.1754916</v>
      </c>
      <c r="G46">
        <v>0.26568839999999899</v>
      </c>
      <c r="H46">
        <v>0.24690119999999999</v>
      </c>
      <c r="I46">
        <v>0.35191800000000001</v>
      </c>
      <c r="J46">
        <v>0.69609540000000003</v>
      </c>
      <c r="K46">
        <v>0.48396419999999901</v>
      </c>
      <c r="L46">
        <v>0.45862199999999997</v>
      </c>
      <c r="M46">
        <v>10.146000000000001</v>
      </c>
    </row>
    <row r="47" spans="1:13" x14ac:dyDescent="0.35">
      <c r="A47">
        <v>112</v>
      </c>
      <c r="B47" t="s">
        <v>33</v>
      </c>
      <c r="C47">
        <v>0.15443369999999901</v>
      </c>
      <c r="D47">
        <v>9.23731E-2</v>
      </c>
      <c r="E47">
        <v>0.102140999999999</v>
      </c>
      <c r="F47">
        <v>0.15265859999999901</v>
      </c>
      <c r="G47">
        <v>0.18852919999999901</v>
      </c>
      <c r="H47">
        <v>0.14388009999999901</v>
      </c>
      <c r="I47">
        <v>0.12745799999999899</v>
      </c>
      <c r="J47">
        <v>0.49696009999999902</v>
      </c>
      <c r="K47">
        <v>0.42819679999999899</v>
      </c>
      <c r="L47">
        <v>0.32388299999999998</v>
      </c>
      <c r="M47">
        <v>8.6329999999999991</v>
      </c>
    </row>
    <row r="48" spans="1:13" x14ac:dyDescent="0.35">
      <c r="A48">
        <v>114</v>
      </c>
      <c r="B48" t="s">
        <v>38</v>
      </c>
      <c r="C48">
        <v>0.221327999999999</v>
      </c>
      <c r="D48">
        <v>9.4339999999999993E-2</v>
      </c>
      <c r="E48">
        <v>0.16885800000000001</v>
      </c>
      <c r="F48">
        <v>0.2041984</v>
      </c>
      <c r="G48">
        <v>0.23519279999999901</v>
      </c>
      <c r="H48">
        <v>0.24693760000000001</v>
      </c>
      <c r="I48">
        <v>0.36061199999999899</v>
      </c>
      <c r="J48">
        <v>0.59129979999999904</v>
      </c>
      <c r="K48">
        <v>0.47453019999999901</v>
      </c>
      <c r="L48">
        <v>0.48844799999999999</v>
      </c>
      <c r="M48">
        <v>9.4339999999999993</v>
      </c>
    </row>
    <row r="49" spans="1:13" x14ac:dyDescent="0.35">
      <c r="A49">
        <v>115</v>
      </c>
      <c r="B49" t="s">
        <v>39</v>
      </c>
      <c r="C49">
        <v>0.17649786000000001</v>
      </c>
      <c r="D49">
        <v>7.6389390000000001E-2</v>
      </c>
      <c r="E49">
        <v>0.12371128000000001</v>
      </c>
      <c r="F49">
        <v>7.6188560000000002E-2</v>
      </c>
      <c r="G49">
        <v>0.21275295999999999</v>
      </c>
      <c r="H49">
        <v>0.16191126</v>
      </c>
      <c r="I49">
        <v>0.26985209999999998</v>
      </c>
      <c r="J49">
        <v>0.96639396</v>
      </c>
      <c r="K49">
        <v>0.40969319999999998</v>
      </c>
      <c r="L49">
        <v>0.34799610999999903</v>
      </c>
      <c r="M49">
        <v>6.9444900000000001</v>
      </c>
    </row>
    <row r="50" spans="1:13" x14ac:dyDescent="0.35">
      <c r="A50">
        <v>116</v>
      </c>
      <c r="B50" t="s">
        <v>471</v>
      </c>
      <c r="C50">
        <v>0.21758</v>
      </c>
      <c r="D50">
        <v>0.104236</v>
      </c>
      <c r="E50">
        <v>0.194964</v>
      </c>
      <c r="F50">
        <v>0.12177</v>
      </c>
      <c r="G50">
        <v>0.33973499999999901</v>
      </c>
      <c r="H50">
        <v>0.21758</v>
      </c>
      <c r="I50">
        <v>0.34534500000000001</v>
      </c>
      <c r="J50">
        <v>0.85285199999999906</v>
      </c>
      <c r="K50">
        <v>0.49308600000000002</v>
      </c>
      <c r="L50">
        <v>0.47421000000000002</v>
      </c>
      <c r="M50">
        <v>9.68</v>
      </c>
    </row>
    <row r="51" spans="1:13" x14ac:dyDescent="0.35">
      <c r="A51">
        <v>117</v>
      </c>
      <c r="B51" t="s">
        <v>45</v>
      </c>
      <c r="C51">
        <v>9.82016E-2</v>
      </c>
      <c r="D51">
        <v>2.7180800000000001E-2</v>
      </c>
      <c r="E51">
        <v>9.1757119999999998E-2</v>
      </c>
      <c r="F51">
        <v>6.6329920000000001E-2</v>
      </c>
      <c r="G51">
        <v>0.13781652</v>
      </c>
      <c r="H51">
        <v>0.113963906666666</v>
      </c>
      <c r="I51">
        <v>0.171516693333333</v>
      </c>
      <c r="J51">
        <v>0.55958471999999904</v>
      </c>
      <c r="K51">
        <v>0.201799173333333</v>
      </c>
      <c r="L51">
        <v>0.20389436</v>
      </c>
      <c r="M51">
        <v>4.7127999999999997</v>
      </c>
    </row>
    <row r="52" spans="1:13" x14ac:dyDescent="0.35">
      <c r="A52">
        <v>118</v>
      </c>
      <c r="B52" t="s">
        <v>48</v>
      </c>
      <c r="C52">
        <v>0.27505059999999998</v>
      </c>
      <c r="D52">
        <v>0.1171968</v>
      </c>
      <c r="E52">
        <v>0.15813720000000001</v>
      </c>
      <c r="F52">
        <v>0.19184000000000001</v>
      </c>
      <c r="G52">
        <v>0.25898399999999999</v>
      </c>
      <c r="H52">
        <v>0.18805769999999999</v>
      </c>
      <c r="I52">
        <v>0.30070919999999901</v>
      </c>
      <c r="J52">
        <v>0.55885390000000001</v>
      </c>
      <c r="K52">
        <v>0.43617439999999902</v>
      </c>
      <c r="L52">
        <v>0.40118539999999903</v>
      </c>
      <c r="M52">
        <v>8.1204999999999998</v>
      </c>
    </row>
    <row r="53" spans="1:13" x14ac:dyDescent="0.35">
      <c r="A53">
        <v>120</v>
      </c>
      <c r="B53" t="s">
        <v>51</v>
      </c>
      <c r="C53">
        <v>0.18820339999999999</v>
      </c>
      <c r="D53">
        <v>0.1049895</v>
      </c>
      <c r="E53">
        <v>0.18749640000000001</v>
      </c>
      <c r="F53">
        <v>0.140137499999999</v>
      </c>
      <c r="G53">
        <v>0.32546239999999999</v>
      </c>
      <c r="H53">
        <v>0.194626999999999</v>
      </c>
      <c r="I53">
        <v>0.33869339999999998</v>
      </c>
      <c r="J53">
        <v>0.67734639999999902</v>
      </c>
      <c r="K53">
        <v>0.52091759999999898</v>
      </c>
      <c r="L53">
        <v>0.42368489999999998</v>
      </c>
      <c r="M53">
        <v>8.5244</v>
      </c>
    </row>
    <row r="54" spans="1:13" x14ac:dyDescent="0.35">
      <c r="A54">
        <v>121</v>
      </c>
      <c r="B54" t="s">
        <v>54</v>
      </c>
      <c r="C54">
        <v>0.17426008000000001</v>
      </c>
      <c r="D54">
        <v>5.994352E-2</v>
      </c>
      <c r="E54">
        <v>0.16479455999999901</v>
      </c>
      <c r="F54">
        <v>9.5371199999999906E-2</v>
      </c>
      <c r="G54">
        <v>0.23920127999999899</v>
      </c>
      <c r="H54">
        <v>0.15611664</v>
      </c>
      <c r="I54">
        <v>0.24107719999999999</v>
      </c>
      <c r="J54">
        <v>0.57728215999999999</v>
      </c>
      <c r="K54">
        <v>0.37955159999999999</v>
      </c>
      <c r="L54">
        <v>0.36408600000000002</v>
      </c>
      <c r="M54">
        <v>6.3007999999999997</v>
      </c>
    </row>
    <row r="55" spans="1:13" x14ac:dyDescent="0.35">
      <c r="A55">
        <v>122</v>
      </c>
      <c r="B55" t="s">
        <v>57</v>
      </c>
      <c r="C55">
        <v>0.23230789999999901</v>
      </c>
      <c r="D55">
        <v>9.4379999999999895E-2</v>
      </c>
      <c r="E55">
        <v>0.18600120000000001</v>
      </c>
      <c r="F55">
        <v>0.17605499999999999</v>
      </c>
      <c r="G55">
        <v>0.21707399999999999</v>
      </c>
      <c r="H55">
        <v>0.239692933333333</v>
      </c>
      <c r="I55">
        <v>0.33201593333333301</v>
      </c>
      <c r="J55">
        <v>0.61484939999999999</v>
      </c>
      <c r="K55">
        <v>0.49138100000000001</v>
      </c>
      <c r="L55">
        <v>0.3987676</v>
      </c>
      <c r="M55">
        <v>9.1959999999999997</v>
      </c>
    </row>
    <row r="56" spans="1:13" x14ac:dyDescent="0.35">
      <c r="A56">
        <v>139</v>
      </c>
      <c r="B56" t="s">
        <v>60</v>
      </c>
      <c r="C56">
        <v>1.951232E-2</v>
      </c>
      <c r="D56">
        <v>6.0563999999999896E-3</v>
      </c>
      <c r="E56">
        <v>6.7568000000000003E-3</v>
      </c>
      <c r="F56">
        <v>1.1272320000000001E-2</v>
      </c>
      <c r="G56">
        <v>3.5534999999999997E-2</v>
      </c>
      <c r="H56">
        <v>1.573428E-2</v>
      </c>
      <c r="I56">
        <v>6.9298399999999901E-3</v>
      </c>
      <c r="J56">
        <v>5.8014749999999997E-2</v>
      </c>
      <c r="K56">
        <v>3.3781940000000003E-2</v>
      </c>
      <c r="L56">
        <v>3.5975840000000002E-2</v>
      </c>
      <c r="M56">
        <v>0.46040999999999999</v>
      </c>
    </row>
    <row r="57" spans="1:13" x14ac:dyDescent="0.35">
      <c r="A57">
        <v>140</v>
      </c>
      <c r="B57" t="s">
        <v>63</v>
      </c>
      <c r="C57">
        <v>1.0773963200000001</v>
      </c>
      <c r="D57">
        <v>0.13311648000000001</v>
      </c>
      <c r="E57">
        <v>0.14272524</v>
      </c>
      <c r="F57">
        <v>0.10424463</v>
      </c>
      <c r="G57">
        <v>0.55886179999999996</v>
      </c>
      <c r="H57">
        <v>0.54651883999999995</v>
      </c>
      <c r="I57">
        <v>0.57738491999999997</v>
      </c>
      <c r="J57">
        <v>1.1537238999999999</v>
      </c>
      <c r="K57">
        <v>1.49602404</v>
      </c>
      <c r="L57">
        <v>0.73470557999999997</v>
      </c>
      <c r="M57">
        <v>17.4251</v>
      </c>
    </row>
    <row r="58" spans="1:13" x14ac:dyDescent="0.35">
      <c r="A58">
        <v>141</v>
      </c>
      <c r="B58" t="s">
        <v>66</v>
      </c>
      <c r="C58">
        <v>1.057069</v>
      </c>
      <c r="D58">
        <v>0.2024784</v>
      </c>
      <c r="E58">
        <v>0.18204480000000001</v>
      </c>
      <c r="F58">
        <v>0.129490199999999</v>
      </c>
      <c r="G58">
        <v>0.55031399999999997</v>
      </c>
      <c r="H58">
        <v>0.40953845</v>
      </c>
      <c r="I58">
        <v>0.71089749999999996</v>
      </c>
      <c r="J58">
        <v>1.1736635</v>
      </c>
      <c r="K58">
        <v>1.01015385</v>
      </c>
      <c r="L58">
        <v>0.67973755000000002</v>
      </c>
      <c r="M58">
        <v>17.264500000000002</v>
      </c>
    </row>
    <row r="59" spans="1:13" x14ac:dyDescent="0.35">
      <c r="A59">
        <v>142</v>
      </c>
      <c r="B59" t="s">
        <v>69</v>
      </c>
      <c r="C59">
        <v>1.0000848</v>
      </c>
      <c r="D59">
        <v>0.15431039999999999</v>
      </c>
      <c r="E59">
        <v>0.16486848000000001</v>
      </c>
      <c r="F59">
        <v>0.17119092</v>
      </c>
      <c r="G59">
        <v>0.52724599999999999</v>
      </c>
      <c r="H59">
        <v>0.37608835999999901</v>
      </c>
      <c r="I59">
        <v>0.63478575999999998</v>
      </c>
      <c r="J59">
        <v>10.99048</v>
      </c>
      <c r="K59">
        <v>0.92620455999999995</v>
      </c>
      <c r="L59">
        <v>0.66558392</v>
      </c>
      <c r="M59">
        <v>15.096399999999999</v>
      </c>
    </row>
    <row r="60" spans="1:13" x14ac:dyDescent="0.35">
      <c r="A60">
        <v>143</v>
      </c>
      <c r="B60" t="s">
        <v>72</v>
      </c>
      <c r="C60">
        <v>1.17804959999999</v>
      </c>
      <c r="D60">
        <v>0.226506239999999</v>
      </c>
      <c r="E60">
        <v>0.18416159999999901</v>
      </c>
      <c r="F60">
        <v>7.1527919999999995E-2</v>
      </c>
      <c r="G60">
        <v>0.61582079999999995</v>
      </c>
      <c r="H60">
        <v>0.47150519999999901</v>
      </c>
      <c r="I60">
        <v>0.73461871999999995</v>
      </c>
      <c r="J60">
        <v>1.4479120000000001</v>
      </c>
      <c r="K60">
        <v>1.1320208</v>
      </c>
      <c r="L60">
        <v>0.93434055999999999</v>
      </c>
      <c r="M60">
        <v>18.6296</v>
      </c>
    </row>
    <row r="61" spans="1:13" x14ac:dyDescent="0.35">
      <c r="A61">
        <v>144</v>
      </c>
      <c r="B61" t="s">
        <v>76</v>
      </c>
      <c r="C61">
        <v>1.2386838</v>
      </c>
      <c r="D61">
        <v>0.15171476</v>
      </c>
      <c r="E61">
        <v>0.18328491999999999</v>
      </c>
      <c r="F61">
        <v>0.16300319999999999</v>
      </c>
      <c r="G61">
        <v>0.63170766</v>
      </c>
      <c r="H61">
        <v>0.40282400000000002</v>
      </c>
      <c r="I61">
        <v>0.77805924000000004</v>
      </c>
      <c r="J61">
        <v>1.45620876</v>
      </c>
      <c r="K61">
        <v>0.97785526</v>
      </c>
      <c r="L61">
        <v>0.95929491</v>
      </c>
      <c r="M61">
        <v>22.90476</v>
      </c>
    </row>
    <row r="62" spans="1:13" x14ac:dyDescent="0.35">
      <c r="A62">
        <v>145</v>
      </c>
      <c r="B62" t="s">
        <v>79</v>
      </c>
      <c r="C62">
        <v>1.1388780000000001</v>
      </c>
      <c r="D62">
        <v>0.39851999999999999</v>
      </c>
      <c r="E62">
        <v>0.210924</v>
      </c>
      <c r="F62">
        <v>8.7115499999999998E-2</v>
      </c>
      <c r="G62">
        <v>0.52080749999999998</v>
      </c>
      <c r="H62">
        <v>0.49224712500000001</v>
      </c>
      <c r="I62">
        <v>0.62755424999999998</v>
      </c>
      <c r="J62">
        <v>1.3784512499999999</v>
      </c>
      <c r="K62">
        <v>1.02526425</v>
      </c>
      <c r="L62">
        <v>0.75831300000000001</v>
      </c>
      <c r="M62">
        <v>18.067499999999999</v>
      </c>
    </row>
    <row r="63" spans="1:13" x14ac:dyDescent="0.35">
      <c r="A63">
        <v>146</v>
      </c>
      <c r="B63" t="s">
        <v>82</v>
      </c>
      <c r="C63">
        <v>1.1996488000000001</v>
      </c>
      <c r="D63">
        <v>0.12744340000000001</v>
      </c>
      <c r="E63">
        <v>0.110432</v>
      </c>
      <c r="F63">
        <v>0.11985119999999901</v>
      </c>
      <c r="G63">
        <v>0.56312200000000001</v>
      </c>
      <c r="H63">
        <v>0.3990168</v>
      </c>
      <c r="I63">
        <v>0.62063190000000001</v>
      </c>
      <c r="J63">
        <v>1.140048</v>
      </c>
      <c r="K63">
        <v>0.77302400000000004</v>
      </c>
      <c r="L63">
        <v>0.7299677</v>
      </c>
      <c r="M63">
        <v>16.239999999999998</v>
      </c>
    </row>
    <row r="64" spans="1:13" x14ac:dyDescent="0.35">
      <c r="A64">
        <v>147</v>
      </c>
      <c r="B64" t="s">
        <v>85</v>
      </c>
      <c r="M64">
        <v>22.644600000000001</v>
      </c>
    </row>
    <row r="65" spans="1:13" x14ac:dyDescent="0.35">
      <c r="A65">
        <v>148</v>
      </c>
      <c r="B65" t="s">
        <v>88</v>
      </c>
      <c r="C65">
        <v>1.05539655</v>
      </c>
      <c r="D65">
        <v>0.18599760000000001</v>
      </c>
      <c r="E65">
        <v>0.1627479</v>
      </c>
      <c r="F65">
        <v>0.113286</v>
      </c>
      <c r="G65">
        <v>0.62566025000000003</v>
      </c>
      <c r="H65">
        <v>0.42342617500000002</v>
      </c>
      <c r="I65">
        <v>0.66302132499999999</v>
      </c>
      <c r="J65">
        <v>1.236498125</v>
      </c>
      <c r="K65">
        <v>0.88091369374999995</v>
      </c>
      <c r="L65">
        <v>0.79043598125000003</v>
      </c>
      <c r="M65">
        <v>15.859249999999999</v>
      </c>
    </row>
    <row r="66" spans="1:13" x14ac:dyDescent="0.35">
      <c r="A66">
        <v>150</v>
      </c>
      <c r="B66" t="s">
        <v>372</v>
      </c>
      <c r="C66">
        <v>1.057069</v>
      </c>
      <c r="D66">
        <v>0.2024784</v>
      </c>
      <c r="E66">
        <v>0.18204480000000001</v>
      </c>
      <c r="F66">
        <v>0.129490199999999</v>
      </c>
      <c r="G66">
        <v>0.55031399999999997</v>
      </c>
      <c r="H66">
        <v>0.40953845</v>
      </c>
      <c r="I66">
        <v>0.71089749999999996</v>
      </c>
      <c r="J66">
        <v>1.1736635</v>
      </c>
      <c r="K66">
        <v>1.01015385</v>
      </c>
      <c r="L66">
        <v>0.67973755000000002</v>
      </c>
      <c r="M66">
        <v>17.264500000000002</v>
      </c>
    </row>
    <row r="67" spans="1:13" x14ac:dyDescent="0.35">
      <c r="A67">
        <v>152</v>
      </c>
      <c r="B67" t="s">
        <v>91</v>
      </c>
      <c r="C67">
        <v>1.07546286823529</v>
      </c>
      <c r="D67">
        <v>0.206001690352941</v>
      </c>
      <c r="E67">
        <v>0.18521252894117601</v>
      </c>
      <c r="F67">
        <v>0.13174343576470501</v>
      </c>
      <c r="G67">
        <v>0.55988991529411702</v>
      </c>
      <c r="H67">
        <v>0.41666475517647</v>
      </c>
      <c r="I67">
        <v>0.72326769999999896</v>
      </c>
      <c r="J67">
        <v>1.1940862082352901</v>
      </c>
      <c r="K67">
        <v>1.02773135611764</v>
      </c>
      <c r="L67">
        <v>0.69156554129411596</v>
      </c>
      <c r="M67">
        <v>17.564916470588201</v>
      </c>
    </row>
    <row r="68" spans="1:13" x14ac:dyDescent="0.35">
      <c r="A68">
        <v>158</v>
      </c>
      <c r="B68" t="s">
        <v>403</v>
      </c>
      <c r="C68">
        <v>0.97102849999999996</v>
      </c>
      <c r="D68">
        <v>0.18599760000000001</v>
      </c>
      <c r="E68">
        <v>0.16722719999999999</v>
      </c>
      <c r="F68">
        <v>0.11895029999999999</v>
      </c>
      <c r="G68">
        <v>0.505521</v>
      </c>
      <c r="H68">
        <v>0.37620392499999999</v>
      </c>
      <c r="I68">
        <v>0.65303374999999997</v>
      </c>
      <c r="J68">
        <v>1.07813275</v>
      </c>
      <c r="K68">
        <v>0.92793202500000005</v>
      </c>
      <c r="L68">
        <v>0.62441007500000001</v>
      </c>
      <c r="M68">
        <v>15.859249999999999</v>
      </c>
    </row>
    <row r="69" spans="1:13" x14ac:dyDescent="0.35">
      <c r="A69">
        <v>160</v>
      </c>
      <c r="B69" t="s">
        <v>93</v>
      </c>
      <c r="C69">
        <v>0.27803135999999901</v>
      </c>
      <c r="D69">
        <v>4.2577599999999903E-2</v>
      </c>
      <c r="E69">
        <v>8.6906879999999895E-2</v>
      </c>
      <c r="F69">
        <v>3.9099999999999899E-2</v>
      </c>
      <c r="G69">
        <v>0.1463904</v>
      </c>
      <c r="H69">
        <v>7.1951359999999895E-2</v>
      </c>
      <c r="I69">
        <v>0.169684799999999</v>
      </c>
      <c r="J69">
        <v>0.34365679999999998</v>
      </c>
      <c r="K69">
        <v>0.152064959999999</v>
      </c>
      <c r="L69">
        <v>0.18977024000000001</v>
      </c>
      <c r="M69">
        <v>3.2383999999999999</v>
      </c>
    </row>
    <row r="70" spans="1:13" x14ac:dyDescent="0.35">
      <c r="A70">
        <v>162</v>
      </c>
      <c r="B70" t="s">
        <v>96</v>
      </c>
      <c r="C70">
        <v>1.9492415999999999</v>
      </c>
      <c r="D70">
        <v>0.29850599999999999</v>
      </c>
      <c r="E70">
        <v>0.60929279999999997</v>
      </c>
      <c r="F70">
        <v>0.27412500000000001</v>
      </c>
      <c r="G70">
        <v>1.026324</v>
      </c>
      <c r="H70">
        <v>0.50444159999999905</v>
      </c>
      <c r="I70">
        <v>1.18963799999999</v>
      </c>
      <c r="J70">
        <v>2.40933299999999</v>
      </c>
      <c r="K70">
        <v>1.0661075999999901</v>
      </c>
      <c r="L70">
        <v>1.3304544</v>
      </c>
      <c r="M70">
        <v>22.704000000000001</v>
      </c>
    </row>
    <row r="71" spans="1:13" x14ac:dyDescent="0.35">
      <c r="A71">
        <v>163</v>
      </c>
      <c r="B71" t="s">
        <v>99</v>
      </c>
      <c r="C71">
        <v>0.24220799999999901</v>
      </c>
      <c r="D71">
        <v>3.5243999999999998E-2</v>
      </c>
      <c r="E71">
        <v>6.9695999999999994E-2</v>
      </c>
      <c r="F71">
        <v>1.50449999999999E-2</v>
      </c>
      <c r="G71">
        <v>0.1215</v>
      </c>
      <c r="H71">
        <v>8.2907999999999898E-2</v>
      </c>
      <c r="I71">
        <v>0.139373999999999</v>
      </c>
      <c r="J71">
        <v>0.28784999999999999</v>
      </c>
      <c r="K71">
        <v>0.15131999999999901</v>
      </c>
      <c r="L71">
        <v>0.17793599999999901</v>
      </c>
      <c r="M71">
        <v>2.64</v>
      </c>
    </row>
    <row r="72" spans="1:13" x14ac:dyDescent="0.35">
      <c r="A72">
        <v>164</v>
      </c>
      <c r="B72" t="s">
        <v>103</v>
      </c>
    </row>
    <row r="73" spans="1:13" x14ac:dyDescent="0.35">
      <c r="A73">
        <v>165</v>
      </c>
      <c r="B73" t="s">
        <v>472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35">
      <c r="A74">
        <v>166</v>
      </c>
      <c r="B74" t="s">
        <v>109</v>
      </c>
      <c r="C74">
        <v>0.212255999999999</v>
      </c>
      <c r="D74">
        <v>0.14124299999999901</v>
      </c>
      <c r="E74">
        <v>6.6528000000000004E-2</v>
      </c>
      <c r="F74">
        <v>2.1165E-2</v>
      </c>
      <c r="G74">
        <v>0.11259</v>
      </c>
      <c r="H74">
        <v>7.0902857142857101E-2</v>
      </c>
      <c r="I74">
        <v>0.145414285714285</v>
      </c>
      <c r="J74">
        <v>0.257314285714285</v>
      </c>
      <c r="K74">
        <v>0.13053428571428499</v>
      </c>
      <c r="L74">
        <v>0.16367999999999999</v>
      </c>
      <c r="M74">
        <v>2.64</v>
      </c>
    </row>
    <row r="75" spans="1:13" x14ac:dyDescent="0.35">
      <c r="A75">
        <v>167</v>
      </c>
      <c r="B75" t="s">
        <v>112</v>
      </c>
      <c r="C75">
        <v>4.1132160000000001E-2</v>
      </c>
      <c r="D75">
        <v>7.1787399999999899E-3</v>
      </c>
      <c r="E75">
        <v>1.49184E-2</v>
      </c>
      <c r="F75">
        <v>4.5916999999999998E-3</v>
      </c>
      <c r="G75">
        <v>2.997E-2</v>
      </c>
      <c r="H75">
        <v>1.2207779999999901E-2</v>
      </c>
      <c r="I75">
        <v>3.1288679999999902E-2</v>
      </c>
      <c r="J75">
        <v>7.0651500000000006E-2</v>
      </c>
      <c r="K75">
        <v>3.6464239999999898E-2</v>
      </c>
      <c r="L75">
        <v>3.8355680000000003E-2</v>
      </c>
      <c r="M75">
        <v>0.6512</v>
      </c>
    </row>
    <row r="76" spans="1:13" x14ac:dyDescent="0.35">
      <c r="A76">
        <v>170</v>
      </c>
      <c r="B76" t="s">
        <v>113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35">
      <c r="A77">
        <v>171</v>
      </c>
      <c r="B77" t="s">
        <v>116</v>
      </c>
      <c r="C77">
        <v>1.3649999999999999E-3</v>
      </c>
      <c r="D77" s="43">
        <v>2.419E-4</v>
      </c>
      <c r="E77" s="43">
        <v>2.4399999999999999E-4</v>
      </c>
      <c r="F77" s="43">
        <v>1.144E-4</v>
      </c>
      <c r="G77" s="43">
        <v>9.3619999999999999E-4</v>
      </c>
      <c r="H77">
        <v>1.0004E-3</v>
      </c>
      <c r="I77">
        <v>1.3393000000000001E-3</v>
      </c>
      <c r="J77">
        <v>1.7523E-3</v>
      </c>
      <c r="K77">
        <v>2.5064000000000002E-3</v>
      </c>
      <c r="L77">
        <v>1.449E-3</v>
      </c>
      <c r="M77">
        <v>7.8600000000000003E-2</v>
      </c>
    </row>
    <row r="78" spans="1:13" x14ac:dyDescent="0.35">
      <c r="A78">
        <v>172</v>
      </c>
      <c r="B78" t="s">
        <v>119</v>
      </c>
      <c r="C78">
        <v>2.5252500000000001E-2</v>
      </c>
      <c r="D78">
        <v>4.4751499999999998E-3</v>
      </c>
      <c r="E78">
        <v>4.5139999999999998E-3</v>
      </c>
      <c r="F78">
        <v>2.1164000000000001E-3</v>
      </c>
      <c r="G78">
        <v>1.73197E-2</v>
      </c>
      <c r="H78">
        <v>1.85074E-2</v>
      </c>
      <c r="I78">
        <v>2.4777049999999998E-2</v>
      </c>
      <c r="J78">
        <v>3.2417550000000003E-2</v>
      </c>
      <c r="K78">
        <v>4.6368399999999997E-2</v>
      </c>
      <c r="L78">
        <v>2.68065E-2</v>
      </c>
      <c r="M78">
        <v>1.4540999999999999</v>
      </c>
    </row>
    <row r="79" spans="1:13" x14ac:dyDescent="0.35">
      <c r="A79">
        <v>173</v>
      </c>
      <c r="B79" t="s">
        <v>120</v>
      </c>
      <c r="C79">
        <v>2.5935E-2</v>
      </c>
      <c r="D79">
        <v>4.5960999999999997E-3</v>
      </c>
      <c r="E79">
        <v>5.0995999999999897E-3</v>
      </c>
      <c r="F79">
        <v>2.04819999999999E-3</v>
      </c>
      <c r="G79">
        <v>1.28402E-2</v>
      </c>
      <c r="H79">
        <v>1.9007599999999899E-2</v>
      </c>
      <c r="I79">
        <v>2.5446699999999999E-2</v>
      </c>
      <c r="J79">
        <v>3.3293699999999898E-2</v>
      </c>
      <c r="K79">
        <v>4.76216E-2</v>
      </c>
      <c r="L79">
        <v>2.7530999999999899E-2</v>
      </c>
      <c r="M79">
        <v>1.4934000000000001</v>
      </c>
    </row>
    <row r="80" spans="1:13" x14ac:dyDescent="0.35">
      <c r="A80">
        <v>174</v>
      </c>
      <c r="B80" t="s">
        <v>123</v>
      </c>
      <c r="C80">
        <v>0.1044225</v>
      </c>
      <c r="D80">
        <v>1.85053499999999E-2</v>
      </c>
      <c r="E80">
        <v>2.0532600000000002E-2</v>
      </c>
      <c r="F80">
        <v>8.2466999999999992E-3</v>
      </c>
      <c r="G80">
        <v>5.16987E-2</v>
      </c>
      <c r="H80">
        <v>7.6530599999999893E-2</v>
      </c>
      <c r="I80">
        <v>0.10245645</v>
      </c>
      <c r="J80">
        <v>0.13405095</v>
      </c>
      <c r="K80">
        <v>0.19173960000000001</v>
      </c>
      <c r="L80">
        <v>0.1108485</v>
      </c>
      <c r="M80">
        <v>6.0129000000000001</v>
      </c>
    </row>
    <row r="81" spans="1:13" x14ac:dyDescent="0.35">
      <c r="A81">
        <v>175</v>
      </c>
      <c r="B81" t="s">
        <v>125</v>
      </c>
      <c r="C81">
        <v>4.0049999999999999E-3</v>
      </c>
      <c r="D81">
        <v>1.6359E-3</v>
      </c>
      <c r="E81" s="43">
        <v>6.0389999999999999E-4</v>
      </c>
      <c r="F81" s="43">
        <v>6.6E-4</v>
      </c>
      <c r="G81">
        <v>1.2369E-3</v>
      </c>
      <c r="H81" s="43">
        <v>6.0389999999999999E-4</v>
      </c>
      <c r="I81">
        <v>4.7790000000000003E-3</v>
      </c>
      <c r="J81">
        <v>5.8941000000000002E-3</v>
      </c>
      <c r="K81">
        <v>5.7251999999999997E-3</v>
      </c>
      <c r="L81">
        <v>3.7799999999999999E-3</v>
      </c>
      <c r="M81">
        <v>0.23580000000000001</v>
      </c>
    </row>
    <row r="82" spans="1:13" x14ac:dyDescent="0.35">
      <c r="A82">
        <v>178</v>
      </c>
      <c r="B82" t="s">
        <v>404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35">
      <c r="A83">
        <v>180</v>
      </c>
      <c r="B83" t="s">
        <v>128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35">
      <c r="A84">
        <v>181</v>
      </c>
      <c r="B84" t="s">
        <v>131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35">
      <c r="A85">
        <v>182</v>
      </c>
      <c r="B85" t="s">
        <v>134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35">
      <c r="A86">
        <v>183</v>
      </c>
      <c r="B86" t="s">
        <v>137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35">
      <c r="A87">
        <v>184</v>
      </c>
      <c r="B87" t="s">
        <v>140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35">
      <c r="A88">
        <v>185</v>
      </c>
      <c r="B88" t="s">
        <v>143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35">
      <c r="A89">
        <v>188</v>
      </c>
      <c r="B89" t="s">
        <v>402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35">
      <c r="A90">
        <v>190</v>
      </c>
      <c r="B90" t="s">
        <v>144</v>
      </c>
      <c r="C90">
        <v>1.001889</v>
      </c>
      <c r="D90">
        <v>0.17974950000000001</v>
      </c>
      <c r="E90">
        <v>0.74182079999999995</v>
      </c>
      <c r="F90">
        <v>1.0393417999999901</v>
      </c>
      <c r="G90">
        <v>0.71673699999999996</v>
      </c>
      <c r="H90">
        <v>0.46383750000000001</v>
      </c>
      <c r="I90">
        <v>0.23733849999999901</v>
      </c>
      <c r="J90">
        <v>0.88817400000000002</v>
      </c>
      <c r="K90">
        <v>0.69435309999999995</v>
      </c>
      <c r="L90">
        <v>0.61924800000000002</v>
      </c>
      <c r="M90">
        <v>11.8902</v>
      </c>
    </row>
    <row r="91" spans="1:13" x14ac:dyDescent="0.35">
      <c r="A91">
        <v>191</v>
      </c>
      <c r="B91" t="s">
        <v>147</v>
      </c>
      <c r="C91">
        <v>1.1732880000000001</v>
      </c>
      <c r="D91">
        <v>0.18431900000000001</v>
      </c>
      <c r="E91">
        <v>0.60961500000000002</v>
      </c>
      <c r="F91">
        <v>0.72059399999999996</v>
      </c>
      <c r="G91">
        <v>0.85477199999999998</v>
      </c>
      <c r="H91">
        <v>0.62161159999999904</v>
      </c>
      <c r="I91">
        <v>0.80257140000000005</v>
      </c>
      <c r="J91">
        <v>1.3487872000000001</v>
      </c>
      <c r="K91">
        <v>0.89322799999999902</v>
      </c>
      <c r="L91">
        <v>0.9306352</v>
      </c>
      <c r="M91">
        <v>16.91</v>
      </c>
    </row>
    <row r="92" spans="1:13" x14ac:dyDescent="0.35">
      <c r="A92">
        <v>192</v>
      </c>
      <c r="B92" t="s">
        <v>150</v>
      </c>
      <c r="C92">
        <v>1.6888523519999901</v>
      </c>
      <c r="D92">
        <v>0.30835200000000001</v>
      </c>
      <c r="E92">
        <v>1.1083142399999999</v>
      </c>
      <c r="F92">
        <v>1.5777146879999999</v>
      </c>
      <c r="G92">
        <v>0.98417087999999997</v>
      </c>
      <c r="H92">
        <v>1.04409254399999</v>
      </c>
      <c r="I92">
        <v>0.71117164799999899</v>
      </c>
      <c r="J92">
        <v>1.4113285119999901</v>
      </c>
      <c r="K92">
        <v>1.4927256959999999</v>
      </c>
      <c r="L92">
        <v>0.92483564799999896</v>
      </c>
      <c r="M92">
        <v>21.12</v>
      </c>
    </row>
    <row r="93" spans="1:13" x14ac:dyDescent="0.35">
      <c r="A93">
        <v>193</v>
      </c>
      <c r="B93" t="s">
        <v>153</v>
      </c>
      <c r="C93">
        <v>1.7190508499999999</v>
      </c>
      <c r="D93">
        <v>0.27359640000000002</v>
      </c>
      <c r="E93">
        <v>1.1264912999999901</v>
      </c>
      <c r="F93">
        <v>1.6553893499999901</v>
      </c>
      <c r="G93">
        <v>1.0679904</v>
      </c>
      <c r="H93">
        <v>1.0715929500000001</v>
      </c>
      <c r="I93">
        <v>0.76749119999999904</v>
      </c>
      <c r="J93">
        <v>1.3867350000000001</v>
      </c>
      <c r="K93">
        <v>1.4901232499999999</v>
      </c>
      <c r="L93">
        <v>1.0294409999999901</v>
      </c>
      <c r="M93">
        <v>20.705849999999899</v>
      </c>
    </row>
    <row r="94" spans="1:13" x14ac:dyDescent="0.35">
      <c r="A94">
        <v>194</v>
      </c>
      <c r="B94" t="s">
        <v>156</v>
      </c>
      <c r="C94">
        <v>1.4824095879999999</v>
      </c>
      <c r="D94">
        <v>0.25303899999999901</v>
      </c>
      <c r="E94">
        <v>1.0373306099999999</v>
      </c>
      <c r="F94">
        <v>1.37102071199999</v>
      </c>
      <c r="G94">
        <v>0.79569314099999899</v>
      </c>
      <c r="H94">
        <v>0.82466518299999902</v>
      </c>
      <c r="I94">
        <v>0.73577276699999905</v>
      </c>
      <c r="J94">
        <v>1.0703537386666599</v>
      </c>
      <c r="K94">
        <v>1.2652793463333301</v>
      </c>
      <c r="L94">
        <v>0.820626409666666</v>
      </c>
      <c r="M94">
        <v>18.47</v>
      </c>
    </row>
    <row r="95" spans="1:13" x14ac:dyDescent="0.35">
      <c r="A95">
        <v>195</v>
      </c>
      <c r="B95" t="s">
        <v>159</v>
      </c>
      <c r="C95">
        <v>1.14422559999999</v>
      </c>
      <c r="D95">
        <v>0.49366519999999903</v>
      </c>
      <c r="E95">
        <v>0.99576946</v>
      </c>
      <c r="F95">
        <v>1.21976113</v>
      </c>
      <c r="G95">
        <v>0.87708775000000005</v>
      </c>
      <c r="H95">
        <v>0.62459609333333299</v>
      </c>
      <c r="I95">
        <v>0.48614400333333302</v>
      </c>
      <c r="J95">
        <v>1.2778770666666599</v>
      </c>
      <c r="K95">
        <v>1.16795137666666</v>
      </c>
      <c r="L95">
        <v>0.76704320000000004</v>
      </c>
      <c r="M95">
        <v>17.492229999999999</v>
      </c>
    </row>
    <row r="96" spans="1:13" x14ac:dyDescent="0.35">
      <c r="A96">
        <v>196</v>
      </c>
      <c r="B96" t="s">
        <v>162</v>
      </c>
      <c r="C96">
        <v>0.72194149999999901</v>
      </c>
      <c r="D96">
        <v>0.105153999999999</v>
      </c>
      <c r="E96">
        <v>0.38598525</v>
      </c>
      <c r="F96">
        <v>0.35923125</v>
      </c>
      <c r="G96">
        <v>0.41408675</v>
      </c>
      <c r="H96">
        <v>0.29399999999999998</v>
      </c>
      <c r="I96">
        <v>0.37374750000000001</v>
      </c>
      <c r="J96">
        <v>0.68436666666666601</v>
      </c>
      <c r="K96">
        <v>0.52299333333333298</v>
      </c>
      <c r="L96">
        <v>0.44161250000000002</v>
      </c>
      <c r="M96">
        <v>9.3712499999999999</v>
      </c>
    </row>
    <row r="97" spans="1:13" x14ac:dyDescent="0.35">
      <c r="A97">
        <v>200</v>
      </c>
      <c r="B97" t="s">
        <v>165</v>
      </c>
      <c r="C97">
        <v>0.10268748</v>
      </c>
      <c r="D97">
        <v>1.6681080000000001E-2</v>
      </c>
      <c r="E97">
        <v>1.9351440000000001E-2</v>
      </c>
      <c r="F97">
        <v>1.149642E-2</v>
      </c>
      <c r="G97">
        <v>6.6813910000000004E-2</v>
      </c>
      <c r="H97">
        <v>2.3709560000000001E-2</v>
      </c>
      <c r="I97">
        <v>5.7534120000000001E-2</v>
      </c>
      <c r="J97">
        <v>0.1176519</v>
      </c>
      <c r="K97">
        <v>7.865424E-2</v>
      </c>
      <c r="L97">
        <v>7.1406119999999906E-2</v>
      </c>
      <c r="M97">
        <v>1.6761999999999999</v>
      </c>
    </row>
    <row r="98" spans="1:13" x14ac:dyDescent="0.35">
      <c r="A98">
        <v>201</v>
      </c>
      <c r="B98" t="s">
        <v>168</v>
      </c>
      <c r="C98">
        <v>3.1912650000000001E-2</v>
      </c>
      <c r="D98">
        <v>8.4083999999999999E-3</v>
      </c>
      <c r="E98">
        <v>1.41173999999999E-2</v>
      </c>
      <c r="F98">
        <v>9.50894999999999E-3</v>
      </c>
      <c r="G98">
        <v>2.87859E-2</v>
      </c>
      <c r="H98">
        <v>1.5199799999999999E-2</v>
      </c>
      <c r="I98">
        <v>2.7673799999999998E-2</v>
      </c>
      <c r="J98">
        <v>4.0254224999999998E-2</v>
      </c>
      <c r="K98">
        <v>3.1877999999999997E-2</v>
      </c>
      <c r="L98">
        <v>3.1963800000000001E-2</v>
      </c>
      <c r="M98">
        <v>0.95699999999999896</v>
      </c>
    </row>
    <row r="99" spans="1:13" x14ac:dyDescent="0.35">
      <c r="A99">
        <v>202</v>
      </c>
      <c r="B99" t="s">
        <v>171</v>
      </c>
      <c r="C99">
        <v>1.17461599999999E-2</v>
      </c>
      <c r="D99">
        <v>4.9617400000000001E-3</v>
      </c>
      <c r="E99">
        <v>4.1151399999999998E-3</v>
      </c>
      <c r="F99">
        <v>3.8993399999999998E-3</v>
      </c>
      <c r="G99">
        <v>1.29977999999999E-2</v>
      </c>
      <c r="H99">
        <v>8.2966800000000007E-3</v>
      </c>
      <c r="I99">
        <v>1.44669E-2</v>
      </c>
      <c r="J99">
        <v>2.6194385000000001E-2</v>
      </c>
      <c r="K99">
        <v>2.71476399999999E-2</v>
      </c>
      <c r="L99">
        <v>1.6434000000000001E-2</v>
      </c>
      <c r="M99">
        <v>0.39756999999999998</v>
      </c>
    </row>
    <row r="100" spans="1:13" x14ac:dyDescent="0.35">
      <c r="A100">
        <v>203</v>
      </c>
      <c r="B100" t="s">
        <v>174</v>
      </c>
      <c r="C100">
        <v>3.9905459999999997E-2</v>
      </c>
      <c r="D100">
        <v>6.4443599999999997E-3</v>
      </c>
      <c r="E100">
        <v>7.8733799999999993E-3</v>
      </c>
      <c r="F100">
        <v>5.4621000000000001E-3</v>
      </c>
      <c r="G100">
        <v>2.8465649999999999E-2</v>
      </c>
      <c r="H100">
        <v>1.8695376E-2</v>
      </c>
      <c r="I100">
        <v>3.0707712000000002E-2</v>
      </c>
      <c r="J100">
        <v>5.2049682E-2</v>
      </c>
      <c r="K100">
        <v>4.0132512000000002E-2</v>
      </c>
      <c r="L100">
        <v>4.6002815999999898E-2</v>
      </c>
      <c r="M100">
        <v>0.88739999999999997</v>
      </c>
    </row>
    <row r="101" spans="1:13" x14ac:dyDescent="0.35">
      <c r="A101">
        <v>204</v>
      </c>
      <c r="B101" t="s">
        <v>177</v>
      </c>
      <c r="C101">
        <v>1.465002E-2</v>
      </c>
      <c r="D101">
        <v>2.08208E-3</v>
      </c>
      <c r="E101">
        <v>3.6759800000000001E-3</v>
      </c>
      <c r="F101">
        <v>3.3379500000000001E-3</v>
      </c>
      <c r="G101">
        <v>1.892891E-2</v>
      </c>
      <c r="H101">
        <v>7.67536E-3</v>
      </c>
      <c r="I101">
        <v>1.435896E-2</v>
      </c>
      <c r="J101">
        <v>2.7894019999999999E-2</v>
      </c>
      <c r="K101">
        <v>1.4057119999999999E-2</v>
      </c>
      <c r="L101">
        <v>2.4875620000000001E-2</v>
      </c>
      <c r="M101">
        <v>0.4466</v>
      </c>
    </row>
    <row r="102" spans="1:13" x14ac:dyDescent="0.35">
      <c r="A102">
        <v>205</v>
      </c>
      <c r="B102" t="s">
        <v>180</v>
      </c>
      <c r="C102">
        <v>6.7157999999999897E-3</v>
      </c>
      <c r="D102">
        <v>2.8932799999999998E-3</v>
      </c>
      <c r="E102">
        <v>2.7081599999999998E-3</v>
      </c>
      <c r="F102">
        <v>2.2276799999999901E-3</v>
      </c>
      <c r="G102">
        <v>1.107028E-2</v>
      </c>
      <c r="H102">
        <v>3.9603199999999998E-3</v>
      </c>
      <c r="I102">
        <v>9.6095999999999994E-3</v>
      </c>
      <c r="J102">
        <v>1.37753199999999E-2</v>
      </c>
      <c r="K102">
        <v>7.3527999999999996E-3</v>
      </c>
      <c r="L102">
        <v>1.3647400000000001E-2</v>
      </c>
      <c r="M102">
        <v>0.30159999999999998</v>
      </c>
    </row>
    <row r="103" spans="1:13" x14ac:dyDescent="0.35">
      <c r="A103">
        <v>206</v>
      </c>
      <c r="B103" t="s">
        <v>183</v>
      </c>
      <c r="C103">
        <v>6.1916400000000003E-2</v>
      </c>
      <c r="D103">
        <v>1.67076E-2</v>
      </c>
      <c r="E103">
        <v>1.7316600000000001E-2</v>
      </c>
      <c r="F103">
        <v>8.9963999999999999E-3</v>
      </c>
      <c r="G103">
        <v>6.0206999999999997E-2</v>
      </c>
      <c r="H103">
        <v>2.5636800000000001E-2</v>
      </c>
      <c r="I103">
        <v>5.0685599999999997E-2</v>
      </c>
      <c r="J103">
        <v>0.107793</v>
      </c>
      <c r="K103">
        <v>6.32688E-2</v>
      </c>
      <c r="L103">
        <v>6.5528400000000001E-2</v>
      </c>
      <c r="M103">
        <v>1.218</v>
      </c>
    </row>
    <row r="104" spans="1:13" x14ac:dyDescent="0.35">
      <c r="A104">
        <v>207</v>
      </c>
      <c r="B104" t="s">
        <v>186</v>
      </c>
      <c r="C104">
        <v>5.3578349999999997E-2</v>
      </c>
      <c r="D104">
        <v>9.0869999999999996E-3</v>
      </c>
      <c r="E104">
        <v>1.603506E-2</v>
      </c>
      <c r="F104">
        <v>1.6755030000000001E-2</v>
      </c>
      <c r="G104">
        <v>5.3014489999999997E-2</v>
      </c>
      <c r="H104">
        <v>2.26165333333333E-2</v>
      </c>
      <c r="I104">
        <v>4.0144346666666601E-2</v>
      </c>
      <c r="J104">
        <v>6.8505883333333295E-2</v>
      </c>
      <c r="K104">
        <v>5.8194080000000002E-2</v>
      </c>
      <c r="L104">
        <v>5.4821793333333299E-2</v>
      </c>
      <c r="M104">
        <v>1.3513999999999999</v>
      </c>
    </row>
    <row r="105" spans="1:13" x14ac:dyDescent="0.35">
      <c r="A105">
        <v>208</v>
      </c>
      <c r="B105" t="s">
        <v>189</v>
      </c>
      <c r="C105">
        <v>5.0141699999999997E-2</v>
      </c>
      <c r="D105">
        <v>5.3508000000000002E-3</v>
      </c>
      <c r="E105">
        <v>1.05462E-2</v>
      </c>
      <c r="F105">
        <v>6.1047000000000002E-3</v>
      </c>
      <c r="G105">
        <v>4.8037499999999997E-2</v>
      </c>
      <c r="H105">
        <v>2.84592E-2</v>
      </c>
      <c r="I105">
        <v>3.8337599999999999E-2</v>
      </c>
      <c r="J105">
        <v>6.2445599999999997E-2</v>
      </c>
      <c r="K105">
        <v>4.0454400000000001E-2</v>
      </c>
      <c r="L105">
        <v>5.4322799999999997E-2</v>
      </c>
      <c r="M105">
        <v>1.218</v>
      </c>
    </row>
    <row r="106" spans="1:13" x14ac:dyDescent="0.35">
      <c r="A106">
        <v>210</v>
      </c>
      <c r="B106" t="s">
        <v>192</v>
      </c>
      <c r="C106">
        <v>5.1949799999999997E-2</v>
      </c>
      <c r="D106">
        <v>4.2951999999999903E-3</v>
      </c>
      <c r="E106">
        <v>1.1544399999999899E-2</v>
      </c>
      <c r="F106">
        <v>6.1403999999999903E-3</v>
      </c>
      <c r="G106">
        <v>3.2622799999999903E-2</v>
      </c>
      <c r="H106">
        <v>1.372E-2</v>
      </c>
      <c r="I106">
        <v>3.4574399999999998E-2</v>
      </c>
      <c r="J106">
        <v>5.9637199999999897E-2</v>
      </c>
      <c r="K106">
        <v>3.0262399999999998E-2</v>
      </c>
      <c r="L106">
        <v>4.8313999999999899E-2</v>
      </c>
      <c r="M106">
        <v>0.81199999999999894</v>
      </c>
    </row>
    <row r="107" spans="1:13" x14ac:dyDescent="0.35">
      <c r="A107">
        <v>211</v>
      </c>
      <c r="B107" t="s">
        <v>195</v>
      </c>
      <c r="C107">
        <v>5.7241800000000002E-2</v>
      </c>
      <c r="D107">
        <v>1.2126400000000001E-2</v>
      </c>
      <c r="E107">
        <v>1.3776399999999999E-2</v>
      </c>
      <c r="F107">
        <v>6.2832000000000001E-3</v>
      </c>
      <c r="G107">
        <v>5.3948400000000001E-2</v>
      </c>
      <c r="H107">
        <v>2.2176000000000001E-2</v>
      </c>
      <c r="I107">
        <v>4.7308799999999998E-2</v>
      </c>
      <c r="J107">
        <v>7.8009800000000004E-2</v>
      </c>
      <c r="K107">
        <v>4.78016E-2</v>
      </c>
      <c r="L107">
        <v>7.4135599999999996E-2</v>
      </c>
      <c r="M107">
        <v>1.276</v>
      </c>
    </row>
    <row r="108" spans="1:13" x14ac:dyDescent="0.35">
      <c r="A108">
        <v>212</v>
      </c>
      <c r="B108" t="s">
        <v>198</v>
      </c>
      <c r="C108">
        <v>2.7518399999999998E-2</v>
      </c>
      <c r="D108">
        <v>6.7703999999999898E-3</v>
      </c>
      <c r="E108">
        <v>6.5967999999999903E-3</v>
      </c>
      <c r="F108">
        <v>6.4259999999999899E-3</v>
      </c>
      <c r="G108">
        <v>3.2110399999999997E-2</v>
      </c>
      <c r="H108">
        <v>1.2230400000000001E-2</v>
      </c>
      <c r="I108">
        <v>2.7910399999999998E-2</v>
      </c>
      <c r="J108">
        <v>4.3860599999999902E-2</v>
      </c>
      <c r="K108">
        <v>2.0070399999999999E-2</v>
      </c>
      <c r="L108">
        <v>3.92196E-2</v>
      </c>
      <c r="M108">
        <v>0.81199999999999894</v>
      </c>
    </row>
    <row r="109" spans="1:13" x14ac:dyDescent="0.35">
      <c r="A109">
        <v>213</v>
      </c>
      <c r="B109" t="s">
        <v>201</v>
      </c>
      <c r="C109">
        <v>1.6934399999999999E-2</v>
      </c>
      <c r="D109">
        <v>3.3633600000000001E-3</v>
      </c>
      <c r="E109">
        <v>5.3642400000000002E-3</v>
      </c>
      <c r="F109">
        <v>2.9131199999999999E-3</v>
      </c>
      <c r="G109">
        <v>1.9727399999999999E-2</v>
      </c>
      <c r="H109">
        <v>7.9027200000000002E-3</v>
      </c>
      <c r="I109">
        <v>2.3519999999999999E-2</v>
      </c>
      <c r="J109">
        <v>2.63659199999999E-2</v>
      </c>
      <c r="K109">
        <v>2.3096640000000002E-2</v>
      </c>
      <c r="L109">
        <v>2.94755999999999E-2</v>
      </c>
      <c r="M109">
        <v>0.48719999999999902</v>
      </c>
    </row>
    <row r="110" spans="1:13" x14ac:dyDescent="0.35">
      <c r="A110">
        <v>214</v>
      </c>
      <c r="B110" t="s">
        <v>82</v>
      </c>
      <c r="C110">
        <v>0.33590700000000001</v>
      </c>
      <c r="D110">
        <v>4.2020999999999899E-2</v>
      </c>
      <c r="E110">
        <v>3.4713000000000001E-2</v>
      </c>
      <c r="F110">
        <v>3.3408E-2</v>
      </c>
      <c r="G110">
        <v>0.218892</v>
      </c>
      <c r="H110">
        <v>0.12625875</v>
      </c>
      <c r="I110">
        <v>0.18589725000000001</v>
      </c>
      <c r="J110">
        <v>0.42594474999999998</v>
      </c>
      <c r="K110">
        <v>0.27660199999999902</v>
      </c>
      <c r="L110">
        <v>0.22693949999999999</v>
      </c>
      <c r="M110">
        <v>5.6550000000000002</v>
      </c>
    </row>
    <row r="111" spans="1:13" x14ac:dyDescent="0.35">
      <c r="A111">
        <v>215</v>
      </c>
      <c r="B111" t="s">
        <v>206</v>
      </c>
      <c r="C111">
        <v>9.2289599999999999E-2</v>
      </c>
      <c r="D111">
        <v>1.38080799999999E-2</v>
      </c>
      <c r="E111">
        <v>1.7635799999999899E-2</v>
      </c>
      <c r="F111">
        <v>9.4477499999999996E-3</v>
      </c>
      <c r="G111">
        <v>7.8048359999999997E-2</v>
      </c>
      <c r="H111">
        <v>5.2316225000000001E-2</v>
      </c>
      <c r="I111">
        <v>7.2850439999999905E-2</v>
      </c>
      <c r="J111">
        <v>0.131494999999999</v>
      </c>
      <c r="K111">
        <v>7.6669319999999902E-2</v>
      </c>
      <c r="L111">
        <v>0.10167767999999899</v>
      </c>
      <c r="M111">
        <v>1.768</v>
      </c>
    </row>
    <row r="112" spans="1:13" x14ac:dyDescent="0.35">
      <c r="A112">
        <v>216</v>
      </c>
      <c r="B112" t="s">
        <v>209</v>
      </c>
      <c r="C112">
        <v>1.6021199999999999E-2</v>
      </c>
      <c r="D112">
        <v>1.4220000000000001E-3</v>
      </c>
      <c r="E112">
        <v>3.7399999999999998E-3</v>
      </c>
      <c r="F112">
        <v>3.9424000000000004E-3</v>
      </c>
      <c r="G112">
        <v>5.2728000000000002E-3</v>
      </c>
      <c r="H112">
        <v>6.6067999999999899E-3</v>
      </c>
      <c r="I112">
        <v>8.9216E-3</v>
      </c>
      <c r="J112">
        <v>8.4671999999999994E-3</v>
      </c>
      <c r="K112">
        <v>1.2036E-2</v>
      </c>
      <c r="L112">
        <v>9.3959999999999998E-3</v>
      </c>
      <c r="M112">
        <v>0.37440000000000001</v>
      </c>
    </row>
    <row r="113" spans="1:13" x14ac:dyDescent="0.35">
      <c r="A113">
        <v>217</v>
      </c>
      <c r="B113" t="s">
        <v>212</v>
      </c>
      <c r="C113">
        <v>4.0887E-2</v>
      </c>
      <c r="D113">
        <v>4.9701600000000004E-3</v>
      </c>
      <c r="E113">
        <v>8.2670799999999996E-3</v>
      </c>
      <c r="F113">
        <v>4.8143999999999999E-3</v>
      </c>
      <c r="G113">
        <v>2.8432099999999998E-2</v>
      </c>
      <c r="H113">
        <v>1.410808E-2</v>
      </c>
      <c r="I113">
        <v>2.6387946666666599E-2</v>
      </c>
      <c r="J113">
        <v>4.6436539999999998E-2</v>
      </c>
      <c r="K113">
        <v>2.5033306666666599E-2</v>
      </c>
      <c r="L113">
        <v>3.6022253333333303E-2</v>
      </c>
      <c r="M113">
        <v>0.68439999999999901</v>
      </c>
    </row>
    <row r="114" spans="1:13" x14ac:dyDescent="0.35">
      <c r="A114">
        <v>220</v>
      </c>
      <c r="B114" t="s">
        <v>215</v>
      </c>
      <c r="C114">
        <v>4.4956499999999899E-2</v>
      </c>
      <c r="D114">
        <v>1.022868E-2</v>
      </c>
      <c r="E114">
        <v>1.179816E-2</v>
      </c>
      <c r="F114">
        <v>5.8191299999999996E-3</v>
      </c>
      <c r="G114">
        <v>4.1754809999999899E-2</v>
      </c>
      <c r="H114">
        <v>6.2600849999999902E-2</v>
      </c>
      <c r="I114">
        <v>3.8578949999999897E-2</v>
      </c>
      <c r="J114">
        <v>8.8069229999999998E-2</v>
      </c>
      <c r="K114">
        <v>4.6326720000000002E-2</v>
      </c>
      <c r="L114">
        <v>6.3252749999999996E-2</v>
      </c>
      <c r="M114">
        <v>0.97416000000000003</v>
      </c>
    </row>
    <row r="115" spans="1:13" x14ac:dyDescent="0.35">
      <c r="A115">
        <v>221</v>
      </c>
      <c r="B115" t="s">
        <v>218</v>
      </c>
      <c r="C115">
        <v>5.1991200000000001E-2</v>
      </c>
      <c r="D115">
        <v>1.0378800000000001E-2</v>
      </c>
      <c r="E115">
        <v>1.0789200000000001E-2</v>
      </c>
      <c r="F115">
        <v>7.4250000000000002E-3</v>
      </c>
      <c r="G115">
        <v>7.0469999999999894E-2</v>
      </c>
      <c r="H115">
        <v>3.0366899999999999E-2</v>
      </c>
      <c r="I115">
        <v>6.5961000000000006E-2</v>
      </c>
      <c r="J115">
        <v>0.12958919999999999</v>
      </c>
      <c r="K115">
        <v>8.9710200000000004E-2</v>
      </c>
      <c r="L115">
        <v>9.2307600000000004E-2</v>
      </c>
      <c r="M115">
        <v>1.9413</v>
      </c>
    </row>
    <row r="116" spans="1:13" x14ac:dyDescent="0.35">
      <c r="A116">
        <v>222</v>
      </c>
      <c r="B116" t="s">
        <v>221</v>
      </c>
      <c r="C116">
        <v>7.2731999999999901E-3</v>
      </c>
      <c r="D116">
        <v>4.2407999999999899E-3</v>
      </c>
      <c r="E116">
        <v>3.81839999999999E-3</v>
      </c>
      <c r="F116">
        <v>2.673E-3</v>
      </c>
      <c r="G116">
        <v>1.602E-2</v>
      </c>
      <c r="H116">
        <v>1.06398E-2</v>
      </c>
      <c r="I116">
        <v>1.4342999999999899E-2</v>
      </c>
      <c r="J116">
        <v>1.2716099999999999E-2</v>
      </c>
      <c r="K116">
        <v>1.16993999999999E-2</v>
      </c>
      <c r="L116">
        <v>1.40184E-2</v>
      </c>
      <c r="M116">
        <v>0.43139999999999901</v>
      </c>
    </row>
    <row r="117" spans="1:13" x14ac:dyDescent="0.35">
      <c r="A117">
        <v>223</v>
      </c>
      <c r="B117" t="s">
        <v>224</v>
      </c>
      <c r="C117">
        <v>1.1686999999999999E-2</v>
      </c>
      <c r="D117">
        <v>3.3790000000000001E-3</v>
      </c>
      <c r="E117">
        <v>3.9220000000000001E-3</v>
      </c>
      <c r="F117">
        <v>6.1324999999999999E-3</v>
      </c>
      <c r="G117">
        <v>9.0299999999999998E-3</v>
      </c>
      <c r="H117">
        <v>4.7264999999999998E-3</v>
      </c>
      <c r="I117">
        <v>9.1349999999999903E-3</v>
      </c>
      <c r="J117">
        <v>1.40935E-2</v>
      </c>
      <c r="K117">
        <v>9.5829999999999908E-3</v>
      </c>
      <c r="L117">
        <v>1.3431E-2</v>
      </c>
      <c r="M117">
        <v>0.35949999999999999</v>
      </c>
    </row>
    <row r="118" spans="1:13" x14ac:dyDescent="0.35">
      <c r="A118">
        <v>224</v>
      </c>
      <c r="B118" t="s">
        <v>227</v>
      </c>
      <c r="C118">
        <v>0.27152568999999999</v>
      </c>
      <c r="D118">
        <v>3.8222069999999997E-2</v>
      </c>
      <c r="E118">
        <v>9.8270775000000005E-2</v>
      </c>
      <c r="F118">
        <v>0.10085862499999999</v>
      </c>
      <c r="G118">
        <v>0.17413346999999901</v>
      </c>
      <c r="H118">
        <v>0.108766349999999</v>
      </c>
      <c r="I118">
        <v>0.17284063999999999</v>
      </c>
      <c r="J118">
        <v>0.39681412999999999</v>
      </c>
      <c r="K118">
        <v>0.30176995499999998</v>
      </c>
      <c r="L118">
        <v>0.26053845999999897</v>
      </c>
      <c r="M118">
        <v>3.9420000000000002</v>
      </c>
    </row>
    <row r="119" spans="1:13" x14ac:dyDescent="0.35">
      <c r="A119">
        <v>225</v>
      </c>
      <c r="B119" t="s">
        <v>230</v>
      </c>
      <c r="C119">
        <v>0.13379952000000001</v>
      </c>
      <c r="D119">
        <v>3.8509199999999903E-2</v>
      </c>
      <c r="E119">
        <v>7.2276569999999998E-2</v>
      </c>
      <c r="F119">
        <v>4.4101469999999997E-2</v>
      </c>
      <c r="G119">
        <v>9.5959500000000003E-2</v>
      </c>
      <c r="H119">
        <v>6.32015999999999E-2</v>
      </c>
      <c r="I119">
        <v>0.13019104000000001</v>
      </c>
      <c r="J119">
        <v>0.212383709999999</v>
      </c>
      <c r="K119">
        <v>0.13650416999999901</v>
      </c>
      <c r="L119">
        <v>0.164382679999999</v>
      </c>
      <c r="M119">
        <v>2.052</v>
      </c>
    </row>
    <row r="120" spans="1:13" x14ac:dyDescent="0.35">
      <c r="A120">
        <v>226</v>
      </c>
      <c r="B120" t="s">
        <v>233</v>
      </c>
      <c r="C120">
        <v>1.9980999999999999E-2</v>
      </c>
      <c r="D120">
        <v>6.4479999999999997E-3</v>
      </c>
      <c r="E120">
        <v>8.9466000000000007E-3</v>
      </c>
      <c r="F120">
        <v>7.0784999999999997E-3</v>
      </c>
      <c r="G120">
        <v>2.6988000000000002E-2</v>
      </c>
      <c r="H120">
        <v>1.7401799999999999E-2</v>
      </c>
      <c r="I120">
        <v>3.6490999999999899E-2</v>
      </c>
      <c r="J120">
        <v>5.8979700000000003E-2</v>
      </c>
      <c r="K120">
        <v>1.3900900000000001E-2</v>
      </c>
      <c r="L120">
        <v>2.8442700000000001E-2</v>
      </c>
      <c r="M120">
        <v>0.93469999999999998</v>
      </c>
    </row>
    <row r="121" spans="1:13" x14ac:dyDescent="0.35">
      <c r="A121">
        <v>227</v>
      </c>
      <c r="B121" t="s">
        <v>236</v>
      </c>
      <c r="C121">
        <v>6.5860160000000001E-2</v>
      </c>
      <c r="D121">
        <v>1.9847440000000001E-2</v>
      </c>
      <c r="E121">
        <v>2.190104E-2</v>
      </c>
      <c r="F121">
        <v>2.0430299999999998E-2</v>
      </c>
      <c r="G121">
        <v>6.7949999999999997E-2</v>
      </c>
      <c r="H121">
        <v>3.8758679999999997E-2</v>
      </c>
      <c r="I121">
        <v>6.9127799999999906E-2</v>
      </c>
      <c r="J121">
        <v>0.12543569999999901</v>
      </c>
      <c r="K121">
        <v>0.103694719999999</v>
      </c>
      <c r="L121">
        <v>7.5741600000000006E-2</v>
      </c>
      <c r="M121">
        <v>2.1713800000000001</v>
      </c>
    </row>
    <row r="122" spans="1:13" x14ac:dyDescent="0.35">
      <c r="A122">
        <v>228</v>
      </c>
      <c r="B122" t="s">
        <v>239</v>
      </c>
      <c r="C122">
        <v>1.5282550000000001E-2</v>
      </c>
      <c r="D122">
        <v>2.9411699999999999E-3</v>
      </c>
      <c r="E122">
        <v>4.6537499999999999E-3</v>
      </c>
      <c r="F122">
        <v>5.11511E-3</v>
      </c>
      <c r="G122">
        <v>8.0285400000000007E-3</v>
      </c>
      <c r="H122">
        <v>1.2420949999999899E-2</v>
      </c>
      <c r="I122">
        <v>1.050543E-2</v>
      </c>
      <c r="J122">
        <v>1.462482E-2</v>
      </c>
      <c r="K122">
        <v>9.5867250000000008E-3</v>
      </c>
      <c r="L122">
        <v>1.1382524999999999E-2</v>
      </c>
      <c r="M122">
        <v>0.68328</v>
      </c>
    </row>
    <row r="123" spans="1:13" x14ac:dyDescent="0.35">
      <c r="A123">
        <v>230</v>
      </c>
      <c r="B123" t="s">
        <v>242</v>
      </c>
      <c r="C123">
        <v>1.1391200000000001E-2</v>
      </c>
      <c r="D123">
        <v>4.1168000000000003E-3</v>
      </c>
      <c r="E123">
        <v>2.0127999999999999E-3</v>
      </c>
      <c r="F123">
        <v>1.606E-3</v>
      </c>
      <c r="G123">
        <v>7.8479999999999904E-3</v>
      </c>
      <c r="H123">
        <v>2.4012E-3</v>
      </c>
      <c r="I123">
        <v>6.3559999999999901E-3</v>
      </c>
      <c r="J123">
        <v>1.25811999999999E-2</v>
      </c>
      <c r="K123">
        <v>5.7127999999999996E-3</v>
      </c>
      <c r="L123">
        <v>1.0375199999999999E-2</v>
      </c>
      <c r="M123">
        <v>0.28760000000000002</v>
      </c>
    </row>
    <row r="124" spans="1:13" x14ac:dyDescent="0.35">
      <c r="A124">
        <v>231</v>
      </c>
      <c r="B124" t="s">
        <v>473</v>
      </c>
      <c r="C124">
        <v>1.3832999999999899E-2</v>
      </c>
      <c r="D124">
        <v>3.71317999999999E-3</v>
      </c>
      <c r="E124">
        <v>6.3144200000000003E-3</v>
      </c>
      <c r="F124">
        <v>2.1570999999999999E-3</v>
      </c>
      <c r="G124">
        <v>1.66632E-2</v>
      </c>
      <c r="H124">
        <v>8.6305199999999992E-3</v>
      </c>
      <c r="I124">
        <v>1.3949599999999901E-2</v>
      </c>
      <c r="J124">
        <v>3.2719285000000001E-2</v>
      </c>
      <c r="K124">
        <v>1.36289499999999E-2</v>
      </c>
      <c r="L124">
        <v>2.1407760000000001E-2</v>
      </c>
      <c r="M124">
        <v>0.38107000000000002</v>
      </c>
    </row>
    <row r="125" spans="1:13" x14ac:dyDescent="0.35">
      <c r="A125">
        <v>232</v>
      </c>
      <c r="B125" t="s">
        <v>474</v>
      </c>
      <c r="C125">
        <v>5.7071999999999904E-3</v>
      </c>
      <c r="D125">
        <v>1.6070399999999999E-3</v>
      </c>
      <c r="E125">
        <v>3.1612799999999998E-3</v>
      </c>
      <c r="F125">
        <v>2.1120000000000002E-3</v>
      </c>
      <c r="G125">
        <v>9.8207999999999993E-3</v>
      </c>
      <c r="H125">
        <v>2.9973599999999902E-3</v>
      </c>
      <c r="I125">
        <v>7.5095999999999904E-3</v>
      </c>
      <c r="J125">
        <v>1.32230399999999E-2</v>
      </c>
      <c r="K125">
        <v>6.1094399999999903E-3</v>
      </c>
      <c r="L125">
        <v>1.012176E-2</v>
      </c>
      <c r="M125">
        <v>0.34511999999999998</v>
      </c>
    </row>
    <row r="126" spans="1:13" x14ac:dyDescent="0.35">
      <c r="A126">
        <v>233</v>
      </c>
      <c r="B126" t="s">
        <v>251</v>
      </c>
      <c r="C126">
        <v>5.2663999999999897E-3</v>
      </c>
      <c r="D126">
        <v>1.4384000000000001E-3</v>
      </c>
      <c r="E126">
        <v>3.1080000000000001E-3</v>
      </c>
      <c r="F126">
        <v>1.9139999999999999E-3</v>
      </c>
      <c r="G126">
        <v>8.7359999999999903E-3</v>
      </c>
      <c r="H126">
        <v>3.8363999999999998E-3</v>
      </c>
      <c r="I126">
        <v>1.0219999999999899E-2</v>
      </c>
      <c r="J126">
        <v>1.4057999999999999E-2</v>
      </c>
      <c r="K126">
        <v>8.9983999999999897E-3</v>
      </c>
      <c r="L126">
        <v>1.34639999999999E-2</v>
      </c>
      <c r="M126">
        <v>0.28760000000000002</v>
      </c>
    </row>
    <row r="127" spans="1:13" x14ac:dyDescent="0.35">
      <c r="A127">
        <v>234</v>
      </c>
      <c r="B127" t="s">
        <v>254</v>
      </c>
      <c r="C127">
        <v>2.38728E-2</v>
      </c>
      <c r="D127">
        <v>5.7939000000000003E-3</v>
      </c>
      <c r="E127">
        <v>1.0178700000000001E-2</v>
      </c>
      <c r="F127">
        <v>3.8114999999999998E-3</v>
      </c>
      <c r="G127">
        <v>2.5956E-2</v>
      </c>
      <c r="H127">
        <v>1.8996389999999998E-2</v>
      </c>
      <c r="I127">
        <v>3.1046399999999901E-2</v>
      </c>
      <c r="J127">
        <v>4.7547989999999998E-2</v>
      </c>
      <c r="K127">
        <v>3.2711699999999899E-2</v>
      </c>
      <c r="L127">
        <v>3.3208559999999998E-2</v>
      </c>
      <c r="M127">
        <v>0.75495000000000001</v>
      </c>
    </row>
    <row r="128" spans="1:13" x14ac:dyDescent="0.35">
      <c r="A128">
        <v>235</v>
      </c>
      <c r="B128" t="s">
        <v>257</v>
      </c>
      <c r="C128">
        <v>2.8709999999999999E-2</v>
      </c>
      <c r="D128">
        <v>4.5880000000000001E-3</v>
      </c>
      <c r="E128">
        <v>1.0803999999999999E-2</v>
      </c>
      <c r="F128">
        <v>6.7099999999999998E-3</v>
      </c>
      <c r="G128">
        <v>2.844E-2</v>
      </c>
      <c r="H128">
        <v>1.26959999999999E-2</v>
      </c>
      <c r="I128">
        <v>3.3110000000000001E-2</v>
      </c>
      <c r="J128">
        <v>5.7367999999999898E-2</v>
      </c>
      <c r="K128">
        <v>3.9885999999999901E-2</v>
      </c>
      <c r="L128">
        <v>3.993E-2</v>
      </c>
      <c r="M128">
        <v>0.71899999999999997</v>
      </c>
    </row>
    <row r="129" spans="1:13" x14ac:dyDescent="0.35">
      <c r="A129">
        <v>236</v>
      </c>
      <c r="B129" t="s">
        <v>475</v>
      </c>
      <c r="C129">
        <v>5.2681400000000001E-3</v>
      </c>
      <c r="D129">
        <v>1.65292E-3</v>
      </c>
      <c r="E129">
        <v>2.8674999999999998E-3</v>
      </c>
      <c r="F129">
        <v>1.2446499999999999E-3</v>
      </c>
      <c r="G129">
        <v>7.3655999999999904E-3</v>
      </c>
      <c r="H129">
        <v>4.94108999999999E-3</v>
      </c>
      <c r="I129">
        <v>8.0506999999999905E-3</v>
      </c>
      <c r="J129">
        <v>1.19734399999999E-2</v>
      </c>
      <c r="K129">
        <v>8.1781099999999902E-3</v>
      </c>
      <c r="L129">
        <v>8.0612399999999904E-3</v>
      </c>
      <c r="M129">
        <v>0.22288999999999901</v>
      </c>
    </row>
    <row r="130" spans="1:13" x14ac:dyDescent="0.35">
      <c r="A130">
        <v>237</v>
      </c>
      <c r="B130" t="s">
        <v>263</v>
      </c>
      <c r="C130">
        <v>9.0859999999999899E-3</v>
      </c>
      <c r="D130">
        <v>2.7670999999999898E-3</v>
      </c>
      <c r="E130">
        <v>4.93919999999999E-3</v>
      </c>
      <c r="F130">
        <v>4.6052999999999997E-3</v>
      </c>
      <c r="G130">
        <v>2.11070999999999E-2</v>
      </c>
      <c r="H130">
        <v>1.26588E-2</v>
      </c>
      <c r="I130">
        <v>9.9483999999999996E-3</v>
      </c>
      <c r="J130">
        <v>3.2505899999999997E-2</v>
      </c>
      <c r="K130">
        <v>1.8370799999999899E-2</v>
      </c>
      <c r="L130">
        <v>1.15584E-2</v>
      </c>
      <c r="M130">
        <v>0.43259999999999998</v>
      </c>
    </row>
    <row r="131" spans="1:13" x14ac:dyDescent="0.35">
      <c r="A131">
        <v>238</v>
      </c>
      <c r="B131" t="s">
        <v>266</v>
      </c>
      <c r="C131">
        <v>1.66257E-2</v>
      </c>
      <c r="D131">
        <v>4.6220999999999996E-3</v>
      </c>
      <c r="E131">
        <v>6.6045000000000001E-3</v>
      </c>
      <c r="F131">
        <v>6.6412499999999996E-3</v>
      </c>
      <c r="G131">
        <v>2.0789999999999999E-2</v>
      </c>
      <c r="H131">
        <v>1.30409999999999E-2</v>
      </c>
      <c r="I131">
        <v>1.95877499999999E-2</v>
      </c>
      <c r="J131">
        <v>3.4348912500000002E-2</v>
      </c>
      <c r="K131">
        <v>2.66705249999999E-2</v>
      </c>
      <c r="L131">
        <v>2.5017299999999999E-2</v>
      </c>
      <c r="M131">
        <v>0.75495000000000001</v>
      </c>
    </row>
    <row r="132" spans="1:13" x14ac:dyDescent="0.35">
      <c r="A132">
        <v>240</v>
      </c>
      <c r="B132" t="s">
        <v>269</v>
      </c>
      <c r="C132">
        <v>0.175784</v>
      </c>
      <c r="D132">
        <v>3.12293999999999E-2</v>
      </c>
      <c r="E132">
        <v>9.9571999999999994E-2</v>
      </c>
      <c r="F132">
        <v>8.0482499999999998E-2</v>
      </c>
      <c r="G132">
        <v>0.1501537</v>
      </c>
      <c r="H132">
        <v>0.122420999999999</v>
      </c>
      <c r="I132">
        <v>0.16975419999999999</v>
      </c>
      <c r="J132">
        <v>0.37885539999999901</v>
      </c>
      <c r="K132">
        <v>0.31446209999999902</v>
      </c>
      <c r="L132">
        <v>0.273881399999999</v>
      </c>
      <c r="M132">
        <v>5.4676999999999998</v>
      </c>
    </row>
    <row r="133" spans="1:13" x14ac:dyDescent="0.35">
      <c r="A133">
        <v>241</v>
      </c>
      <c r="B133" t="s">
        <v>270</v>
      </c>
      <c r="C133">
        <v>0.64274399999999998</v>
      </c>
      <c r="D133">
        <v>0.17063999999999999</v>
      </c>
      <c r="E133">
        <v>0.24375450000000001</v>
      </c>
      <c r="F133">
        <v>0.24586379999999999</v>
      </c>
      <c r="G133">
        <v>0.47556419999999999</v>
      </c>
      <c r="H133">
        <v>0.44593919999999998</v>
      </c>
      <c r="I133">
        <v>0.90756779999999904</v>
      </c>
      <c r="J133">
        <v>1.28928</v>
      </c>
      <c r="K133">
        <v>1.0878300000000001</v>
      </c>
      <c r="L133">
        <v>0.75252240000000004</v>
      </c>
      <c r="M133">
        <v>18.248999999999999</v>
      </c>
    </row>
    <row r="134" spans="1:13" x14ac:dyDescent="0.35">
      <c r="A134">
        <v>242</v>
      </c>
      <c r="B134" t="s">
        <v>272</v>
      </c>
      <c r="C134">
        <v>5.0712960000000001E-2</v>
      </c>
      <c r="D134">
        <v>1.8727199999999999E-2</v>
      </c>
      <c r="E134">
        <v>2.148168E-2</v>
      </c>
      <c r="F134">
        <v>2.8089599999999999E-2</v>
      </c>
      <c r="G134">
        <v>7.8777600000000003E-2</v>
      </c>
      <c r="H134">
        <v>3.9214079999999998E-2</v>
      </c>
      <c r="I134">
        <v>4.0181759999999997E-2</v>
      </c>
      <c r="J134">
        <v>0.10919039999999899</v>
      </c>
      <c r="K134">
        <v>7.4038800000000002E-2</v>
      </c>
      <c r="L134">
        <v>6.0055200000000003E-2</v>
      </c>
      <c r="M134">
        <v>2.2679999999999998</v>
      </c>
    </row>
    <row r="135" spans="1:13" x14ac:dyDescent="0.35">
      <c r="A135">
        <v>243</v>
      </c>
      <c r="B135" t="s">
        <v>476</v>
      </c>
      <c r="C135">
        <v>0.78147840000000002</v>
      </c>
      <c r="D135">
        <v>0.18121319999999999</v>
      </c>
      <c r="E135">
        <v>0.22545335999999999</v>
      </c>
      <c r="F135">
        <v>0.22003519999999999</v>
      </c>
      <c r="G135">
        <v>0.51617279999999999</v>
      </c>
      <c r="H135">
        <v>0.37896288</v>
      </c>
      <c r="I135">
        <v>0.63279295999999996</v>
      </c>
      <c r="J135">
        <v>1.1613887999999899</v>
      </c>
      <c r="K135">
        <v>0.79562164000000002</v>
      </c>
      <c r="L135">
        <v>0.53315672000000003</v>
      </c>
      <c r="M135">
        <v>17.765999999999998</v>
      </c>
    </row>
    <row r="136" spans="1:13" x14ac:dyDescent="0.35">
      <c r="A136">
        <v>244</v>
      </c>
      <c r="B136" t="s">
        <v>477</v>
      </c>
      <c r="C136">
        <v>0.28129411999999998</v>
      </c>
      <c r="D136">
        <v>0.14225327999999901</v>
      </c>
      <c r="E136">
        <v>9.4521129999999995E-2</v>
      </c>
      <c r="F136">
        <v>0.17832319999999999</v>
      </c>
      <c r="G136">
        <v>0.40384959999999998</v>
      </c>
      <c r="H136">
        <v>0.30961007999999901</v>
      </c>
      <c r="I136">
        <v>0.61585871999999997</v>
      </c>
      <c r="J136">
        <v>0.9007944</v>
      </c>
      <c r="K136">
        <v>0.57101120999999999</v>
      </c>
      <c r="L136">
        <v>0.75615116000000004</v>
      </c>
      <c r="M136">
        <v>14.080499999999899</v>
      </c>
    </row>
    <row r="137" spans="1:13" x14ac:dyDescent="0.35">
      <c r="A137">
        <v>245</v>
      </c>
      <c r="B137" t="s">
        <v>281</v>
      </c>
      <c r="C137">
        <v>0.50068656</v>
      </c>
      <c r="D137">
        <v>0.14810093999999999</v>
      </c>
      <c r="E137">
        <v>0.154786279999999</v>
      </c>
      <c r="F137">
        <v>0.1361888</v>
      </c>
      <c r="G137">
        <v>0.476660799999999</v>
      </c>
      <c r="H137">
        <v>0.28328087999999901</v>
      </c>
      <c r="I137">
        <v>0.44304575999999901</v>
      </c>
      <c r="J137">
        <v>0.76959520000000003</v>
      </c>
      <c r="K137">
        <v>0.57600795999999999</v>
      </c>
      <c r="L137">
        <v>0.54608087999999999</v>
      </c>
      <c r="M137">
        <v>13.796999999999899</v>
      </c>
    </row>
    <row r="138" spans="1:13" x14ac:dyDescent="0.35">
      <c r="A138">
        <v>246</v>
      </c>
      <c r="B138" t="s">
        <v>284</v>
      </c>
      <c r="C138">
        <v>7.2660864000000006E-2</v>
      </c>
      <c r="D138">
        <v>1.7735759999999899E-2</v>
      </c>
      <c r="E138">
        <v>1.7748455999999999E-2</v>
      </c>
      <c r="F138">
        <v>1.8944639999999999E-2</v>
      </c>
      <c r="G138">
        <v>8.2336320000000005E-2</v>
      </c>
      <c r="H138">
        <v>7.1565695999999901E-2</v>
      </c>
      <c r="I138">
        <v>4.5246335999999998E-2</v>
      </c>
      <c r="J138">
        <v>0.103466879999999</v>
      </c>
      <c r="K138">
        <v>6.0200843999999899E-2</v>
      </c>
      <c r="L138">
        <v>6.8821151999999997E-2</v>
      </c>
      <c r="M138">
        <v>2.6081999999999899</v>
      </c>
    </row>
    <row r="139" spans="1:13" x14ac:dyDescent="0.35">
      <c r="A139">
        <v>247</v>
      </c>
      <c r="B139" t="s">
        <v>288</v>
      </c>
      <c r="C139">
        <v>5.2237119999999998E-2</v>
      </c>
      <c r="D139">
        <v>3.2579820000000002E-2</v>
      </c>
      <c r="E139">
        <v>2.37237E-2</v>
      </c>
      <c r="F139">
        <v>2.9057599999999999E-2</v>
      </c>
      <c r="G139">
        <v>7.6876799999999995E-2</v>
      </c>
      <c r="H139">
        <v>2.735928E-2</v>
      </c>
      <c r="I139">
        <v>8.0372239999999998E-2</v>
      </c>
      <c r="J139">
        <v>0.1146288</v>
      </c>
      <c r="K139">
        <v>6.8798730000000002E-2</v>
      </c>
      <c r="L139">
        <v>8.7317099999999995E-2</v>
      </c>
      <c r="M139">
        <v>2.4569999999999999</v>
      </c>
    </row>
    <row r="140" spans="1:13" x14ac:dyDescent="0.35">
      <c r="A140">
        <v>250</v>
      </c>
      <c r="B140" t="s">
        <v>291</v>
      </c>
      <c r="C140">
        <v>3.2016599999999999E-2</v>
      </c>
      <c r="D140">
        <v>1.13256E-2</v>
      </c>
      <c r="E140">
        <v>1.21396E-2</v>
      </c>
      <c r="F140">
        <v>9.2003999999999992E-3</v>
      </c>
      <c r="G140">
        <v>5.8376999999999998E-2</v>
      </c>
      <c r="H140">
        <v>1.94656E-2</v>
      </c>
      <c r="I140">
        <v>4.9033599999999997E-2</v>
      </c>
      <c r="J140">
        <v>8.4240200000000001E-2</v>
      </c>
      <c r="K140">
        <v>5.3715199999999998E-2</v>
      </c>
      <c r="L140">
        <v>5.5506E-2</v>
      </c>
      <c r="M140">
        <v>1.276</v>
      </c>
    </row>
    <row r="141" spans="1:13" x14ac:dyDescent="0.35">
      <c r="A141">
        <v>251</v>
      </c>
      <c r="B141" t="s">
        <v>294</v>
      </c>
      <c r="C141">
        <v>0.17641889999999999</v>
      </c>
      <c r="D141">
        <v>2.7702480000000002E-2</v>
      </c>
      <c r="E141">
        <v>3.2182959999999997E-2</v>
      </c>
      <c r="F141">
        <v>6.3396060000000004E-2</v>
      </c>
      <c r="G141">
        <v>0.13040519</v>
      </c>
      <c r="H141">
        <v>4.9339920000000002E-2</v>
      </c>
      <c r="I141">
        <v>8.586676E-2</v>
      </c>
      <c r="J141">
        <v>0.15836721000000001</v>
      </c>
      <c r="K141">
        <v>0.1300432</v>
      </c>
      <c r="L141">
        <v>0.13785671999999999</v>
      </c>
      <c r="M141">
        <v>3.9613999999999998</v>
      </c>
    </row>
    <row r="142" spans="1:13" x14ac:dyDescent="0.35">
      <c r="A142">
        <v>252</v>
      </c>
      <c r="B142" t="s">
        <v>297</v>
      </c>
      <c r="C142">
        <v>0.50561250000000002</v>
      </c>
      <c r="D142">
        <v>0.100358</v>
      </c>
      <c r="E142">
        <v>0.14421249999999999</v>
      </c>
      <c r="F142">
        <v>0.10349940000000001</v>
      </c>
      <c r="G142">
        <v>0.40761750000000002</v>
      </c>
      <c r="H142">
        <v>0.32313330000000001</v>
      </c>
      <c r="I142">
        <v>0.492616</v>
      </c>
      <c r="J142">
        <v>0.71009539999999904</v>
      </c>
      <c r="K142">
        <v>0.51455019999999996</v>
      </c>
      <c r="L142">
        <v>0.55619459999999998</v>
      </c>
      <c r="M142">
        <v>12.009600000000001</v>
      </c>
    </row>
    <row r="143" spans="1:13" x14ac:dyDescent="0.35">
      <c r="A143">
        <v>253</v>
      </c>
      <c r="B143" t="s">
        <v>300</v>
      </c>
      <c r="C143">
        <v>0.44931899999999902</v>
      </c>
      <c r="D143">
        <v>9.55988799999999E-2</v>
      </c>
      <c r="E143">
        <v>0.18049511999999901</v>
      </c>
      <c r="F143">
        <v>7.7039819999999995E-2</v>
      </c>
      <c r="G143">
        <v>0.32139899999999999</v>
      </c>
      <c r="H143">
        <v>0.2460861</v>
      </c>
      <c r="I143">
        <v>0.38546560000000002</v>
      </c>
      <c r="J143">
        <v>0.58828275999999902</v>
      </c>
      <c r="K143">
        <v>0.36187501999999999</v>
      </c>
      <c r="L143">
        <v>0.51884352</v>
      </c>
      <c r="M143">
        <v>9.2102400000000006</v>
      </c>
    </row>
    <row r="144" spans="1:13" x14ac:dyDescent="0.35">
      <c r="A144">
        <v>254</v>
      </c>
      <c r="B144" t="s">
        <v>303</v>
      </c>
      <c r="C144">
        <v>0.21601199999999901</v>
      </c>
      <c r="D144">
        <v>0.11992496</v>
      </c>
      <c r="E144">
        <v>7.184314E-2</v>
      </c>
      <c r="F144">
        <v>4.3056859999999898E-2</v>
      </c>
      <c r="G144">
        <v>0.2556525</v>
      </c>
      <c r="H144">
        <v>0.11664648</v>
      </c>
      <c r="I144">
        <v>0.27821119999999999</v>
      </c>
      <c r="J144">
        <v>0.520083359999999</v>
      </c>
      <c r="K144">
        <v>0.35349367999999998</v>
      </c>
      <c r="L144">
        <v>0.34713588000000001</v>
      </c>
      <c r="M144">
        <v>6.6182400000000001</v>
      </c>
    </row>
    <row r="145" spans="1:13" x14ac:dyDescent="0.35">
      <c r="A145">
        <v>255</v>
      </c>
      <c r="B145" t="s">
        <v>306</v>
      </c>
      <c r="C145">
        <v>0.16925699999999999</v>
      </c>
      <c r="D145">
        <v>4.2301600000000002E-2</v>
      </c>
      <c r="E145">
        <v>5.0397599999999897E-2</v>
      </c>
      <c r="F145">
        <v>9.3083759999999904E-2</v>
      </c>
      <c r="G145">
        <v>0.19961699999999999</v>
      </c>
      <c r="H145">
        <v>0.10492416</v>
      </c>
      <c r="I145">
        <v>0.31169599999999997</v>
      </c>
      <c r="J145">
        <v>0.68461799999999895</v>
      </c>
      <c r="K145">
        <v>0.432579399999999</v>
      </c>
      <c r="L145">
        <v>0.28574832</v>
      </c>
      <c r="M145">
        <v>8.7436799999999995</v>
      </c>
    </row>
    <row r="146" spans="1:13" x14ac:dyDescent="0.35">
      <c r="A146">
        <v>256</v>
      </c>
      <c r="B146" t="s">
        <v>309</v>
      </c>
      <c r="C146">
        <v>0.33497792999999998</v>
      </c>
      <c r="D146">
        <v>6.0708959999999999E-2</v>
      </c>
      <c r="E146">
        <v>9.9134279999999894E-2</v>
      </c>
      <c r="F146">
        <v>0.112611059999999</v>
      </c>
      <c r="G146">
        <v>0.31582872000000001</v>
      </c>
      <c r="H146">
        <v>0.14994504</v>
      </c>
      <c r="I146">
        <v>0.26649</v>
      </c>
      <c r="J146">
        <v>0.47767697999999897</v>
      </c>
      <c r="K146">
        <v>0.361715759999999</v>
      </c>
      <c r="L146">
        <v>0.35476163999999899</v>
      </c>
      <c r="M146">
        <v>7.3601999999999901</v>
      </c>
    </row>
    <row r="147" spans="1:13" x14ac:dyDescent="0.35">
      <c r="A147">
        <v>257</v>
      </c>
      <c r="B147" t="s">
        <v>312</v>
      </c>
      <c r="C147">
        <v>4.956588E-2</v>
      </c>
      <c r="D147">
        <v>2.110368E-2</v>
      </c>
      <c r="E147">
        <v>1.8540480000000002E-2</v>
      </c>
      <c r="F147">
        <v>1.2890759999999999E-2</v>
      </c>
      <c r="G147">
        <v>7.0794159999999995E-2</v>
      </c>
      <c r="H147">
        <v>5.1434880000000002E-2</v>
      </c>
      <c r="I147">
        <v>6.5390080000000003E-2</v>
      </c>
      <c r="J147">
        <v>0.117202319999999</v>
      </c>
      <c r="K147">
        <v>0.10885056</v>
      </c>
      <c r="L147">
        <v>8.3004959999999905E-2</v>
      </c>
      <c r="M147">
        <v>2.0648</v>
      </c>
    </row>
    <row r="148" spans="1:13" x14ac:dyDescent="0.35">
      <c r="A148">
        <v>258</v>
      </c>
      <c r="B148" t="s">
        <v>317</v>
      </c>
      <c r="C148">
        <v>0</v>
      </c>
      <c r="D148">
        <v>0</v>
      </c>
      <c r="E148">
        <v>0.14968219999999999</v>
      </c>
      <c r="F148">
        <v>0.1047623</v>
      </c>
      <c r="G148">
        <v>0.39243</v>
      </c>
      <c r="H148">
        <v>0.24971692500000001</v>
      </c>
      <c r="I148">
        <v>0.43789599999999901</v>
      </c>
      <c r="J148">
        <v>0.71908669999999897</v>
      </c>
      <c r="K148">
        <v>0.50596799999999997</v>
      </c>
      <c r="L148">
        <v>0.54483000000000004</v>
      </c>
      <c r="M148">
        <v>10.972799999999999</v>
      </c>
    </row>
    <row r="149" spans="1:13" x14ac:dyDescent="0.35">
      <c r="A149">
        <v>260</v>
      </c>
      <c r="B149" t="s">
        <v>319</v>
      </c>
      <c r="C149">
        <v>0.54153684000000002</v>
      </c>
      <c r="D149">
        <v>0.12417884</v>
      </c>
      <c r="E149">
        <v>0.28358586000000002</v>
      </c>
      <c r="F149">
        <v>0.22153600000000001</v>
      </c>
      <c r="G149">
        <v>0.4774892</v>
      </c>
      <c r="H149">
        <v>0.33586044399999998</v>
      </c>
      <c r="I149">
        <v>0.61979443199999995</v>
      </c>
      <c r="J149">
        <v>0.86650245999999997</v>
      </c>
      <c r="K149">
        <v>0.615984804</v>
      </c>
      <c r="L149">
        <v>0.66876179999999996</v>
      </c>
      <c r="M149">
        <v>14.2416</v>
      </c>
    </row>
    <row r="150" spans="1:13" x14ac:dyDescent="0.35">
      <c r="A150">
        <v>261</v>
      </c>
      <c r="B150" t="s">
        <v>322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10.972799999999999</v>
      </c>
    </row>
    <row r="151" spans="1:13" x14ac:dyDescent="0.35">
      <c r="A151">
        <v>270</v>
      </c>
      <c r="B151" t="s">
        <v>323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1.3904000000000001</v>
      </c>
    </row>
    <row r="152" spans="1:13" x14ac:dyDescent="0.35">
      <c r="A152">
        <v>271</v>
      </c>
      <c r="B152" t="s">
        <v>325</v>
      </c>
      <c r="C152" t="s">
        <v>470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1.3746</v>
      </c>
    </row>
    <row r="153" spans="1:13" x14ac:dyDescent="0.35">
      <c r="A153">
        <v>272</v>
      </c>
      <c r="B153" t="s">
        <v>326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1.32</v>
      </c>
    </row>
    <row r="154" spans="1:13" x14ac:dyDescent="0.35">
      <c r="A154">
        <v>273</v>
      </c>
      <c r="B154" t="s">
        <v>329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1.2</v>
      </c>
    </row>
    <row r="155" spans="1:13" x14ac:dyDescent="0.35">
      <c r="A155">
        <v>274</v>
      </c>
      <c r="B155" t="s">
        <v>330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35">
      <c r="A156">
        <v>275</v>
      </c>
      <c r="B156" t="s">
        <v>332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35">
      <c r="A157">
        <v>276</v>
      </c>
      <c r="B157" t="s">
        <v>335</v>
      </c>
      <c r="C157">
        <v>9.0060000000000001E-3</v>
      </c>
      <c r="D157">
        <v>1.4220000000000001E-3</v>
      </c>
      <c r="E157">
        <v>2.8050000000000002E-3</v>
      </c>
      <c r="F157">
        <v>2.9567999999999999E-3</v>
      </c>
      <c r="G157">
        <v>3.9546E-3</v>
      </c>
      <c r="H157">
        <v>4.9550999999999996E-3</v>
      </c>
      <c r="I157">
        <v>6.6911999999999996E-3</v>
      </c>
      <c r="J157">
        <v>6.3251999999999996E-3</v>
      </c>
      <c r="K157">
        <v>9.0270000000000003E-3</v>
      </c>
      <c r="L157">
        <v>7.0470000000000003E-3</v>
      </c>
      <c r="M157">
        <v>0.28079999999999999</v>
      </c>
    </row>
    <row r="158" spans="1:13" x14ac:dyDescent="0.35">
      <c r="A158">
        <v>278</v>
      </c>
      <c r="B158" t="s">
        <v>338</v>
      </c>
      <c r="M158">
        <v>2.73</v>
      </c>
    </row>
    <row r="159" spans="1:13" x14ac:dyDescent="0.35">
      <c r="A159">
        <v>280</v>
      </c>
      <c r="B159" t="s">
        <v>340</v>
      </c>
      <c r="M159">
        <v>2.9483999999999999</v>
      </c>
    </row>
    <row r="160" spans="1:13" x14ac:dyDescent="0.35">
      <c r="A160">
        <v>281</v>
      </c>
      <c r="B160" t="s">
        <v>343</v>
      </c>
      <c r="M160">
        <v>2.9483999999999999</v>
      </c>
    </row>
    <row r="161" spans="1:13" x14ac:dyDescent="0.35">
      <c r="A161">
        <v>282</v>
      </c>
      <c r="B161" t="s">
        <v>478</v>
      </c>
      <c r="M161">
        <v>2.9483999999999999</v>
      </c>
    </row>
    <row r="162" spans="1:13" x14ac:dyDescent="0.35">
      <c r="A162">
        <v>283</v>
      </c>
      <c r="B162" t="s">
        <v>345</v>
      </c>
      <c r="M162">
        <v>0.81007778286933496</v>
      </c>
    </row>
    <row r="163" spans="1:13" x14ac:dyDescent="0.35">
      <c r="A163">
        <v>284</v>
      </c>
      <c r="B163" t="s">
        <v>348</v>
      </c>
      <c r="M163">
        <v>1.52984411478042</v>
      </c>
    </row>
    <row r="164" spans="1:13" x14ac:dyDescent="0.35">
      <c r="A164">
        <v>290</v>
      </c>
      <c r="B164" t="s">
        <v>350</v>
      </c>
      <c r="M164">
        <v>6.2972000000000001</v>
      </c>
    </row>
    <row r="165" spans="1:13" x14ac:dyDescent="0.35">
      <c r="A165">
        <v>291</v>
      </c>
      <c r="B165" t="s">
        <v>352</v>
      </c>
      <c r="M165">
        <v>6.4154999999999998</v>
      </c>
    </row>
    <row r="166" spans="1:13" x14ac:dyDescent="0.35">
      <c r="A166">
        <v>292</v>
      </c>
      <c r="B166" t="s">
        <v>354</v>
      </c>
      <c r="M166">
        <v>2.8850168848037701</v>
      </c>
    </row>
    <row r="167" spans="1:13" x14ac:dyDescent="0.35">
      <c r="A167">
        <v>293</v>
      </c>
      <c r="B167" t="s">
        <v>357</v>
      </c>
      <c r="M167">
        <v>3.0032999999999999</v>
      </c>
    </row>
    <row r="168" spans="1:13" x14ac:dyDescent="0.35">
      <c r="A168">
        <v>294</v>
      </c>
      <c r="B168" t="s">
        <v>359</v>
      </c>
      <c r="M168">
        <v>0.51700000000000002</v>
      </c>
    </row>
    <row r="169" spans="1:13" x14ac:dyDescent="0.35">
      <c r="A169">
        <v>295</v>
      </c>
      <c r="B169" t="s">
        <v>361</v>
      </c>
      <c r="C169">
        <v>1.43856E-2</v>
      </c>
      <c r="D169">
        <v>3.7562400000000001E-3</v>
      </c>
      <c r="E169" s="43">
        <v>4.0958999999999999E-4</v>
      </c>
      <c r="F169">
        <v>2.8171799999999999E-3</v>
      </c>
      <c r="G169">
        <v>1.0816579999999999E-2</v>
      </c>
      <c r="H169">
        <v>5.87412E-3</v>
      </c>
      <c r="I169">
        <v>7.4725199999999999E-3</v>
      </c>
      <c r="J169">
        <v>1.7389999999999999E-2</v>
      </c>
      <c r="K169">
        <v>9.8601299999999999E-3</v>
      </c>
      <c r="L169">
        <v>9.8601299999999895E-3</v>
      </c>
      <c r="M169">
        <v>0.1739</v>
      </c>
    </row>
    <row r="170" spans="1:13" x14ac:dyDescent="0.35">
      <c r="A170">
        <v>296</v>
      </c>
      <c r="B170" t="s">
        <v>363</v>
      </c>
      <c r="C170">
        <v>0.19599407999999999</v>
      </c>
      <c r="D170">
        <v>5.0755769999999902E-2</v>
      </c>
      <c r="E170">
        <v>4.5062279999999899E-2</v>
      </c>
      <c r="F170">
        <v>4.1745869999999997E-2</v>
      </c>
      <c r="G170">
        <v>0.11893068</v>
      </c>
      <c r="H170">
        <v>6.4142819999999906E-2</v>
      </c>
      <c r="I170">
        <v>0.12455387999999901</v>
      </c>
      <c r="J170">
        <v>0.19701647999999899</v>
      </c>
      <c r="K170">
        <v>0.14566005000000001</v>
      </c>
      <c r="L170">
        <v>0.184102289999999</v>
      </c>
      <c r="M170">
        <v>3.0032999999999999</v>
      </c>
    </row>
    <row r="171" spans="1:13" x14ac:dyDescent="0.35">
      <c r="A171">
        <v>292</v>
      </c>
      <c r="B171" t="s">
        <v>354</v>
      </c>
      <c r="M171">
        <v>2.8850168848037701</v>
      </c>
    </row>
    <row r="172" spans="1:13" x14ac:dyDescent="0.35">
      <c r="A172">
        <v>293</v>
      </c>
      <c r="B172" t="s">
        <v>357</v>
      </c>
      <c r="M172">
        <v>3.0032999999999999</v>
      </c>
    </row>
    <row r="173" spans="1:13" x14ac:dyDescent="0.35">
      <c r="A173">
        <v>294</v>
      </c>
      <c r="B173" t="s">
        <v>359</v>
      </c>
      <c r="M173">
        <v>0.51700000000000002</v>
      </c>
    </row>
    <row r="174" spans="1:13" x14ac:dyDescent="0.35">
      <c r="A174">
        <v>295</v>
      </c>
      <c r="B174" t="s">
        <v>361</v>
      </c>
      <c r="M174">
        <v>0.1739</v>
      </c>
    </row>
    <row r="175" spans="1:13" x14ac:dyDescent="0.35">
      <c r="A175">
        <v>296</v>
      </c>
      <c r="B175" t="s">
        <v>363</v>
      </c>
      <c r="M175">
        <v>3.0032999999999999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32DB0D756D854C82BB218C911B7738" ma:contentTypeVersion="17" ma:contentTypeDescription="Create a new document." ma:contentTypeScope="" ma:versionID="98df432103a4f0893ad1e8d94a4f11ec">
  <xsd:schema xmlns:xsd="http://www.w3.org/2001/XMLSchema" xmlns:xs="http://www.w3.org/2001/XMLSchema" xmlns:p="http://schemas.microsoft.com/office/2006/metadata/properties" xmlns:ns2="a7113ad3-3a50-43ae-bbe8-d7c4259205f0" xmlns:ns3="639aca3b-e10d-463a-ad2b-1e41dfc25ef7" targetNamespace="http://schemas.microsoft.com/office/2006/metadata/properties" ma:root="true" ma:fieldsID="fd610d2288280f0d13f5c269839e32a6" ns2:_="" ns3:_="">
    <xsd:import namespace="a7113ad3-3a50-43ae-bbe8-d7c4259205f0"/>
    <xsd:import namespace="639aca3b-e10d-463a-ad2b-1e41dfc25e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113ad3-3a50-43ae-bbe8-d7c4259205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acc4dc2-1d7d-4ba2-9bc5-748c4ad50a6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9aca3b-e10d-463a-ad2b-1e41dfc25ef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fbe0c9d-609a-47be-8394-d338ac95304a}" ma:internalName="TaxCatchAll" ma:showField="CatchAllData" ma:web="639aca3b-e10d-463a-ad2b-1e41dfc25ef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39aca3b-e10d-463a-ad2b-1e41dfc25ef7" xsi:nil="true"/>
    <lcf76f155ced4ddcb4097134ff3c332f xmlns="a7113ad3-3a50-43ae-bbe8-d7c4259205f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2CB482F-7347-4F5A-B225-FAF0F60ABA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113ad3-3a50-43ae-bbe8-d7c4259205f0"/>
    <ds:schemaRef ds:uri="639aca3b-e10d-463a-ad2b-1e41dfc25e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594955-DA96-4FD7-A768-1048B5B379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235D68-BAB8-4F6C-895D-6F58B7476CA7}">
  <ds:schemaRefs>
    <ds:schemaRef ds:uri="http://schemas.microsoft.com/office/2006/metadata/properties"/>
    <ds:schemaRef ds:uri="http://schemas.microsoft.com/office/infopath/2007/PartnerControls"/>
    <ds:schemaRef ds:uri="639aca3b-e10d-463a-ad2b-1e41dfc25ef7"/>
    <ds:schemaRef ds:uri="a7113ad3-3a50-43ae-bbe8-d7c4259205f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food composition</vt:lpstr>
      <vt:lpstr>Digestibility ratios</vt:lpstr>
      <vt:lpstr>adjusted AA per 100g food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BATTCOCK</dc:creator>
  <cp:lastModifiedBy>Gabriel BATTCOCK</cp:lastModifiedBy>
  <dcterms:created xsi:type="dcterms:W3CDTF">2024-07-23T08:32:17Z</dcterms:created>
  <dcterms:modified xsi:type="dcterms:W3CDTF">2025-06-11T11:58:16Z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3a108f-898d-4589-9ebc-7ee3b46df9b8_Enabled">
    <vt:lpwstr>true</vt:lpwstr>
  </property>
  <property fmtid="{D5CDD505-2E9C-101B-9397-08002B2CF9AE}" pid="3" name="MSIP_Label_2a3a108f-898d-4589-9ebc-7ee3b46df9b8_SetDate">
    <vt:lpwstr>2024-11-26T10:35:51Z</vt:lpwstr>
  </property>
  <property fmtid="{D5CDD505-2E9C-101B-9397-08002B2CF9AE}" pid="4" name="MSIP_Label_2a3a108f-898d-4589-9ebc-7ee3b46df9b8_Method">
    <vt:lpwstr>Standard</vt:lpwstr>
  </property>
  <property fmtid="{D5CDD505-2E9C-101B-9397-08002B2CF9AE}" pid="5" name="MSIP_Label_2a3a108f-898d-4589-9ebc-7ee3b46df9b8_Name">
    <vt:lpwstr>Official use only</vt:lpwstr>
  </property>
  <property fmtid="{D5CDD505-2E9C-101B-9397-08002B2CF9AE}" pid="6" name="MSIP_Label_2a3a108f-898d-4589-9ebc-7ee3b46df9b8_SiteId">
    <vt:lpwstr>462ad9ae-d7d9-4206-b874-71b1e079776f</vt:lpwstr>
  </property>
  <property fmtid="{D5CDD505-2E9C-101B-9397-08002B2CF9AE}" pid="7" name="MSIP_Label_2a3a108f-898d-4589-9ebc-7ee3b46df9b8_ActionId">
    <vt:lpwstr>40447089-886b-43f9-b668-407883d48e30</vt:lpwstr>
  </property>
  <property fmtid="{D5CDD505-2E9C-101B-9397-08002B2CF9AE}" pid="8" name="MSIP_Label_2a3a108f-898d-4589-9ebc-7ee3b46df9b8_ContentBits">
    <vt:lpwstr>0</vt:lpwstr>
  </property>
  <property fmtid="{D5CDD505-2E9C-101B-9397-08002B2CF9AE}" pid="9" name="ContentTypeId">
    <vt:lpwstr>0x010100B832DB0D756D854C82BB218C911B7738</vt:lpwstr>
  </property>
  <property fmtid="{D5CDD505-2E9C-101B-9397-08002B2CF9AE}" pid="10" name="MediaServiceImageTags">
    <vt:lpwstr/>
  </property>
</Properties>
</file>