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6DE80F9E-CCC3-49B7-BCA5-78A7068E13CE}" xr6:coauthVersionLast="36" xr6:coauthVersionMax="36" xr10:uidLastSave="{00000000-0000-0000-0000-000000000000}"/>
  <bookViews>
    <workbookView xWindow="0" yWindow="0" windowWidth="15345" windowHeight="5775" xr2:uid="{4B32E924-3E63-4B6A-9E32-E52405CBB2AA}"/>
  </bookViews>
  <sheets>
    <sheet name="calculo_coordenadas" sheetId="5" r:id="rId1"/>
    <sheet name="ddm" sheetId="7" r:id="rId2"/>
    <sheet name="azimute_re_azimute_vante" sheetId="3" r:id="rId3"/>
    <sheet name="conversao_azimute_para_rumo" sheetId="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7" l="1"/>
  <c r="F11" i="7"/>
  <c r="L13" i="5"/>
  <c r="O6" i="3"/>
  <c r="N7" i="3"/>
  <c r="N6" i="3"/>
  <c r="J17" i="3"/>
  <c r="J18" i="3"/>
  <c r="D25" i="3" s="1"/>
  <c r="J19" i="3"/>
  <c r="J16" i="3"/>
  <c r="D23" i="3" s="1"/>
  <c r="H12" i="7"/>
  <c r="H13" i="7"/>
  <c r="G12" i="7"/>
  <c r="G13" i="7"/>
  <c r="F13" i="7"/>
  <c r="B12" i="7"/>
  <c r="C12" i="7"/>
  <c r="C15" i="7" s="1"/>
  <c r="D12" i="7"/>
  <c r="E12" i="7"/>
  <c r="B13" i="7"/>
  <c r="C13" i="7"/>
  <c r="D13" i="7"/>
  <c r="E13" i="7"/>
  <c r="C11" i="7"/>
  <c r="E11" i="7"/>
  <c r="H11" i="7" s="1"/>
  <c r="H14" i="7" s="1"/>
  <c r="B11" i="7"/>
  <c r="B15" i="7"/>
  <c r="G25" i="5"/>
  <c r="I23" i="5"/>
  <c r="G23" i="5"/>
  <c r="P14" i="5"/>
  <c r="P15" i="5"/>
  <c r="P17" i="5" s="1"/>
  <c r="P13" i="5"/>
  <c r="O14" i="5"/>
  <c r="O15" i="5"/>
  <c r="O13" i="5"/>
  <c r="D11" i="7" s="1"/>
  <c r="N14" i="5"/>
  <c r="N15" i="5"/>
  <c r="N17" i="5" s="1"/>
  <c r="N13" i="5"/>
  <c r="M14" i="5"/>
  <c r="M15" i="5"/>
  <c r="M13" i="5"/>
  <c r="L14" i="5"/>
  <c r="L15" i="5"/>
  <c r="K14" i="5"/>
  <c r="K15" i="5"/>
  <c r="K13" i="5"/>
  <c r="J14" i="5"/>
  <c r="J15" i="5"/>
  <c r="J13" i="5"/>
  <c r="I13" i="5"/>
  <c r="I14" i="5"/>
  <c r="I15" i="5"/>
  <c r="H14" i="5"/>
  <c r="H15" i="5"/>
  <c r="H13" i="5"/>
  <c r="G13" i="5"/>
  <c r="G14" i="5"/>
  <c r="G15" i="5"/>
  <c r="F14" i="5"/>
  <c r="F15" i="5"/>
  <c r="F13" i="5"/>
  <c r="E13" i="5"/>
  <c r="E14" i="5"/>
  <c r="E15" i="5"/>
  <c r="D13" i="5"/>
  <c r="H6" i="5"/>
  <c r="D14" i="5"/>
  <c r="D15" i="5"/>
  <c r="H7" i="1"/>
  <c r="H8" i="1"/>
  <c r="H9" i="1"/>
  <c r="H10" i="1"/>
  <c r="H11" i="1"/>
  <c r="H12" i="1"/>
  <c r="H13" i="1"/>
  <c r="H6" i="1"/>
  <c r="L7" i="1"/>
  <c r="L8" i="1"/>
  <c r="L9" i="1"/>
  <c r="L10" i="1"/>
  <c r="L11" i="1"/>
  <c r="L12" i="1"/>
  <c r="L13" i="1"/>
  <c r="L6" i="1"/>
  <c r="L8" i="3"/>
  <c r="F18" i="3" s="1"/>
  <c r="L6" i="3"/>
  <c r="F16" i="3" s="1"/>
  <c r="G8" i="5"/>
  <c r="L8" i="5" s="1"/>
  <c r="G7" i="5"/>
  <c r="H7" i="5" s="1"/>
  <c r="G6" i="5"/>
  <c r="L6" i="5" s="1"/>
  <c r="D24" i="3"/>
  <c r="D26" i="3"/>
  <c r="M19" i="3"/>
  <c r="N19" i="3" s="1"/>
  <c r="M17" i="3"/>
  <c r="R17" i="3" s="1"/>
  <c r="F24" i="3" s="1"/>
  <c r="H6" i="3"/>
  <c r="D19" i="3"/>
  <c r="D18" i="3"/>
  <c r="D17" i="3"/>
  <c r="D16" i="3"/>
  <c r="G9" i="3"/>
  <c r="H9" i="3" s="1"/>
  <c r="G8" i="3"/>
  <c r="H8" i="3" s="1"/>
  <c r="G7" i="3"/>
  <c r="H7" i="3" s="1"/>
  <c r="G6" i="3"/>
  <c r="G11" i="7" l="1"/>
  <c r="G14" i="7" s="1"/>
  <c r="G15" i="7" s="1"/>
  <c r="G18" i="7" s="1"/>
  <c r="D15" i="7"/>
  <c r="D16" i="7" s="1"/>
  <c r="E15" i="7"/>
  <c r="N17" i="3"/>
  <c r="M18" i="3"/>
  <c r="N18" i="3" s="1"/>
  <c r="L9" i="3"/>
  <c r="F19" i="3" s="1"/>
  <c r="L7" i="3"/>
  <c r="F17" i="3" s="1"/>
  <c r="R19" i="3"/>
  <c r="F26" i="3" s="1"/>
  <c r="M16" i="3"/>
  <c r="B16" i="7"/>
  <c r="O17" i="5"/>
  <c r="O18" i="5" s="1"/>
  <c r="M17" i="5"/>
  <c r="M18" i="5" s="1"/>
  <c r="G17" i="5"/>
  <c r="H8" i="5"/>
  <c r="L7" i="5"/>
  <c r="I7" i="5"/>
  <c r="K7" i="5" s="1"/>
  <c r="O18" i="3"/>
  <c r="O17" i="3"/>
  <c r="O19" i="3"/>
  <c r="I9" i="3"/>
  <c r="I7" i="3"/>
  <c r="K7" i="3" s="1"/>
  <c r="I6" i="3"/>
  <c r="I8" i="3"/>
  <c r="L28" i="1"/>
  <c r="R18" i="3" l="1"/>
  <c r="F25" i="3" s="1"/>
  <c r="Q19" i="3"/>
  <c r="P18" i="3"/>
  <c r="P17" i="3"/>
  <c r="N16" i="3"/>
  <c r="R16" i="3"/>
  <c r="F23" i="3" s="1"/>
  <c r="I6" i="5"/>
  <c r="J6" i="5" s="1"/>
  <c r="I8" i="5"/>
  <c r="K8" i="5" s="1"/>
  <c r="J7" i="5"/>
  <c r="Q17" i="3"/>
  <c r="E24" i="3" s="1"/>
  <c r="Q18" i="3"/>
  <c r="E25" i="3" s="1"/>
  <c r="P19" i="3"/>
  <c r="J8" i="3"/>
  <c r="K8" i="3"/>
  <c r="J9" i="3"/>
  <c r="J6" i="3"/>
  <c r="J7" i="3"/>
  <c r="E17" i="3" s="1"/>
  <c r="K9" i="3"/>
  <c r="K6" i="3"/>
  <c r="O28" i="1"/>
  <c r="P14" i="1"/>
  <c r="N14" i="1"/>
  <c r="S24" i="1"/>
  <c r="R24" i="1"/>
  <c r="M22" i="1"/>
  <c r="H17" i="1"/>
  <c r="J15" i="1"/>
  <c r="F17" i="1"/>
  <c r="F18" i="1"/>
  <c r="F19" i="1"/>
  <c r="F20" i="1"/>
  <c r="F21" i="1"/>
  <c r="F22" i="1"/>
  <c r="F23" i="1"/>
  <c r="F16" i="1"/>
  <c r="D16" i="1"/>
  <c r="G6" i="1"/>
  <c r="D17" i="1"/>
  <c r="D18" i="1"/>
  <c r="D19" i="1"/>
  <c r="D20" i="1"/>
  <c r="D21" i="1"/>
  <c r="D22" i="1"/>
  <c r="D23" i="1"/>
  <c r="E26" i="3" l="1"/>
  <c r="O16" i="3"/>
  <c r="K6" i="5"/>
  <c r="J8" i="5"/>
  <c r="E16" i="3"/>
  <c r="E19" i="3"/>
  <c r="E18" i="3"/>
  <c r="G7" i="1"/>
  <c r="G8" i="1"/>
  <c r="G9" i="1"/>
  <c r="G10" i="1"/>
  <c r="G11" i="1"/>
  <c r="G12" i="1"/>
  <c r="G13" i="1"/>
  <c r="P16" i="3" l="1"/>
  <c r="Q16" i="3"/>
  <c r="H17" i="5"/>
  <c r="J17" i="5"/>
  <c r="I17" i="5"/>
  <c r="K13" i="1"/>
  <c r="I13" i="1"/>
  <c r="J13" i="1"/>
  <c r="I12" i="1"/>
  <c r="I11" i="1"/>
  <c r="I10" i="1"/>
  <c r="I9" i="1"/>
  <c r="I8" i="1"/>
  <c r="I7" i="1"/>
  <c r="I6" i="1"/>
  <c r="E23" i="3" l="1"/>
  <c r="I18" i="5"/>
  <c r="G18" i="5"/>
  <c r="J7" i="1"/>
  <c r="E17" i="1"/>
  <c r="J9" i="1"/>
  <c r="E19" i="1"/>
  <c r="J11" i="1"/>
  <c r="E21" i="1"/>
  <c r="J8" i="1"/>
  <c r="J10" i="1"/>
  <c r="J12" i="1"/>
  <c r="E23" i="1"/>
  <c r="J6" i="1"/>
  <c r="E16" i="1" s="1"/>
  <c r="K6" i="1"/>
  <c r="K12" i="1"/>
  <c r="E22" i="1" s="1"/>
  <c r="K11" i="1"/>
  <c r="K10" i="1"/>
  <c r="E20" i="1" s="1"/>
  <c r="K9" i="1"/>
  <c r="K8" i="1"/>
  <c r="E18" i="1" s="1"/>
  <c r="K7" i="1"/>
</calcChain>
</file>

<file path=xl/sharedStrings.xml><?xml version="1.0" encoding="utf-8"?>
<sst xmlns="http://schemas.openxmlformats.org/spreadsheetml/2006/main" count="184" uniqueCount="70">
  <si>
    <t>A-1</t>
  </si>
  <si>
    <t>A-2</t>
  </si>
  <si>
    <t>A-3</t>
  </si>
  <si>
    <t>A-4</t>
  </si>
  <si>
    <t>A-5</t>
  </si>
  <si>
    <t>A-6</t>
  </si>
  <si>
    <t>A-7</t>
  </si>
  <si>
    <t>A-8</t>
  </si>
  <si>
    <t>Linha</t>
  </si>
  <si>
    <t>Azimute a direita</t>
  </si>
  <si>
    <t>Rumo calculado</t>
  </si>
  <si>
    <t>grau</t>
  </si>
  <si>
    <t>minuto</t>
  </si>
  <si>
    <t>segundo</t>
  </si>
  <si>
    <t>rumo</t>
  </si>
  <si>
    <t>az</t>
  </si>
  <si>
    <t>Rumo</t>
  </si>
  <si>
    <t>Grafico</t>
  </si>
  <si>
    <t>azimute</t>
  </si>
  <si>
    <t>Aulas4you</t>
  </si>
  <si>
    <t>facebook.com/aulas4you</t>
  </si>
  <si>
    <t>A-B</t>
  </si>
  <si>
    <t>B-c</t>
  </si>
  <si>
    <t>C-D</t>
  </si>
  <si>
    <t>D-e</t>
  </si>
  <si>
    <t>Vante</t>
  </si>
  <si>
    <t>vante</t>
  </si>
  <si>
    <t>Ré</t>
  </si>
  <si>
    <t>B-C</t>
  </si>
  <si>
    <t>D-E</t>
  </si>
  <si>
    <t>O azimute vante e o azimute ré diferem em 180 para um mesma linha</t>
  </si>
  <si>
    <t>1-2</t>
  </si>
  <si>
    <t>2-3</t>
  </si>
  <si>
    <t>3-1</t>
  </si>
  <si>
    <t>Calculo coordenadas poligonal fechada</t>
  </si>
  <si>
    <t>distância</t>
  </si>
  <si>
    <t>rumo definitivo(graus)</t>
  </si>
  <si>
    <t>sem(rumo)</t>
  </si>
  <si>
    <t>cos(rumo)</t>
  </si>
  <si>
    <t>coordenadas parciais</t>
  </si>
  <si>
    <t>x</t>
  </si>
  <si>
    <t>y</t>
  </si>
  <si>
    <t>w(-)</t>
  </si>
  <si>
    <t>E(+)</t>
  </si>
  <si>
    <t>x=sen(rumo)*distância</t>
  </si>
  <si>
    <t>y=cos(rumo)*distância</t>
  </si>
  <si>
    <t>N(+)</t>
  </si>
  <si>
    <t>S(-)</t>
  </si>
  <si>
    <t>ex</t>
  </si>
  <si>
    <t>ey</t>
  </si>
  <si>
    <t>soma E</t>
  </si>
  <si>
    <t>soma W</t>
  </si>
  <si>
    <t>soma N</t>
  </si>
  <si>
    <t>soma S</t>
  </si>
  <si>
    <t>Cx</t>
  </si>
  <si>
    <t>Cy</t>
  </si>
  <si>
    <t>coordenadas corrigidas</t>
  </si>
  <si>
    <t>erro fechamento f</t>
  </si>
  <si>
    <t>incerteza(m)</t>
  </si>
  <si>
    <t>maior que 1/1000</t>
  </si>
  <si>
    <t>não aceitavel é preciso corrigir</t>
  </si>
  <si>
    <t>1/m</t>
  </si>
  <si>
    <t>DDM</t>
  </si>
  <si>
    <t>DDM=DDManterior+longitude(e ou w)atual+longitude(e ou w)anterior  contando o sinal da longidute</t>
  </si>
  <si>
    <t>produto norte</t>
  </si>
  <si>
    <t>produto sul</t>
  </si>
  <si>
    <t>AREA(M²)</t>
  </si>
  <si>
    <t xml:space="preserve"> COMEÇOU DO PONTO MAIS A OESTE</t>
  </si>
  <si>
    <t>m=perimetro/f</t>
  </si>
  <si>
    <t>f=raiz de( ex*ex +ey*ey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</si>
</sst>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right"/>
    </xf>
    <xf numFmtId="1" fontId="0" fillId="0" borderId="0" xfId="0" applyNumberFormat="1" applyAlignment="1">
      <alignment horizontal="right"/>
    </xf>
    <xf numFmtId="0" fontId="0" fillId="3" borderId="0" xfId="0" applyFill="1" applyAlignment="1">
      <alignment horizontal="left"/>
    </xf>
    <xf numFmtId="1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2" fillId="2" borderId="0" xfId="0" applyFont="1" applyFill="1" applyAlignment="1"/>
    <xf numFmtId="0" fontId="0" fillId="2" borderId="0" xfId="0" applyFill="1"/>
    <xf numFmtId="0" fontId="3" fillId="2" borderId="0" xfId="0" applyFont="1" applyFill="1"/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0" fillId="7" borderId="0" xfId="0" applyFill="1"/>
    <xf numFmtId="0" fontId="1" fillId="0" borderId="0" xfId="0" applyFont="1"/>
    <xf numFmtId="0" fontId="5" fillId="0" borderId="0" xfId="0" applyFont="1"/>
    <xf numFmtId="0" fontId="6" fillId="3" borderId="0" xfId="0" applyFont="1" applyFill="1"/>
    <xf numFmtId="0" fontId="4" fillId="3" borderId="0" xfId="1" applyFill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0" fillId="8" borderId="0" xfId="0" applyFill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/>
    <xf numFmtId="0" fontId="0" fillId="8" borderId="1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8" borderId="2" xfId="0" applyFill="1" applyBorder="1"/>
    <xf numFmtId="0" fontId="0" fillId="3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9" borderId="0" xfId="0" applyFill="1"/>
    <xf numFmtId="0" fontId="0" fillId="11" borderId="0" xfId="0" applyFill="1"/>
    <xf numFmtId="0" fontId="3" fillId="12" borderId="0" xfId="0" applyFont="1" applyFill="1"/>
    <xf numFmtId="1" fontId="0" fillId="0" borderId="0" xfId="0" applyNumberFormat="1" applyFont="1" applyAlignment="1">
      <alignment horizontal="left"/>
    </xf>
    <xf numFmtId="0" fontId="0" fillId="0" borderId="1" xfId="0" applyFont="1" applyBorder="1"/>
    <xf numFmtId="0" fontId="3" fillId="13" borderId="3" xfId="0" applyFont="1" applyFill="1" applyBorder="1"/>
    <xf numFmtId="0" fontId="3" fillId="0" borderId="3" xfId="0" applyFont="1" applyBorder="1"/>
    <xf numFmtId="0" fontId="3" fillId="0" borderId="0" xfId="0" applyFont="1"/>
    <xf numFmtId="0" fontId="0" fillId="0" borderId="0" xfId="0" applyFont="1"/>
    <xf numFmtId="0" fontId="0" fillId="13" borderId="1" xfId="0" applyFont="1" applyFill="1" applyBorder="1"/>
    <xf numFmtId="0" fontId="0" fillId="13" borderId="2" xfId="0" applyFont="1" applyFill="1" applyBorder="1"/>
    <xf numFmtId="0" fontId="0" fillId="13" borderId="0" xfId="0" applyFont="1" applyFill="1"/>
    <xf numFmtId="49" fontId="0" fillId="9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91451068616424"/>
          <c:y val="0.13475184830057982"/>
          <c:w val="0.57217144731908509"/>
          <c:h val="0.6817365732599393"/>
        </c:manualLayout>
      </c:layout>
      <c:pieChart>
        <c:varyColors val="1"/>
        <c:ser>
          <c:idx val="4"/>
          <c:order val="0"/>
          <c:tx>
            <c:strRef>
              <c:f>conversao_azimute_para_rumo!$G$6:$G$6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8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12-4F5F-A789-DB8E4BB41CFD}"/>
            </c:ext>
          </c:extLst>
        </c:ser>
        <c:ser>
          <c:idx val="5"/>
          <c:order val="1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712-4F5F-A789-DB8E4BB41C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12-4F5F-A789-DB8E4BB41CFD}"/>
            </c:ext>
          </c:extLst>
        </c:ser>
        <c:ser>
          <c:idx val="6"/>
          <c:order val="2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D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12-4F5F-A789-DB8E4BB41CFD}"/>
            </c:ext>
          </c:extLst>
        </c:ser>
        <c:ser>
          <c:idx val="7"/>
          <c:order val="3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712-4F5F-A789-DB8E4BB41C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12-4F5F-A789-DB8E4BB41CFD}"/>
            </c:ext>
          </c:extLst>
        </c:ser>
        <c:ser>
          <c:idx val="2"/>
          <c:order val="4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5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12-4F5F-A789-DB8E4BB41CFD}"/>
            </c:ext>
          </c:extLst>
        </c:ser>
        <c:ser>
          <c:idx val="3"/>
          <c:order val="5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2-4F5F-A789-DB8E4BB41C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12-4F5F-A789-DB8E4BB41CFD}"/>
            </c:ext>
          </c:extLst>
        </c:ser>
        <c:ser>
          <c:idx val="1"/>
          <c:order val="6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F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12-4F5F-A789-DB8E4BB41CFD}"/>
            </c:ext>
          </c:extLst>
        </c:ser>
        <c:ser>
          <c:idx val="0"/>
          <c:order val="7"/>
          <c:tx>
            <c:strRef>
              <c:f>conversao_azimute_para_rumo!$G$6</c:f>
              <c:strCache>
                <c:ptCount val="1"/>
                <c:pt idx="0">
                  <c:v>34.02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712-4F5F-A789-DB8E4BB41C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712-4F5F-A789-DB8E4BB41CFD}"/>
              </c:ext>
            </c:extLst>
          </c:dPt>
          <c:val>
            <c:numRef>
              <c:f>conversao_azimute_para_rumo!$G$17:$H$17</c:f>
              <c:numCache>
                <c:formatCode>General</c:formatCode>
                <c:ptCount val="2"/>
                <c:pt idx="0">
                  <c:v>15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12-4F5F-A789-DB8E4BB4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91451068616424"/>
          <c:y val="0.13475184830057982"/>
          <c:w val="0.57217144731908509"/>
          <c:h val="0.6817365732599393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21-9DB0-4BDB-9310-5A6E04B05C2E}"/>
              </c:ext>
            </c:extLst>
          </c:dPt>
          <c:val>
            <c:numRef>
              <c:f>(conversao_azimute_para_rumo!$L$17,conversao_azimute_para_rumo!$R$24)</c:f>
              <c:numCache>
                <c:formatCode>General</c:formatCode>
                <c:ptCount val="2"/>
                <c:pt idx="0">
                  <c:v>55</c:v>
                </c:pt>
                <c:pt idx="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DB0-4BDB-9310-5A6E04B0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91451068616424"/>
          <c:y val="0.13475184830057982"/>
          <c:w val="0.57217144731908509"/>
          <c:h val="0.68173657325993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126-40DE-ABC4-0473174BF14C}"/>
              </c:ext>
            </c:extLst>
          </c:dPt>
          <c:val>
            <c:numRef>
              <c:f>(conversao_azimute_para_rumo!$S$24,conversao_azimute_para_rumo!$L$17)</c:f>
              <c:numCache>
                <c:formatCode>General</c:formatCode>
                <c:ptCount val="2"/>
                <c:pt idx="0">
                  <c:v>235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6-40DE-ABC4-0473174B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42012851841795"/>
          <c:y val="0.14704711416023492"/>
          <c:w val="0.57217144731908509"/>
          <c:h val="0.6817365732599393"/>
        </c:manualLayout>
      </c:layout>
      <c:pie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0898-4DD8-8783-187269258035}"/>
              </c:ext>
            </c:extLst>
          </c:dPt>
          <c:val>
            <c:numRef>
              <c:f>(conversao_azimute_para_rumo!$S$24,conversao_azimute_para_rumo!$L$17)</c:f>
              <c:numCache>
                <c:formatCode>General</c:formatCode>
                <c:ptCount val="2"/>
                <c:pt idx="0">
                  <c:v>235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8-4DD8-8783-18726925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91451068616424"/>
          <c:y val="0.13475184830057982"/>
          <c:w val="0.57217144731908509"/>
          <c:h val="0.6817365732599393"/>
        </c:manualLayout>
      </c:layout>
      <c:pie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C17-45D6-BD60-31E6005F7C30}"/>
              </c:ext>
            </c:extLst>
          </c:dPt>
          <c:val>
            <c:numRef>
              <c:f>(conversao_azimute_para_rumo!$L$17,conversao_azimute_para_rumo!$R$24)</c:f>
              <c:numCache>
                <c:formatCode>General</c:formatCode>
                <c:ptCount val="2"/>
                <c:pt idx="0">
                  <c:v>55</c:v>
                </c:pt>
                <c:pt idx="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7-45D6-BD60-31E6005F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161794</xdr:colOff>
      <xdr:row>1</xdr:row>
      <xdr:rowOff>168988</xdr:rowOff>
    </xdr:from>
    <xdr:to>
      <xdr:col>17</xdr:col>
      <xdr:colOff>180975</xdr:colOff>
      <xdr:row>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C6C306-D1C4-492E-B2F3-BAB8B2D4E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6994" y="359488"/>
          <a:ext cx="4286381" cy="1078787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333372</xdr:colOff>
      <xdr:row>14</xdr:row>
      <xdr:rowOff>178686</xdr:rowOff>
    </xdr:from>
    <xdr:to>
      <xdr:col>5</xdr:col>
      <xdr:colOff>581025</xdr:colOff>
      <xdr:row>25</xdr:row>
      <xdr:rowOff>132834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9BA8A2-736F-4DCC-B64A-A0AE67EF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2" y="2912361"/>
          <a:ext cx="2381253" cy="2049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504824</xdr:colOff>
      <xdr:row>11</xdr:row>
      <xdr:rowOff>28574</xdr:rowOff>
    </xdr:from>
    <xdr:to>
      <xdr:col>6</xdr:col>
      <xdr:colOff>387228</xdr:colOff>
      <xdr:row>23</xdr:row>
      <xdr:rowOff>43124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761702-A638-4C60-9B1A-BDEE5A22D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4" y="2190749"/>
          <a:ext cx="3416179" cy="232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95249</xdr:colOff>
      <xdr:row>1</xdr:row>
      <xdr:rowOff>133350</xdr:rowOff>
    </xdr:from>
    <xdr:to>
      <xdr:col>18</xdr:col>
      <xdr:colOff>471812</xdr:colOff>
      <xdr:row>10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E6889-6418-4FE0-B984-DEB052C02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53374" y="323850"/>
          <a:ext cx="4034163" cy="1733550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>
    <xdr:from>
      <xdr:col>7</xdr:col>
      <xdr:colOff>161925</xdr:colOff>
      <xdr:row>15</xdr:row>
      <xdr:rowOff>19050</xdr:rowOff>
    </xdr:from>
    <xdr:to>
      <xdr:col>10</xdr:col>
      <xdr:colOff>466725</xdr:colOff>
      <xdr:row>24</xdr:row>
      <xdr:rowOff>95249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33B4F8-9A1B-41EB-9E3A-9FDEBA4AB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15</xdr:row>
      <xdr:rowOff>19050</xdr:rowOff>
    </xdr:from>
    <xdr:to>
      <xdr:col>9</xdr:col>
      <xdr:colOff>28575</xdr:colOff>
      <xdr:row>22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87B9645-E7AF-4A23-93DB-8A1B01801A1B}"/>
            </a:ext>
          </a:extLst>
        </xdr:cNvPr>
        <xdr:cNvCxnSpPr>
          <a:endCxn id="15" idx="0"/>
        </xdr:cNvCxnSpPr>
      </xdr:nvCxnSpPr>
      <xdr:spPr>
        <a:xfrm flipH="1" flipV="1">
          <a:off x="6038850" y="2895600"/>
          <a:ext cx="19050" cy="1485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14</xdr:row>
      <xdr:rowOff>171450</xdr:rowOff>
    </xdr:from>
    <xdr:to>
      <xdr:col>15</xdr:col>
      <xdr:colOff>590550</xdr:colOff>
      <xdr:row>19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3305E64-2A6E-408F-BCCA-A0F09A2DF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14</xdr:row>
      <xdr:rowOff>161925</xdr:rowOff>
    </xdr:from>
    <xdr:to>
      <xdr:col>13</xdr:col>
      <xdr:colOff>581025</xdr:colOff>
      <xdr:row>19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994FFC5-0A48-4BC0-A2AC-924FB7F2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476249</xdr:colOff>
      <xdr:row>20</xdr:row>
      <xdr:rowOff>85725</xdr:rowOff>
    </xdr:from>
    <xdr:to>
      <xdr:col>19</xdr:col>
      <xdr:colOff>142875</xdr:colOff>
      <xdr:row>28</xdr:row>
      <xdr:rowOff>51274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EA84D5F-64E2-4A38-80B3-885C14066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72774" y="3914775"/>
          <a:ext cx="1495426" cy="1499074"/>
        </a:xfrm>
        <a:prstGeom prst="rect">
          <a:avLst/>
        </a:prstGeom>
      </xdr:spPr>
    </xdr:pic>
    <xdr:clientData/>
  </xdr:twoCellAnchor>
  <xdr:twoCellAnchor editAs="oneCell">
    <xdr:from>
      <xdr:col>16</xdr:col>
      <xdr:colOff>576026</xdr:colOff>
      <xdr:row>12</xdr:row>
      <xdr:rowOff>95250</xdr:rowOff>
    </xdr:from>
    <xdr:to>
      <xdr:col>19</xdr:col>
      <xdr:colOff>95250</xdr:colOff>
      <xdr:row>19</xdr:row>
      <xdr:rowOff>174920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034798-7123-4A33-9F24-5F1040DE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72551" y="2438400"/>
          <a:ext cx="1348024" cy="142269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20</xdr:row>
      <xdr:rowOff>95250</xdr:rowOff>
    </xdr:from>
    <xdr:to>
      <xdr:col>16</xdr:col>
      <xdr:colOff>66675</xdr:colOff>
      <xdr:row>25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A55B30-C827-4AA5-9E23-AFA1312E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85725</xdr:colOff>
      <xdr:row>20</xdr:row>
      <xdr:rowOff>95250</xdr:rowOff>
    </xdr:from>
    <xdr:to>
      <xdr:col>13</xdr:col>
      <xdr:colOff>581025</xdr:colOff>
      <xdr:row>25</xdr:row>
      <xdr:rowOff>104775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7C96DAD-CE60-4DCE-ADB7-02146F35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28575</xdr:colOff>
      <xdr:row>14</xdr:row>
      <xdr:rowOff>114301</xdr:rowOff>
    </xdr:from>
    <xdr:to>
      <xdr:col>13</xdr:col>
      <xdr:colOff>38100</xdr:colOff>
      <xdr:row>19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23D9859-9BB9-435F-84B2-F0368146E0FB}"/>
            </a:ext>
          </a:extLst>
        </xdr:cNvPr>
        <xdr:cNvCxnSpPr/>
      </xdr:nvCxnSpPr>
      <xdr:spPr>
        <a:xfrm flipH="1" flipV="1">
          <a:off x="8496300" y="2800351"/>
          <a:ext cx="9525" cy="84772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14</xdr:row>
      <xdr:rowOff>114301</xdr:rowOff>
    </xdr:from>
    <xdr:to>
      <xdr:col>15</xdr:col>
      <xdr:colOff>38100</xdr:colOff>
      <xdr:row>19</xdr:row>
      <xdr:rowOff>9525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517E13B-7D48-4DF8-ADF8-5D6D97907A72}"/>
            </a:ext>
          </a:extLst>
        </xdr:cNvPr>
        <xdr:cNvCxnSpPr/>
      </xdr:nvCxnSpPr>
      <xdr:spPr>
        <a:xfrm flipH="1" flipV="1">
          <a:off x="9715500" y="2800351"/>
          <a:ext cx="9525" cy="84772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21</xdr:row>
      <xdr:rowOff>19050</xdr:rowOff>
    </xdr:from>
    <xdr:to>
      <xdr:col>13</xdr:col>
      <xdr:colOff>47625</xdr:colOff>
      <xdr:row>25</xdr:row>
      <xdr:rowOff>47625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DA6F2A-AB5E-4878-91BC-F82C3B0C60CD}"/>
            </a:ext>
          </a:extLst>
        </xdr:cNvPr>
        <xdr:cNvCxnSpPr/>
      </xdr:nvCxnSpPr>
      <xdr:spPr>
        <a:xfrm>
          <a:off x="8505825" y="403860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85725</xdr:colOff>
      <xdr:row>21</xdr:row>
      <xdr:rowOff>0</xdr:rowOff>
    </xdr:from>
    <xdr:to>
      <xdr:col>15</xdr:col>
      <xdr:colOff>95250</xdr:colOff>
      <xdr:row>25</xdr:row>
      <xdr:rowOff>28575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825C5CC-D6E0-47F0-BDB5-7D26D6CBFC12}"/>
            </a:ext>
          </a:extLst>
        </xdr:cNvPr>
        <xdr:cNvCxnSpPr/>
      </xdr:nvCxnSpPr>
      <xdr:spPr>
        <a:xfrm>
          <a:off x="9772650" y="40195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161925</xdr:colOff>
      <xdr:row>15</xdr:row>
      <xdr:rowOff>66675</xdr:rowOff>
    </xdr:from>
    <xdr:to>
      <xdr:col>8</xdr:col>
      <xdr:colOff>390496</xdr:colOff>
      <xdr:row>16</xdr:row>
      <xdr:rowOff>95223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56654B8-C131-40DE-B112-B357CE44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81650" y="2990850"/>
          <a:ext cx="228571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rielbgab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brielbgab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abrielbgab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gabrielbga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4A6F-DECF-4C6E-94A5-6521D8DB71B5}">
  <dimension ref="B1:P29"/>
  <sheetViews>
    <sheetView showGridLines="0" tabSelected="1" workbookViewId="0">
      <selection activeCell="B12" sqref="B12:B15"/>
    </sheetView>
  </sheetViews>
  <sheetFormatPr defaultRowHeight="15" x14ac:dyDescent="0.25"/>
  <cols>
    <col min="3" max="3" width="10.85546875" customWidth="1"/>
    <col min="4" max="4" width="19" customWidth="1"/>
    <col min="5" max="5" width="13" customWidth="1"/>
    <col min="6" max="6" width="11.140625" customWidth="1"/>
    <col min="7" max="7" width="10" customWidth="1"/>
  </cols>
  <sheetData>
    <row r="1" spans="2:16" x14ac:dyDescent="0.25">
      <c r="D1" s="18" t="s">
        <v>20</v>
      </c>
      <c r="E1" s="13"/>
    </row>
    <row r="2" spans="2:16" ht="18.75" x14ac:dyDescent="0.3">
      <c r="D2" s="17" t="s">
        <v>19</v>
      </c>
      <c r="E2" s="13"/>
    </row>
    <row r="3" spans="2:16" ht="15.75" x14ac:dyDescent="0.25">
      <c r="C3">
        <v>0</v>
      </c>
      <c r="D3" s="19" t="s">
        <v>9</v>
      </c>
      <c r="E3" s="19"/>
      <c r="F3" s="19"/>
      <c r="G3">
        <v>0</v>
      </c>
      <c r="I3" s="20" t="s">
        <v>10</v>
      </c>
      <c r="J3" s="20"/>
      <c r="K3" s="20"/>
      <c r="L3" s="20"/>
    </row>
    <row r="4" spans="2:16" ht="15.75" x14ac:dyDescent="0.25">
      <c r="D4" s="19"/>
      <c r="E4" s="19"/>
      <c r="F4" s="19"/>
      <c r="G4" s="2" t="s">
        <v>15</v>
      </c>
      <c r="H4" s="2" t="s">
        <v>14</v>
      </c>
      <c r="I4" s="20"/>
      <c r="J4" s="20"/>
      <c r="K4" s="20"/>
      <c r="L4" s="20"/>
    </row>
    <row r="5" spans="2:16" x14ac:dyDescent="0.25">
      <c r="C5" t="s">
        <v>8</v>
      </c>
      <c r="D5" s="5" t="s">
        <v>11</v>
      </c>
      <c r="E5" s="5" t="s">
        <v>12</v>
      </c>
      <c r="F5" s="5" t="s">
        <v>13</v>
      </c>
      <c r="G5" s="7" t="s">
        <v>11</v>
      </c>
      <c r="H5" s="7" t="s">
        <v>11</v>
      </c>
      <c r="I5" s="3" t="s">
        <v>11</v>
      </c>
      <c r="J5" s="3" t="s">
        <v>12</v>
      </c>
      <c r="K5" s="3" t="s">
        <v>13</v>
      </c>
      <c r="L5" s="1"/>
    </row>
    <row r="6" spans="2:16" x14ac:dyDescent="0.25">
      <c r="C6" s="23" t="s">
        <v>31</v>
      </c>
      <c r="D6" s="6">
        <v>156</v>
      </c>
      <c r="E6" s="6">
        <v>58</v>
      </c>
      <c r="F6" s="6">
        <v>15</v>
      </c>
      <c r="G6" s="8">
        <f>D6+(E6/60)+(F6/3600)</f>
        <v>156.97083333333333</v>
      </c>
      <c r="H6" s="8">
        <f>IF(G6&lt;=90,G6,IF(G6&lt;=180,180-G6,IF(G6&lt;=270,G6-180,360-G6)))</f>
        <v>23.029166666666669</v>
      </c>
      <c r="I6" s="4">
        <f t="shared" ref="I6:I9" si="0">INT(H6)</f>
        <v>23</v>
      </c>
      <c r="J6" s="4">
        <f>INT((H6-I6)*60)</f>
        <v>1</v>
      </c>
      <c r="K6" s="4">
        <f t="shared" ref="K6:K9" si="1">(((H6-I6)*60)-INT((H6-I6)*60))*60</f>
        <v>45.000000000006821</v>
      </c>
      <c r="L6" t="str">
        <f>IF(G6&lt;=90,"NE",IF(G6&lt;=180,"SE",IF(G6&lt;=270,"SW","NW")))</f>
        <v>SE</v>
      </c>
    </row>
    <row r="7" spans="2:16" x14ac:dyDescent="0.25">
      <c r="C7" s="23" t="s">
        <v>32</v>
      </c>
      <c r="D7" s="6">
        <v>295</v>
      </c>
      <c r="E7" s="6">
        <v>58</v>
      </c>
      <c r="F7" s="6">
        <v>40</v>
      </c>
      <c r="G7" s="8">
        <f t="shared" ref="G7:G9" si="2">D7+(E7/60)+(F7/3600)</f>
        <v>295.97777777777776</v>
      </c>
      <c r="H7" s="8">
        <f t="shared" ref="H7:H9" si="3">IF(G7&lt;=90,G7,IF(G7&lt;=180,180-G7,IF(G7&lt;=270,G7-180,360-G7)))</f>
        <v>64.02222222222224</v>
      </c>
      <c r="I7" s="4">
        <f t="shared" si="0"/>
        <v>64</v>
      </c>
      <c r="J7" s="4">
        <f t="shared" ref="J7:J9" si="4">(H7-I7)*60</f>
        <v>1.3333333333343944</v>
      </c>
      <c r="K7" s="4">
        <f t="shared" si="1"/>
        <v>20.000000000063665</v>
      </c>
      <c r="L7" t="str">
        <f t="shared" ref="L7:L8" si="5">IF(G7&lt;=90,"NE",IF(G7&lt;=180,"SE",IF(G7&lt;=270,"SW","NW")))</f>
        <v>NW</v>
      </c>
    </row>
    <row r="8" spans="2:16" x14ac:dyDescent="0.25">
      <c r="C8" s="23" t="s">
        <v>33</v>
      </c>
      <c r="D8" s="6">
        <v>61</v>
      </c>
      <c r="E8" s="6">
        <v>1</v>
      </c>
      <c r="F8" s="41">
        <v>10</v>
      </c>
      <c r="G8" s="8">
        <f t="shared" si="2"/>
        <v>61.019444444444446</v>
      </c>
      <c r="H8" s="8">
        <f t="shared" si="3"/>
        <v>61.019444444444446</v>
      </c>
      <c r="I8" s="4">
        <f t="shared" si="0"/>
        <v>61</v>
      </c>
      <c r="J8" s="4">
        <f t="shared" si="4"/>
        <v>1.1666666666667425</v>
      </c>
      <c r="K8" s="4">
        <f t="shared" si="1"/>
        <v>10.000000000004547</v>
      </c>
      <c r="L8" t="str">
        <f t="shared" si="5"/>
        <v>NE</v>
      </c>
    </row>
    <row r="10" spans="2:16" x14ac:dyDescent="0.25">
      <c r="G10" s="28" t="s">
        <v>39</v>
      </c>
      <c r="H10" s="28"/>
      <c r="I10" s="28"/>
      <c r="J10" s="28"/>
      <c r="M10" s="28" t="s">
        <v>56</v>
      </c>
      <c r="N10" s="28"/>
      <c r="O10" s="28"/>
      <c r="P10" s="28"/>
    </row>
    <row r="11" spans="2:16" x14ac:dyDescent="0.25">
      <c r="B11" s="22" t="s">
        <v>34</v>
      </c>
      <c r="C11" s="22"/>
      <c r="D11" s="22"/>
      <c r="G11" s="24" t="s">
        <v>40</v>
      </c>
      <c r="H11" s="24"/>
      <c r="I11" s="24" t="s">
        <v>41</v>
      </c>
      <c r="J11" s="24"/>
      <c r="M11" s="24" t="s">
        <v>40</v>
      </c>
      <c r="N11" s="24"/>
      <c r="O11" s="24" t="s">
        <v>41</v>
      </c>
      <c r="P11" s="24"/>
    </row>
    <row r="12" spans="2:16" x14ac:dyDescent="0.25">
      <c r="B12" s="25" t="s">
        <v>8</v>
      </c>
      <c r="C12" s="25" t="s">
        <v>35</v>
      </c>
      <c r="D12" s="25" t="s">
        <v>36</v>
      </c>
      <c r="E12" s="25" t="s">
        <v>37</v>
      </c>
      <c r="F12" s="25" t="s">
        <v>38</v>
      </c>
      <c r="G12" s="25" t="s">
        <v>43</v>
      </c>
      <c r="H12" s="25" t="s">
        <v>42</v>
      </c>
      <c r="I12" s="25" t="s">
        <v>46</v>
      </c>
      <c r="J12" s="25" t="s">
        <v>47</v>
      </c>
      <c r="K12" s="37" t="s">
        <v>54</v>
      </c>
      <c r="L12" s="37" t="s">
        <v>55</v>
      </c>
      <c r="M12" s="25" t="s">
        <v>43</v>
      </c>
      <c r="N12" s="25" t="s">
        <v>42</v>
      </c>
      <c r="O12" s="25" t="s">
        <v>46</v>
      </c>
      <c r="P12" s="25" t="s">
        <v>47</v>
      </c>
    </row>
    <row r="13" spans="2:16" x14ac:dyDescent="0.25">
      <c r="B13" s="26" t="s">
        <v>31</v>
      </c>
      <c r="C13" s="25">
        <v>89.51</v>
      </c>
      <c r="D13" s="27">
        <f>H6</f>
        <v>23.029166666666669</v>
      </c>
      <c r="E13" s="42">
        <f>SIN(D13*PI()/180)</f>
        <v>0.3911996648565238</v>
      </c>
      <c r="F13" s="42">
        <f>COS(D13*PI()/180)</f>
        <v>0.92030583080633765</v>
      </c>
      <c r="G13" s="42">
        <f>IF(RIGHT(L6,1)="E",E13*C13," ")</f>
        <v>35.016282001307445</v>
      </c>
      <c r="H13" s="42" t="str">
        <f>IF(RIGHT(L6,1)="W",E13*C13," ")</f>
        <v xml:space="preserve"> </v>
      </c>
      <c r="I13" s="42" t="str">
        <f>IF(LEFT(L6,1)="N",F13*C13," ")</f>
        <v xml:space="preserve"> </v>
      </c>
      <c r="J13" s="42">
        <f>IF(LEFT(L6,1)="S",F13*C13," ")</f>
        <v>82.376574915475288</v>
      </c>
      <c r="K13" s="42">
        <f>IF(G13&lt;&gt;" ",-$G$18*G13/($G$17+$H$17),$G$18*H13/($G$17+$H$17))</f>
        <v>-1.0723446482999461</v>
      </c>
      <c r="L13" s="42">
        <f>IF(I13&lt;&gt;" ",-$I$18*I13/($I$17+$J$17),$I$18*J13/($I$17+$J$17))</f>
        <v>2.8251263358300784</v>
      </c>
      <c r="M13" s="42">
        <f>IF(G13&lt;&gt;" ",G13+K13," ")</f>
        <v>33.943937353007499</v>
      </c>
      <c r="N13" s="42" t="str">
        <f>IF(H13&lt;&gt;" ",H13+K13," ")</f>
        <v xml:space="preserve"> </v>
      </c>
      <c r="O13" s="42" t="str">
        <f>IF(I13&lt;&gt;" ",I13+L13," ")</f>
        <v xml:space="preserve"> </v>
      </c>
      <c r="P13" s="42">
        <f>IF(J13&lt;&gt;" ",J13+L13," ")</f>
        <v>85.201701251305366</v>
      </c>
    </row>
    <row r="14" spans="2:16" x14ac:dyDescent="0.25">
      <c r="B14" s="26" t="s">
        <v>32</v>
      </c>
      <c r="C14" s="25">
        <v>111.25</v>
      </c>
      <c r="D14" s="27">
        <f t="shared" ref="D14:D15" si="6">H7</f>
        <v>64.02222222222224</v>
      </c>
      <c r="E14" s="42">
        <f t="shared" ref="E14:E15" si="7">SIN(D14*PI()/180)</f>
        <v>0.8989640013563438</v>
      </c>
      <c r="F14" s="42">
        <f t="shared" ref="F14:F15" si="8">COS(D14*PI()/180)</f>
        <v>0.4380225157059755</v>
      </c>
      <c r="G14" s="42" t="str">
        <f t="shared" ref="G14:G15" si="9">IF(RIGHT(L7,1)="E",E14*C14," ")</f>
        <v xml:space="preserve"> </v>
      </c>
      <c r="H14" s="42">
        <f t="shared" ref="H14:H15" si="10">IF(RIGHT(L7,1)="W",E14*C14," ")</f>
        <v>100.00974515089325</v>
      </c>
      <c r="I14" s="42">
        <f t="shared" ref="I14:I15" si="11">IF(LEFT(L7,1)="N",F14*C14," ")</f>
        <v>48.730004872289776</v>
      </c>
      <c r="J14" s="42" t="str">
        <f t="shared" ref="J14:J15" si="12">IF(LEFT(L7,1)="S",F14*C14," ")</f>
        <v xml:space="preserve"> </v>
      </c>
      <c r="K14" s="42">
        <f t="shared" ref="K14:K15" si="13">IF(G14&lt;&gt;" ",-$G$18*G14/($G$17+$H$17),$G$18*H14/($G$17+$H$17))</f>
        <v>3.0627156528610757</v>
      </c>
      <c r="L14" s="42">
        <f t="shared" ref="L14:L15" si="14">IF(I14&lt;&gt;" ",-$I$18*I14/($I$17+$J$17),$I$18*J14/($I$17+$J$17))</f>
        <v>-1.6712083532374622</v>
      </c>
      <c r="M14" s="42" t="str">
        <f t="shared" ref="M14:M15" si="15">IF(G14&lt;&gt;" ",G14+K14," ")</f>
        <v xml:space="preserve"> </v>
      </c>
      <c r="N14" s="42">
        <f t="shared" ref="N14:N15" si="16">IF(H14&lt;&gt;" ",H14+K14," ")</f>
        <v>103.07246080375432</v>
      </c>
      <c r="O14" s="42">
        <f t="shared" ref="O14:O15" si="17">IF(I14&lt;&gt;" ",I14+L14," ")</f>
        <v>47.058796519052315</v>
      </c>
      <c r="P14" s="42" t="str">
        <f t="shared" ref="P14:P15" si="18">IF(J14&lt;&gt;" ",J14+L14," ")</f>
        <v xml:space="preserve"> </v>
      </c>
    </row>
    <row r="15" spans="2:16" ht="15" customHeight="1" x14ac:dyDescent="0.25">
      <c r="B15" s="26" t="s">
        <v>33</v>
      </c>
      <c r="C15" s="25">
        <v>81.52</v>
      </c>
      <c r="D15" s="27">
        <f t="shared" si="6"/>
        <v>61.019444444444446</v>
      </c>
      <c r="E15" s="42">
        <f t="shared" si="7"/>
        <v>0.87478418640615474</v>
      </c>
      <c r="F15" s="42">
        <f t="shared" si="8"/>
        <v>0.48451277301400614</v>
      </c>
      <c r="G15" s="42">
        <f t="shared" si="9"/>
        <v>71.312406875829737</v>
      </c>
      <c r="H15" s="42" t="str">
        <f t="shared" si="10"/>
        <v xml:space="preserve"> </v>
      </c>
      <c r="I15" s="42">
        <f t="shared" si="11"/>
        <v>39.497481256101779</v>
      </c>
      <c r="J15" s="42" t="str">
        <f t="shared" si="12"/>
        <v xml:space="preserve"> </v>
      </c>
      <c r="K15" s="42">
        <f t="shared" si="13"/>
        <v>-2.1838834250829082</v>
      </c>
      <c r="L15" s="42">
        <f t="shared" si="14"/>
        <v>-1.3545765238487182</v>
      </c>
      <c r="M15" s="42">
        <f t="shared" si="15"/>
        <v>69.128523450746826</v>
      </c>
      <c r="N15" s="42" t="str">
        <f t="shared" si="16"/>
        <v xml:space="preserve"> </v>
      </c>
      <c r="O15" s="42">
        <f t="shared" si="17"/>
        <v>38.142904732253058</v>
      </c>
      <c r="P15" s="42" t="str">
        <f t="shared" si="18"/>
        <v xml:space="preserve"> </v>
      </c>
    </row>
    <row r="16" spans="2:16" ht="15" customHeight="1" x14ac:dyDescent="0.25">
      <c r="B16" s="30"/>
      <c r="C16" s="31"/>
      <c r="D16" s="32"/>
      <c r="E16" s="31"/>
      <c r="F16" s="31"/>
      <c r="G16" s="34" t="s">
        <v>50</v>
      </c>
      <c r="H16" s="35" t="s">
        <v>51</v>
      </c>
      <c r="I16" s="36" t="s">
        <v>52</v>
      </c>
      <c r="J16" s="35" t="s">
        <v>53</v>
      </c>
      <c r="L16" s="46"/>
      <c r="M16" s="34" t="s">
        <v>50</v>
      </c>
      <c r="N16" s="35" t="s">
        <v>51</v>
      </c>
      <c r="O16" s="36" t="s">
        <v>52</v>
      </c>
      <c r="P16" s="35" t="s">
        <v>53</v>
      </c>
    </row>
    <row r="17" spans="2:16" x14ac:dyDescent="0.25">
      <c r="G17" s="47">
        <f>SUM(G13:G15)</f>
        <v>106.32868887713718</v>
      </c>
      <c r="H17" s="47">
        <f t="shared" ref="H17:J17" si="19">SUM(H13:H15)</f>
        <v>100.00974515089325</v>
      </c>
      <c r="I17" s="47">
        <f t="shared" si="19"/>
        <v>88.227486128391547</v>
      </c>
      <c r="J17" s="47">
        <f t="shared" si="19"/>
        <v>82.376574915475288</v>
      </c>
      <c r="M17" s="47">
        <f>SUM(M13:M15)</f>
        <v>103.07246080375432</v>
      </c>
      <c r="N17" s="47">
        <f t="shared" ref="N17" si="20">SUM(N13:N15)</f>
        <v>103.07246080375432</v>
      </c>
      <c r="O17" s="47">
        <f t="shared" ref="O17" si="21">SUM(O13:O15)</f>
        <v>85.201701251305366</v>
      </c>
      <c r="P17" s="47">
        <f t="shared" ref="P17" si="22">SUM(P13:P15)</f>
        <v>85.201701251305366</v>
      </c>
    </row>
    <row r="18" spans="2:16" x14ac:dyDescent="0.25">
      <c r="G18" s="48">
        <f>G17-H17</f>
        <v>6.3189437262439299</v>
      </c>
      <c r="H18" s="43"/>
      <c r="I18" s="48">
        <f>I17-J17</f>
        <v>5.8509112129162588</v>
      </c>
      <c r="J18" s="44"/>
      <c r="M18" s="48">
        <f>M17-N17</f>
        <v>0</v>
      </c>
      <c r="N18" s="43"/>
      <c r="O18" s="48">
        <f>O17-P17</f>
        <v>0</v>
      </c>
      <c r="P18" s="44"/>
    </row>
    <row r="19" spans="2:16" x14ac:dyDescent="0.25">
      <c r="B19" t="s">
        <v>44</v>
      </c>
      <c r="G19" s="22" t="s">
        <v>48</v>
      </c>
      <c r="I19" s="22" t="s">
        <v>49</v>
      </c>
      <c r="M19" s="22" t="s">
        <v>48</v>
      </c>
      <c r="O19" s="22" t="s">
        <v>49</v>
      </c>
    </row>
    <row r="20" spans="2:16" x14ac:dyDescent="0.25">
      <c r="B20" t="s">
        <v>45</v>
      </c>
    </row>
    <row r="21" spans="2:16" x14ac:dyDescent="0.25">
      <c r="G21" t="s">
        <v>69</v>
      </c>
    </row>
    <row r="22" spans="2:16" x14ac:dyDescent="0.25">
      <c r="G22" s="38" t="s">
        <v>57</v>
      </c>
      <c r="I22" t="s">
        <v>58</v>
      </c>
      <c r="K22" t="s">
        <v>68</v>
      </c>
    </row>
    <row r="23" spans="2:16" ht="15" customHeight="1" x14ac:dyDescent="0.25">
      <c r="G23" s="49">
        <f>(G18*G18+I18*I18)^(1/2)</f>
        <v>8.6117484773341317</v>
      </c>
      <c r="I23" s="46">
        <f>SUM(C13:C15)/G23</f>
        <v>32.778477070359479</v>
      </c>
    </row>
    <row r="24" spans="2:16" x14ac:dyDescent="0.25">
      <c r="G24" s="39" t="s">
        <v>61</v>
      </c>
    </row>
    <row r="25" spans="2:16" x14ac:dyDescent="0.25">
      <c r="G25" s="49">
        <f>1/I23</f>
        <v>3.0507823711683903E-2</v>
      </c>
      <c r="H25" t="s">
        <v>59</v>
      </c>
    </row>
    <row r="26" spans="2:16" x14ac:dyDescent="0.25">
      <c r="G26" t="s">
        <v>60</v>
      </c>
    </row>
    <row r="29" spans="2:16" ht="15.75" x14ac:dyDescent="0.25">
      <c r="L29" s="16"/>
      <c r="O29" s="16"/>
    </row>
  </sheetData>
  <mergeCells count="10">
    <mergeCell ref="M10:P10"/>
    <mergeCell ref="M11:N11"/>
    <mergeCell ref="O11:P11"/>
    <mergeCell ref="G11:H11"/>
    <mergeCell ref="I11:J11"/>
    <mergeCell ref="D3:F3"/>
    <mergeCell ref="I3:L3"/>
    <mergeCell ref="D4:F4"/>
    <mergeCell ref="I4:L4"/>
    <mergeCell ref="G10:J10"/>
  </mergeCells>
  <hyperlinks>
    <hyperlink ref="D1" r:id="rId1" display="gabrielbgab@gmail.com" xr:uid="{CD3EB066-5B46-444E-A219-1B5C3D94D85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3E17-A318-49A3-8BAA-351451524F96}">
  <dimension ref="A1:O29"/>
  <sheetViews>
    <sheetView showGridLines="0" workbookViewId="0">
      <selection activeCell="H21" sqref="H21"/>
    </sheetView>
  </sheetViews>
  <sheetFormatPr defaultRowHeight="15" x14ac:dyDescent="0.25"/>
  <cols>
    <col min="3" max="3" width="10.85546875" customWidth="1"/>
    <col min="4" max="4" width="19" customWidth="1"/>
    <col min="5" max="5" width="13" customWidth="1"/>
    <col min="6" max="6" width="11.140625" customWidth="1"/>
    <col min="7" max="7" width="16.140625" customWidth="1"/>
    <col min="8" max="8" width="12.140625" customWidth="1"/>
  </cols>
  <sheetData>
    <row r="1" spans="1:12" x14ac:dyDescent="0.25">
      <c r="D1" s="18" t="s">
        <v>20</v>
      </c>
      <c r="E1" s="13"/>
    </row>
    <row r="2" spans="1:12" ht="18.75" x14ac:dyDescent="0.3">
      <c r="D2" s="17" t="s">
        <v>19</v>
      </c>
      <c r="E2" s="13"/>
    </row>
    <row r="5" spans="1:12" x14ac:dyDescent="0.25">
      <c r="F5" t="s">
        <v>63</v>
      </c>
    </row>
    <row r="8" spans="1:12" x14ac:dyDescent="0.25">
      <c r="B8" s="28" t="s">
        <v>56</v>
      </c>
      <c r="C8" s="28"/>
      <c r="D8" s="28"/>
      <c r="E8" s="28"/>
    </row>
    <row r="9" spans="1:12" x14ac:dyDescent="0.25">
      <c r="B9" s="24" t="s">
        <v>40</v>
      </c>
      <c r="C9" s="24"/>
      <c r="D9" s="24" t="s">
        <v>40</v>
      </c>
      <c r="E9" s="24"/>
      <c r="F9" t="s">
        <v>62</v>
      </c>
    </row>
    <row r="10" spans="1:12" x14ac:dyDescent="0.25">
      <c r="A10" s="25" t="s">
        <v>8</v>
      </c>
      <c r="B10" s="25" t="s">
        <v>43</v>
      </c>
      <c r="C10" s="25" t="s">
        <v>42</v>
      </c>
      <c r="D10" s="25" t="s">
        <v>46</v>
      </c>
      <c r="E10" s="25" t="s">
        <v>47</v>
      </c>
      <c r="G10" s="25" t="s">
        <v>64</v>
      </c>
      <c r="H10" s="25" t="s">
        <v>65</v>
      </c>
    </row>
    <row r="11" spans="1:12" x14ac:dyDescent="0.25">
      <c r="A11" s="26" t="s">
        <v>31</v>
      </c>
      <c r="B11" s="25">
        <f>calculo_coordenadas!M13</f>
        <v>33.943937353007499</v>
      </c>
      <c r="C11" s="25" t="str">
        <f>calculo_coordenadas!N13</f>
        <v xml:space="preserve"> </v>
      </c>
      <c r="D11" s="25" t="str">
        <f>calculo_coordenadas!O13</f>
        <v xml:space="preserve"> </v>
      </c>
      <c r="E11" s="25">
        <f>calculo_coordenadas!P13</f>
        <v>85.201701251305366</v>
      </c>
      <c r="F11" s="42">
        <f>F13+F13+B11</f>
        <v>172.20098425450115</v>
      </c>
      <c r="G11" s="47" t="str">
        <f>IFERROR(D11*F11,"")</f>
        <v/>
      </c>
      <c r="H11" s="42">
        <f>IFERROR(E11*F11,"")</f>
        <v>14671.816815632747</v>
      </c>
    </row>
    <row r="12" spans="1:12" x14ac:dyDescent="0.25">
      <c r="A12" s="26" t="s">
        <v>32</v>
      </c>
      <c r="B12" s="25" t="str">
        <f>calculo_coordenadas!M14</f>
        <v xml:space="preserve"> </v>
      </c>
      <c r="C12" s="25">
        <f>calculo_coordenadas!N14</f>
        <v>103.07246080375432</v>
      </c>
      <c r="D12" s="25">
        <f>calculo_coordenadas!O14</f>
        <v>47.058796519052315</v>
      </c>
      <c r="E12" s="25" t="str">
        <f>calculo_coordenadas!P14</f>
        <v xml:space="preserve"> </v>
      </c>
      <c r="F12" s="42">
        <f>F11-C12+B11</f>
        <v>103.07246080375432</v>
      </c>
      <c r="G12" s="42">
        <f t="shared" ref="G12:G13" si="0">IFERROR(D12*F12,"")</f>
        <v>4850.4659596818701</v>
      </c>
      <c r="H12" s="42" t="str">
        <f t="shared" ref="H12:H13" si="1">IFERROR(E12*F12,"")</f>
        <v/>
      </c>
    </row>
    <row r="13" spans="1:12" x14ac:dyDescent="0.25">
      <c r="A13" s="50" t="s">
        <v>33</v>
      </c>
      <c r="B13" s="35">
        <f>calculo_coordenadas!M15</f>
        <v>69.128523450746826</v>
      </c>
      <c r="C13" s="35" t="str">
        <f>calculo_coordenadas!N15</f>
        <v xml:space="preserve"> </v>
      </c>
      <c r="D13" s="35">
        <f>calculo_coordenadas!O15</f>
        <v>38.142904732253058</v>
      </c>
      <c r="E13" s="35" t="str">
        <f>calculo_coordenadas!P15</f>
        <v xml:space="preserve"> </v>
      </c>
      <c r="F13" s="47">
        <f>B13</f>
        <v>69.128523450746826</v>
      </c>
      <c r="G13" s="47">
        <f t="shared" si="0"/>
        <v>2636.7626842631576</v>
      </c>
      <c r="H13" s="47" t="str">
        <f t="shared" si="1"/>
        <v/>
      </c>
      <c r="I13" s="38" t="s">
        <v>67</v>
      </c>
      <c r="J13" s="38"/>
      <c r="K13" s="38"/>
      <c r="L13" s="38"/>
    </row>
    <row r="14" spans="1:12" x14ac:dyDescent="0.25">
      <c r="B14" s="34" t="s">
        <v>50</v>
      </c>
      <c r="C14" s="35" t="s">
        <v>51</v>
      </c>
      <c r="D14" s="36" t="s">
        <v>52</v>
      </c>
      <c r="E14" s="35" t="s">
        <v>53</v>
      </c>
      <c r="F14" s="45"/>
      <c r="G14" s="42">
        <f>SUM(G11:G13)</f>
        <v>7487.2286439450272</v>
      </c>
      <c r="H14" s="42">
        <f>SUM(H11:H13)</f>
        <v>14671.816815632747</v>
      </c>
    </row>
    <row r="15" spans="1:12" ht="15" customHeight="1" x14ac:dyDescent="0.25">
      <c r="B15" s="34">
        <f>SUM(B11:B13)</f>
        <v>103.07246080375432</v>
      </c>
      <c r="C15" s="35">
        <f t="shared" ref="C15" si="2">SUM(C11:C13)</f>
        <v>103.07246080375432</v>
      </c>
      <c r="D15" s="36">
        <f t="shared" ref="D15" si="3">SUM(D11:D13)</f>
        <v>85.201701251305366</v>
      </c>
      <c r="E15" s="35">
        <f t="shared" ref="E15" si="4">SUM(E11:E13)</f>
        <v>85.201701251305366</v>
      </c>
      <c r="F15" s="45"/>
      <c r="G15" s="46">
        <f>ABS(G14-H14)</f>
        <v>7184.5881716877193</v>
      </c>
      <c r="H15" s="46"/>
    </row>
    <row r="16" spans="1:12" ht="15" customHeight="1" x14ac:dyDescent="0.25">
      <c r="B16" s="33">
        <f>B15-C15</f>
        <v>0</v>
      </c>
      <c r="C16" s="29"/>
      <c r="D16" s="33">
        <f>D15-E15</f>
        <v>0</v>
      </c>
      <c r="E16" s="29"/>
    </row>
    <row r="17" spans="2:15" x14ac:dyDescent="0.25">
      <c r="B17" s="22" t="s">
        <v>48</v>
      </c>
      <c r="D17" s="22" t="s">
        <v>49</v>
      </c>
      <c r="G17" t="s">
        <v>66</v>
      </c>
    </row>
    <row r="18" spans="2:15" x14ac:dyDescent="0.25">
      <c r="G18" s="46">
        <f>G15/2</f>
        <v>3592.2940858438596</v>
      </c>
    </row>
    <row r="23" spans="2:15" ht="15" customHeight="1" x14ac:dyDescent="0.25"/>
    <row r="29" spans="2:15" ht="15.75" x14ac:dyDescent="0.25">
      <c r="L29" s="16"/>
      <c r="O29" s="16"/>
    </row>
  </sheetData>
  <mergeCells count="3">
    <mergeCell ref="B8:E8"/>
    <mergeCell ref="B9:C9"/>
    <mergeCell ref="D9:E9"/>
  </mergeCells>
  <hyperlinks>
    <hyperlink ref="D1" r:id="rId1" display="gabrielbgab@gmail.com" xr:uid="{F4949CBF-399A-4DB5-BAFB-CCBB5E1935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F6FC-F668-4E81-A256-2036980A2BE5}">
  <dimension ref="C1:R28"/>
  <sheetViews>
    <sheetView showGridLines="0" workbookViewId="0">
      <selection activeCell="O7" sqref="O7"/>
    </sheetView>
  </sheetViews>
  <sheetFormatPr defaultRowHeight="15" x14ac:dyDescent="0.25"/>
  <cols>
    <col min="3" max="3" width="5.7109375" customWidth="1"/>
    <col min="4" max="4" width="19" customWidth="1"/>
    <col min="5" max="5" width="10" customWidth="1"/>
    <col min="7" max="7" width="10" customWidth="1"/>
  </cols>
  <sheetData>
    <row r="1" spans="3:18" x14ac:dyDescent="0.25">
      <c r="D1" s="18" t="s">
        <v>20</v>
      </c>
      <c r="E1" s="13"/>
    </row>
    <row r="2" spans="3:18" ht="18.75" x14ac:dyDescent="0.3">
      <c r="D2" s="17" t="s">
        <v>19</v>
      </c>
      <c r="E2" s="13"/>
    </row>
    <row r="3" spans="3:18" ht="15.75" x14ac:dyDescent="0.25">
      <c r="C3">
        <v>0</v>
      </c>
      <c r="D3" s="19" t="s">
        <v>9</v>
      </c>
      <c r="E3" s="19"/>
      <c r="F3" s="19"/>
      <c r="G3">
        <v>0</v>
      </c>
      <c r="I3" s="20" t="s">
        <v>10</v>
      </c>
      <c r="J3" s="20"/>
      <c r="K3" s="20"/>
      <c r="L3" s="20"/>
    </row>
    <row r="4" spans="3:18" ht="15.75" x14ac:dyDescent="0.25">
      <c r="D4" s="19" t="s">
        <v>25</v>
      </c>
      <c r="E4" s="19"/>
      <c r="F4" s="19"/>
      <c r="G4" s="2" t="s">
        <v>15</v>
      </c>
      <c r="H4" s="2" t="s">
        <v>14</v>
      </c>
      <c r="I4" s="20" t="s">
        <v>26</v>
      </c>
      <c r="J4" s="20"/>
      <c r="K4" s="20"/>
      <c r="L4" s="20"/>
    </row>
    <row r="5" spans="3:18" x14ac:dyDescent="0.25">
      <c r="C5" t="s">
        <v>8</v>
      </c>
      <c r="D5" s="5" t="s">
        <v>11</v>
      </c>
      <c r="E5" s="5" t="s">
        <v>12</v>
      </c>
      <c r="F5" s="5" t="s">
        <v>13</v>
      </c>
      <c r="G5" s="7" t="s">
        <v>11</v>
      </c>
      <c r="H5" s="7" t="s">
        <v>11</v>
      </c>
      <c r="I5" s="3" t="s">
        <v>11</v>
      </c>
      <c r="J5" s="3" t="s">
        <v>12</v>
      </c>
      <c r="K5" s="3" t="s">
        <v>13</v>
      </c>
      <c r="L5" s="1"/>
    </row>
    <row r="6" spans="3:18" x14ac:dyDescent="0.25">
      <c r="C6" t="s">
        <v>21</v>
      </c>
      <c r="D6" s="6">
        <v>61</v>
      </c>
      <c r="E6" s="6">
        <v>2</v>
      </c>
      <c r="F6" s="6">
        <v>25</v>
      </c>
      <c r="G6" s="8">
        <f>D6+(E6/60)+(F6/3600)</f>
        <v>61.040277777777774</v>
      </c>
      <c r="H6" s="8">
        <f>IF(G6&lt;=90,G6,IF(G6&lt;=180,180-G6,IF(G6&lt;=270,G6-180,360-G6)))</f>
        <v>61.040277777777774</v>
      </c>
      <c r="I6" s="4">
        <f t="shared" ref="I6:I9" si="0">INT(H6)</f>
        <v>61</v>
      </c>
      <c r="J6" s="4">
        <f>INT((H6-I6)*60)</f>
        <v>2</v>
      </c>
      <c r="K6" s="4">
        <f t="shared" ref="K6:K9" si="1">(((H6-I6)*60)-INT((H6-I6)*60))*60</f>
        <v>24.999999999987494</v>
      </c>
      <c r="L6" t="str">
        <f>IF(G6&lt;=90,"NE",IF(G6&lt;=180,"SE",IF(G6&lt;=270,"SW","NW")))</f>
        <v>NE</v>
      </c>
      <c r="N6">
        <f>301+180</f>
        <v>481</v>
      </c>
      <c r="O6">
        <f>N6-360</f>
        <v>121</v>
      </c>
      <c r="Q6">
        <v>360</v>
      </c>
    </row>
    <row r="7" spans="3:18" x14ac:dyDescent="0.25">
      <c r="C7" t="s">
        <v>22</v>
      </c>
      <c r="D7" s="6">
        <v>121</v>
      </c>
      <c r="E7" s="6">
        <v>2</v>
      </c>
      <c r="F7" s="6">
        <v>40</v>
      </c>
      <c r="G7" s="8">
        <f t="shared" ref="G7:G9" si="2">D7+(E7/60)+(F7/3600)</f>
        <v>121.04444444444444</v>
      </c>
      <c r="H7" s="8">
        <f t="shared" ref="H7:H9" si="3">IF(G7&lt;=90,G7,IF(G7&lt;=180,180-G7,IF(G7&lt;=270,G7-180,360-G7)))</f>
        <v>58.955555555555563</v>
      </c>
      <c r="I7" s="4">
        <f t="shared" si="0"/>
        <v>58</v>
      </c>
      <c r="J7" s="4">
        <f t="shared" ref="J7:J9" si="4">(H7-I7)*60</f>
        <v>57.333333333333769</v>
      </c>
      <c r="K7" s="4">
        <f t="shared" si="1"/>
        <v>20.000000000026148</v>
      </c>
      <c r="L7" t="str">
        <f t="shared" ref="L7:L9" si="5">IF(G7&lt;=90,"NE",IF(G7&lt;=180,"SE",IF(G7&lt;=270,"SW","NW")))</f>
        <v>SE</v>
      </c>
      <c r="N7">
        <f>N6-360</f>
        <v>121</v>
      </c>
    </row>
    <row r="8" spans="3:18" x14ac:dyDescent="0.25">
      <c r="C8" t="s">
        <v>23</v>
      </c>
      <c r="D8" s="6">
        <v>241</v>
      </c>
      <c r="E8" s="6">
        <v>2</v>
      </c>
      <c r="F8" s="6">
        <v>15</v>
      </c>
      <c r="G8" s="8">
        <f t="shared" si="2"/>
        <v>241.03749999999999</v>
      </c>
      <c r="H8" s="8">
        <f t="shared" si="3"/>
        <v>61.037499999999994</v>
      </c>
      <c r="I8" s="4">
        <f t="shared" si="0"/>
        <v>61</v>
      </c>
      <c r="J8" s="4">
        <f t="shared" si="4"/>
        <v>2.2499999999996589</v>
      </c>
      <c r="K8" s="4">
        <f t="shared" si="1"/>
        <v>14.999999999979536</v>
      </c>
      <c r="L8" t="str">
        <f t="shared" si="5"/>
        <v>SW</v>
      </c>
    </row>
    <row r="9" spans="3:18" x14ac:dyDescent="0.25">
      <c r="C9" t="s">
        <v>24</v>
      </c>
      <c r="D9" s="6">
        <v>301</v>
      </c>
      <c r="E9" s="6">
        <v>2</v>
      </c>
      <c r="F9" s="6">
        <v>5</v>
      </c>
      <c r="G9" s="8">
        <f t="shared" si="2"/>
        <v>301.03472222222223</v>
      </c>
      <c r="H9" s="8">
        <f t="shared" si="3"/>
        <v>58.965277777777771</v>
      </c>
      <c r="I9" s="4">
        <f t="shared" si="0"/>
        <v>58</v>
      </c>
      <c r="J9" s="4">
        <f t="shared" si="4"/>
        <v>57.916666666666288</v>
      </c>
      <c r="K9" s="4">
        <f t="shared" si="1"/>
        <v>54.999999999977263</v>
      </c>
      <c r="L9" t="str">
        <f t="shared" si="5"/>
        <v>NW</v>
      </c>
    </row>
    <row r="13" spans="3:18" ht="15.75" x14ac:dyDescent="0.25">
      <c r="D13" s="22" t="s">
        <v>25</v>
      </c>
      <c r="E13" s="22"/>
      <c r="F13" s="22"/>
      <c r="I13">
        <v>0</v>
      </c>
      <c r="J13" s="19" t="s">
        <v>9</v>
      </c>
      <c r="K13" s="19"/>
      <c r="L13" s="19"/>
      <c r="M13">
        <v>0</v>
      </c>
      <c r="O13" s="20" t="s">
        <v>10</v>
      </c>
      <c r="P13" s="20"/>
      <c r="Q13" s="20"/>
      <c r="R13" s="20"/>
    </row>
    <row r="14" spans="3:18" ht="15.75" x14ac:dyDescent="0.25">
      <c r="D14" s="21" t="s">
        <v>9</v>
      </c>
      <c r="E14" s="11" t="s">
        <v>16</v>
      </c>
      <c r="F14" s="9"/>
      <c r="J14" s="19" t="s">
        <v>27</v>
      </c>
      <c r="K14" s="19"/>
      <c r="L14" s="19"/>
      <c r="M14" s="2" t="s">
        <v>15</v>
      </c>
      <c r="N14" s="2" t="s">
        <v>14</v>
      </c>
      <c r="O14" s="20" t="s">
        <v>26</v>
      </c>
      <c r="P14" s="20"/>
      <c r="Q14" s="20"/>
      <c r="R14" s="20"/>
    </row>
    <row r="15" spans="3:18" ht="15" customHeight="1" x14ac:dyDescent="0.25">
      <c r="C15" t="s">
        <v>8</v>
      </c>
      <c r="D15" s="21"/>
      <c r="E15" s="10"/>
      <c r="F15" s="10"/>
      <c r="I15" t="s">
        <v>8</v>
      </c>
      <c r="J15" s="5" t="s">
        <v>11</v>
      </c>
      <c r="K15" s="5" t="s">
        <v>12</v>
      </c>
      <c r="L15" s="5" t="s">
        <v>13</v>
      </c>
      <c r="M15" s="7" t="s">
        <v>11</v>
      </c>
      <c r="N15" s="7" t="s">
        <v>11</v>
      </c>
      <c r="O15" s="3" t="s">
        <v>11</v>
      </c>
      <c r="P15" s="3" t="s">
        <v>12</v>
      </c>
      <c r="Q15" s="3" t="s">
        <v>13</v>
      </c>
      <c r="R15" s="1"/>
    </row>
    <row r="16" spans="3:18" x14ac:dyDescent="0.25">
      <c r="C16" t="s">
        <v>21</v>
      </c>
      <c r="D16" s="12" t="str">
        <f>D6&amp;"°  "&amp;E6&amp;" ' "&amp;F6&amp;" '' "</f>
        <v xml:space="preserve">61°  2 ' 25 '' </v>
      </c>
      <c r="E16" s="13" t="str">
        <f>I6&amp;"°  "&amp;ROUNDUP(J6,0)&amp;" ' "&amp;ROUNDUP(K6,0)&amp;" '' "</f>
        <v xml:space="preserve">61°  2 ' 25 '' </v>
      </c>
      <c r="F16" s="13" t="str">
        <f>L6</f>
        <v>NE</v>
      </c>
      <c r="I16" t="s">
        <v>21</v>
      </c>
      <c r="J16" s="6">
        <f>IF(D6+180&lt;=360,D6+180,D6-180)</f>
        <v>241</v>
      </c>
      <c r="K16" s="6">
        <v>2</v>
      </c>
      <c r="L16" s="6">
        <v>25</v>
      </c>
      <c r="M16" s="8">
        <f>J16+(K16/60)+(L16/3600)</f>
        <v>241.04027777777779</v>
      </c>
      <c r="N16" s="8">
        <f>IF(M16&lt;=90,M16,IF(M16&lt;=180,180-M16,IF(M16&lt;=270,M16-180,360-M16)))</f>
        <v>61.040277777777789</v>
      </c>
      <c r="O16" s="4">
        <f t="shared" ref="O16:O19" si="6">INT(N16)</f>
        <v>61</v>
      </c>
      <c r="P16" s="4">
        <f>INT((N16-O16)*60)</f>
        <v>2</v>
      </c>
      <c r="Q16" s="4">
        <f t="shared" ref="Q16:Q19" si="7">(((N16-O16)*60)-INT((N16-O16)*60))*60</f>
        <v>25.000000000038654</v>
      </c>
      <c r="R16" t="str">
        <f>IF(M16&lt;=90,"NE",IF(M16&lt;=180,"SE",IF(M16&lt;=270,"SW","NW")))</f>
        <v>SW</v>
      </c>
    </row>
    <row r="17" spans="3:18" x14ac:dyDescent="0.25">
      <c r="C17" t="s">
        <v>28</v>
      </c>
      <c r="D17" s="12" t="str">
        <f>D7&amp;"°  "&amp;E7&amp;" ' "&amp;F7&amp;" '' "</f>
        <v xml:space="preserve">121°  2 ' 40 '' </v>
      </c>
      <c r="E17" s="13" t="str">
        <f>I7&amp;"°  "&amp;ROUNDUP(J7,0)&amp;" ' "&amp;ROUNDUP(K7,0)&amp;" '' "</f>
        <v xml:space="preserve">58°  58 ' 21 '' </v>
      </c>
      <c r="F17" s="13" t="str">
        <f>L7</f>
        <v>SE</v>
      </c>
      <c r="I17" t="s">
        <v>22</v>
      </c>
      <c r="J17" s="6">
        <f t="shared" ref="J17:J19" si="8">IF(D7+180&lt;=360,D7+180,D7-180)</f>
        <v>301</v>
      </c>
      <c r="K17" s="6">
        <v>2</v>
      </c>
      <c r="L17" s="6">
        <v>40</v>
      </c>
      <c r="M17" s="8">
        <f t="shared" ref="M17:M19" si="9">J17+(K17/60)+(L17/3600)</f>
        <v>301.04444444444448</v>
      </c>
      <c r="N17" s="8">
        <f t="shared" ref="N17:N19" si="10">IF(M17&lt;=90,M17,IF(M17&lt;=180,180-M17,IF(M17&lt;=270,M17-180,360-M17)))</f>
        <v>58.95555555555552</v>
      </c>
      <c r="O17" s="4">
        <f t="shared" si="6"/>
        <v>58</v>
      </c>
      <c r="P17" s="4">
        <f t="shared" ref="P17:P19" si="11">(N17-O17)*60</f>
        <v>57.333333333331211</v>
      </c>
      <c r="Q17" s="4">
        <f t="shared" si="7"/>
        <v>19.999999999872671</v>
      </c>
      <c r="R17" t="str">
        <f t="shared" ref="R17:R19" si="12">IF(M17&lt;=90,"NE",IF(M17&lt;=180,"SE",IF(M17&lt;=270,"SW","NW")))</f>
        <v>NW</v>
      </c>
    </row>
    <row r="18" spans="3:18" x14ac:dyDescent="0.25">
      <c r="C18" t="s">
        <v>23</v>
      </c>
      <c r="D18" s="12" t="str">
        <f>D8&amp;"°  "&amp;E8&amp;" ' "&amp;F8&amp;" '' "</f>
        <v xml:space="preserve">241°  2 ' 15 '' </v>
      </c>
      <c r="E18" s="13" t="str">
        <f>I8&amp;"°  "&amp;ROUNDUP(J8,0)&amp;" ' "&amp;ROUNDUP(K8,0)&amp;" '' "</f>
        <v xml:space="preserve">61°  3 ' 15 '' </v>
      </c>
      <c r="F18" s="13" t="str">
        <f>L8</f>
        <v>SW</v>
      </c>
      <c r="I18" t="s">
        <v>23</v>
      </c>
      <c r="J18" s="6">
        <f t="shared" si="8"/>
        <v>61</v>
      </c>
      <c r="K18" s="6">
        <v>2</v>
      </c>
      <c r="L18" s="6">
        <v>15</v>
      </c>
      <c r="M18" s="8">
        <f t="shared" si="9"/>
        <v>61.037500000000001</v>
      </c>
      <c r="N18" s="8">
        <f t="shared" si="10"/>
        <v>61.037500000000001</v>
      </c>
      <c r="O18" s="4">
        <f t="shared" si="6"/>
        <v>61</v>
      </c>
      <c r="P18" s="4">
        <f t="shared" si="11"/>
        <v>2.2500000000000853</v>
      </c>
      <c r="Q18" s="4">
        <f t="shared" si="7"/>
        <v>15.000000000005116</v>
      </c>
      <c r="R18" t="str">
        <f t="shared" si="12"/>
        <v>NE</v>
      </c>
    </row>
    <row r="19" spans="3:18" x14ac:dyDescent="0.25">
      <c r="C19" t="s">
        <v>29</v>
      </c>
      <c r="D19" s="12" t="str">
        <f>D9&amp;"°  "&amp;E9&amp;" ' "&amp;F9&amp;" '' "</f>
        <v xml:space="preserve">301°  2 ' 5 '' </v>
      </c>
      <c r="E19" s="13" t="str">
        <f>I9&amp;"°  "&amp;ROUNDUP(J9,0)&amp;" ' "&amp;ROUNDUP(K9,0)&amp;" '' "</f>
        <v xml:space="preserve">58°  58 ' 55 '' </v>
      </c>
      <c r="F19" s="13" t="str">
        <f>L9</f>
        <v>NW</v>
      </c>
      <c r="I19" t="s">
        <v>24</v>
      </c>
      <c r="J19" s="6">
        <f t="shared" si="8"/>
        <v>121</v>
      </c>
      <c r="K19" s="6">
        <v>2</v>
      </c>
      <c r="L19" s="6">
        <v>5</v>
      </c>
      <c r="M19" s="8">
        <f t="shared" si="9"/>
        <v>121.03472222222221</v>
      </c>
      <c r="N19" s="8">
        <f t="shared" si="10"/>
        <v>58.965277777777786</v>
      </c>
      <c r="O19" s="4">
        <f t="shared" si="6"/>
        <v>58</v>
      </c>
      <c r="P19" s="4">
        <f t="shared" si="11"/>
        <v>57.91666666666714</v>
      </c>
      <c r="Q19" s="4">
        <f t="shared" si="7"/>
        <v>55.000000000028422</v>
      </c>
      <c r="R19" t="str">
        <f t="shared" si="12"/>
        <v>SE</v>
      </c>
    </row>
    <row r="20" spans="3:18" x14ac:dyDescent="0.25">
      <c r="D20" s="22" t="s">
        <v>27</v>
      </c>
      <c r="E20" s="22"/>
      <c r="F20" s="22"/>
    </row>
    <row r="21" spans="3:18" ht="15.75" x14ac:dyDescent="0.25">
      <c r="D21" s="21" t="s">
        <v>9</v>
      </c>
      <c r="E21" s="11" t="s">
        <v>16</v>
      </c>
      <c r="F21" s="9"/>
      <c r="I21" s="40" t="s">
        <v>30</v>
      </c>
      <c r="J21" s="40"/>
      <c r="K21" s="40"/>
      <c r="L21" s="40"/>
      <c r="M21" s="40"/>
      <c r="N21" s="40"/>
      <c r="O21" s="40"/>
    </row>
    <row r="22" spans="3:18" x14ac:dyDescent="0.25">
      <c r="C22" t="s">
        <v>8</v>
      </c>
      <c r="D22" s="21"/>
      <c r="E22" s="10"/>
      <c r="F22" s="10"/>
    </row>
    <row r="23" spans="3:18" x14ac:dyDescent="0.25">
      <c r="C23" t="s">
        <v>21</v>
      </c>
      <c r="D23" s="12" t="str">
        <f>J16&amp;"°  "&amp;K16&amp;" ' "&amp;L16&amp;" '' "</f>
        <v xml:space="preserve">241°  2 ' 25 '' </v>
      </c>
      <c r="E23" s="13" t="str">
        <f>O16&amp;"°  "&amp;ROUNDUP(P16,0)&amp;" ' "&amp;ROUNDUP(Q16,0)&amp;" '' "</f>
        <v xml:space="preserve">61°  2 ' 26 '' </v>
      </c>
      <c r="F23" s="13" t="str">
        <f>R16</f>
        <v>SW</v>
      </c>
    </row>
    <row r="24" spans="3:18" x14ac:dyDescent="0.25">
      <c r="C24" t="s">
        <v>28</v>
      </c>
      <c r="D24" s="12" t="str">
        <f t="shared" ref="D24:D26" si="13">J17&amp;"°  "&amp;K17&amp;" ' "&amp;L17&amp;" '' "</f>
        <v xml:space="preserve">301°  2 ' 40 '' </v>
      </c>
      <c r="E24" s="13" t="str">
        <f t="shared" ref="E24:E26" si="14">O17&amp;"°  "&amp;ROUNDUP(P17,0)&amp;" ' "&amp;ROUNDUP(Q17,0)&amp;" '' "</f>
        <v xml:space="preserve">58°  58 ' 20 '' </v>
      </c>
      <c r="F24" s="13" t="str">
        <f t="shared" ref="F24:F26" si="15">R17</f>
        <v>NW</v>
      </c>
    </row>
    <row r="25" spans="3:18" x14ac:dyDescent="0.25">
      <c r="C25" t="s">
        <v>23</v>
      </c>
      <c r="D25" s="12" t="str">
        <f t="shared" si="13"/>
        <v xml:space="preserve">61°  2 ' 15 '' </v>
      </c>
      <c r="E25" s="13" t="str">
        <f t="shared" si="14"/>
        <v xml:space="preserve">61°  3 ' 16 '' </v>
      </c>
      <c r="F25" s="13" t="str">
        <f t="shared" si="15"/>
        <v>NE</v>
      </c>
    </row>
    <row r="26" spans="3:18" x14ac:dyDescent="0.25">
      <c r="C26" t="s">
        <v>29</v>
      </c>
      <c r="D26" s="12" t="str">
        <f t="shared" si="13"/>
        <v xml:space="preserve">121°  2 ' 5 '' </v>
      </c>
      <c r="E26" s="13" t="str">
        <f t="shared" si="14"/>
        <v xml:space="preserve">58°  58 ' 56 '' </v>
      </c>
      <c r="F26" s="13" t="str">
        <f t="shared" si="15"/>
        <v>SE</v>
      </c>
    </row>
    <row r="28" spans="3:18" ht="15.75" x14ac:dyDescent="0.25">
      <c r="L28" s="16"/>
      <c r="O28" s="16"/>
    </row>
  </sheetData>
  <mergeCells count="10">
    <mergeCell ref="O13:R13"/>
    <mergeCell ref="J14:L14"/>
    <mergeCell ref="O14:R14"/>
    <mergeCell ref="D14:D15"/>
    <mergeCell ref="D21:D22"/>
    <mergeCell ref="D4:F4"/>
    <mergeCell ref="I4:L4"/>
    <mergeCell ref="D3:F3"/>
    <mergeCell ref="I3:L3"/>
    <mergeCell ref="J13:L13"/>
  </mergeCells>
  <hyperlinks>
    <hyperlink ref="D1" r:id="rId1" display="gabrielbgab@gmail.com" xr:uid="{6FC19652-42C6-4B00-8F74-B846C6436E2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C1FA-AD0D-481A-ACFC-E9AAE8115E2D}">
  <dimension ref="C1:S28"/>
  <sheetViews>
    <sheetView showGridLines="0" workbookViewId="0">
      <selection activeCell="H6" sqref="H6:H13"/>
    </sheetView>
  </sheetViews>
  <sheetFormatPr defaultRowHeight="15" x14ac:dyDescent="0.25"/>
  <cols>
    <col min="3" max="3" width="5.7109375" customWidth="1"/>
    <col min="4" max="4" width="19" customWidth="1"/>
    <col min="5" max="5" width="10" customWidth="1"/>
    <col min="7" max="7" width="10" customWidth="1"/>
  </cols>
  <sheetData>
    <row r="1" spans="3:16" x14ac:dyDescent="0.25">
      <c r="D1" s="18" t="s">
        <v>20</v>
      </c>
      <c r="E1" s="13"/>
    </row>
    <row r="2" spans="3:16" ht="18.75" x14ac:dyDescent="0.3">
      <c r="D2" s="17" t="s">
        <v>19</v>
      </c>
      <c r="E2" s="13"/>
    </row>
    <row r="3" spans="3:16" x14ac:dyDescent="0.25">
      <c r="C3">
        <v>0</v>
      </c>
      <c r="G3">
        <v>0</v>
      </c>
    </row>
    <row r="4" spans="3:16" ht="15.75" x14ac:dyDescent="0.25">
      <c r="D4" s="19" t="s">
        <v>9</v>
      </c>
      <c r="E4" s="19"/>
      <c r="F4" s="19"/>
      <c r="G4" s="2" t="s">
        <v>15</v>
      </c>
      <c r="H4" s="2" t="s">
        <v>14</v>
      </c>
      <c r="I4" s="20" t="s">
        <v>10</v>
      </c>
      <c r="J4" s="20"/>
      <c r="K4" s="20"/>
      <c r="L4" s="20"/>
    </row>
    <row r="5" spans="3:16" x14ac:dyDescent="0.25">
      <c r="C5" t="s">
        <v>8</v>
      </c>
      <c r="D5" s="5" t="s">
        <v>11</v>
      </c>
      <c r="E5" s="5" t="s">
        <v>12</v>
      </c>
      <c r="F5" s="5" t="s">
        <v>13</v>
      </c>
      <c r="G5" s="7" t="s">
        <v>11</v>
      </c>
      <c r="H5" s="7" t="s">
        <v>11</v>
      </c>
      <c r="I5" s="3" t="s">
        <v>11</v>
      </c>
      <c r="J5" s="3" t="s">
        <v>12</v>
      </c>
      <c r="K5" s="3" t="s">
        <v>13</v>
      </c>
      <c r="L5" s="1"/>
    </row>
    <row r="6" spans="3:16" x14ac:dyDescent="0.25">
      <c r="C6" t="s">
        <v>0</v>
      </c>
      <c r="D6" s="6">
        <v>34</v>
      </c>
      <c r="E6" s="6">
        <v>1</v>
      </c>
      <c r="F6" s="6">
        <v>20</v>
      </c>
      <c r="G6" s="8">
        <f>D6+(E6/60)+(F6/3600)</f>
        <v>34.022222222222219</v>
      </c>
      <c r="H6" s="8">
        <f>IF(G6&lt;=90,G6,IF(G6&lt;=180,180-G6,IF(G6&lt;=270,G6-180,360-G6)))</f>
        <v>34.022222222222219</v>
      </c>
      <c r="I6" s="4">
        <f t="shared" ref="I6:I13" si="0">INT(H6)</f>
        <v>34</v>
      </c>
      <c r="J6" s="4">
        <f>INT((H6-I6)*60)</f>
        <v>1</v>
      </c>
      <c r="K6" s="4">
        <f t="shared" ref="K6:K13" si="1">(((H6-I6)*60)-INT((H6-I6)*60))*60</f>
        <v>19.999999999986926</v>
      </c>
      <c r="L6" t="str">
        <f>IF(G6&lt;=90,"NE",IF(G6&lt;=180,"SE",IF(G6&lt;=270,"SW","NW")))</f>
        <v>NE</v>
      </c>
    </row>
    <row r="7" spans="3:16" x14ac:dyDescent="0.25">
      <c r="C7" t="s">
        <v>1</v>
      </c>
      <c r="D7" s="6">
        <v>60</v>
      </c>
      <c r="E7" s="6">
        <v>1</v>
      </c>
      <c r="F7" s="6">
        <v>15</v>
      </c>
      <c r="G7" s="8">
        <f t="shared" ref="G7:G13" si="2">D7+(E7/60)+(F7/3600)</f>
        <v>60.020833333333336</v>
      </c>
      <c r="H7" s="8">
        <f t="shared" ref="H7:H13" si="3">IF(G7&lt;=90,G7,IF(G7&lt;=180,180-G7,IF(G7&lt;=270,G7-180,360-G7)))</f>
        <v>60.020833333333336</v>
      </c>
      <c r="I7" s="4">
        <f t="shared" si="0"/>
        <v>60</v>
      </c>
      <c r="J7" s="4">
        <f t="shared" ref="J7:J13" si="4">(H7-I7)*60</f>
        <v>1.2500000000001421</v>
      </c>
      <c r="K7" s="4">
        <f t="shared" si="1"/>
        <v>15.000000000008527</v>
      </c>
      <c r="L7" t="str">
        <f t="shared" ref="L7:L13" si="5">IF(G7&lt;=90,"NE",IF(G7&lt;=180,"SE",IF(G7&lt;=270,"SW","NW")))</f>
        <v>NE</v>
      </c>
    </row>
    <row r="8" spans="3:16" x14ac:dyDescent="0.25">
      <c r="C8" t="s">
        <v>2</v>
      </c>
      <c r="D8" s="6">
        <v>120</v>
      </c>
      <c r="E8" s="6">
        <v>1</v>
      </c>
      <c r="F8" s="6">
        <v>5</v>
      </c>
      <c r="G8" s="8">
        <f t="shared" si="2"/>
        <v>120.01805555555555</v>
      </c>
      <c r="H8" s="8">
        <f t="shared" si="3"/>
        <v>59.981944444444451</v>
      </c>
      <c r="I8" s="4">
        <f t="shared" si="0"/>
        <v>59</v>
      </c>
      <c r="J8" s="4">
        <f t="shared" si="4"/>
        <v>58.916666666667084</v>
      </c>
      <c r="K8" s="4">
        <f t="shared" si="1"/>
        <v>55.000000000025011</v>
      </c>
      <c r="L8" t="str">
        <f t="shared" si="5"/>
        <v>SE</v>
      </c>
    </row>
    <row r="9" spans="3:16" x14ac:dyDescent="0.25">
      <c r="C9" t="s">
        <v>3</v>
      </c>
      <c r="D9" s="6">
        <v>170</v>
      </c>
      <c r="E9" s="6">
        <v>1</v>
      </c>
      <c r="F9" s="6">
        <v>25</v>
      </c>
      <c r="G9" s="8">
        <f t="shared" si="2"/>
        <v>170.02361111111114</v>
      </c>
      <c r="H9" s="8">
        <f t="shared" si="3"/>
        <v>9.976388888888863</v>
      </c>
      <c r="I9" s="4">
        <f t="shared" si="0"/>
        <v>9</v>
      </c>
      <c r="J9" s="4">
        <f t="shared" si="4"/>
        <v>58.58333333333178</v>
      </c>
      <c r="K9" s="4">
        <f t="shared" si="1"/>
        <v>34.999999999906777</v>
      </c>
      <c r="L9" t="str">
        <f t="shared" si="5"/>
        <v>SE</v>
      </c>
    </row>
    <row r="10" spans="3:16" x14ac:dyDescent="0.25">
      <c r="C10" t="s">
        <v>4</v>
      </c>
      <c r="D10" s="6">
        <v>200</v>
      </c>
      <c r="E10" s="6">
        <v>1</v>
      </c>
      <c r="F10" s="6">
        <v>40</v>
      </c>
      <c r="G10" s="8">
        <f t="shared" si="2"/>
        <v>200.0277777777778</v>
      </c>
      <c r="H10" s="8">
        <f t="shared" si="3"/>
        <v>20.0277777777778</v>
      </c>
      <c r="I10" s="4">
        <f t="shared" si="0"/>
        <v>20</v>
      </c>
      <c r="J10" s="4">
        <f t="shared" si="4"/>
        <v>1.666666666667993</v>
      </c>
      <c r="K10" s="4">
        <f t="shared" si="1"/>
        <v>40.000000000079581</v>
      </c>
      <c r="L10" t="str">
        <f t="shared" si="5"/>
        <v>SW</v>
      </c>
    </row>
    <row r="11" spans="3:16" x14ac:dyDescent="0.25">
      <c r="C11" t="s">
        <v>5</v>
      </c>
      <c r="D11" s="6">
        <v>250</v>
      </c>
      <c r="E11" s="6">
        <v>1</v>
      </c>
      <c r="F11" s="6">
        <v>55</v>
      </c>
      <c r="G11" s="8">
        <f t="shared" si="2"/>
        <v>250.03194444444446</v>
      </c>
      <c r="H11" s="8">
        <f t="shared" si="3"/>
        <v>70.031944444444463</v>
      </c>
      <c r="I11" s="4">
        <f t="shared" si="0"/>
        <v>70</v>
      </c>
      <c r="J11" s="4">
        <f t="shared" si="4"/>
        <v>1.9166666666677656</v>
      </c>
      <c r="K11" s="4">
        <f t="shared" si="1"/>
        <v>55.000000000065938</v>
      </c>
      <c r="L11" t="str">
        <f t="shared" si="5"/>
        <v>SW</v>
      </c>
    </row>
    <row r="12" spans="3:16" x14ac:dyDescent="0.25">
      <c r="C12" t="s">
        <v>6</v>
      </c>
      <c r="D12" s="6">
        <v>305</v>
      </c>
      <c r="E12" s="6">
        <v>1</v>
      </c>
      <c r="F12" s="6">
        <v>30</v>
      </c>
      <c r="G12" s="8">
        <f t="shared" si="2"/>
        <v>305.02499999999998</v>
      </c>
      <c r="H12" s="8">
        <f t="shared" si="3"/>
        <v>54.975000000000023</v>
      </c>
      <c r="I12" s="4">
        <f t="shared" si="0"/>
        <v>54</v>
      </c>
      <c r="J12" s="4">
        <f t="shared" si="4"/>
        <v>58.500000000001364</v>
      </c>
      <c r="K12" s="4">
        <f t="shared" si="1"/>
        <v>30.000000000081855</v>
      </c>
      <c r="L12" t="str">
        <f t="shared" si="5"/>
        <v>NW</v>
      </c>
    </row>
    <row r="13" spans="3:16" x14ac:dyDescent="0.25">
      <c r="C13" t="s">
        <v>7</v>
      </c>
      <c r="D13" s="6">
        <v>351</v>
      </c>
      <c r="E13" s="6">
        <v>1</v>
      </c>
      <c r="F13" s="6">
        <v>45</v>
      </c>
      <c r="G13" s="8">
        <f t="shared" si="2"/>
        <v>351.02916666666664</v>
      </c>
      <c r="H13" s="8">
        <f t="shared" si="3"/>
        <v>8.9708333333333599</v>
      </c>
      <c r="I13" s="4">
        <f t="shared" si="0"/>
        <v>8</v>
      </c>
      <c r="J13" s="4">
        <f t="shared" si="4"/>
        <v>58.250000000001592</v>
      </c>
      <c r="K13" s="4">
        <f t="shared" si="1"/>
        <v>15.000000000095497</v>
      </c>
      <c r="L13" t="str">
        <f t="shared" si="5"/>
        <v>NW</v>
      </c>
    </row>
    <row r="14" spans="3:16" ht="15.75" x14ac:dyDescent="0.25">
      <c r="D14" s="21" t="s">
        <v>9</v>
      </c>
      <c r="E14" s="11" t="s">
        <v>16</v>
      </c>
      <c r="F14" s="9"/>
      <c r="N14" s="15" t="str">
        <f>L17&amp;"°   NW"</f>
        <v>55°   NW</v>
      </c>
      <c r="P14" s="15" t="str">
        <f>L17&amp;"°   NE" &amp;" 1 quadrante"</f>
        <v>55°   NE 1 quadrante</v>
      </c>
    </row>
    <row r="15" spans="3:16" x14ac:dyDescent="0.25">
      <c r="C15" t="s">
        <v>8</v>
      </c>
      <c r="D15" s="21"/>
      <c r="E15" s="10"/>
      <c r="F15" s="10"/>
      <c r="G15" s="13" t="s">
        <v>18</v>
      </c>
      <c r="J15" s="4" t="str">
        <f>"Azimute de  "&amp;G17&amp;"  Graus"</f>
        <v>Azimute de  15  Graus</v>
      </c>
      <c r="L15" s="13" t="s">
        <v>14</v>
      </c>
    </row>
    <row r="16" spans="3:16" x14ac:dyDescent="0.25">
      <c r="C16" t="s">
        <v>0</v>
      </c>
      <c r="D16" s="12" t="str">
        <f t="shared" ref="D16:D23" si="6">D6&amp;"°  "&amp;E6&amp;" ' "&amp;F6&amp;" '' "</f>
        <v xml:space="preserve">34°  1 ' 20 '' </v>
      </c>
      <c r="E16" s="13" t="str">
        <f>I6&amp;"°  "&amp;ROUNDUP(J6,0)&amp;" ' "&amp;ROUNDUP(K6,0)&amp;" '' "</f>
        <v xml:space="preserve">34°  1 ' 20 '' </v>
      </c>
      <c r="F16" s="13" t="str">
        <f>L6</f>
        <v>NE</v>
      </c>
      <c r="G16" s="13" t="s">
        <v>17</v>
      </c>
      <c r="L16" s="13" t="s">
        <v>17</v>
      </c>
    </row>
    <row r="17" spans="3:19" x14ac:dyDescent="0.25">
      <c r="C17" t="s">
        <v>1</v>
      </c>
      <c r="D17" s="12" t="str">
        <f t="shared" si="6"/>
        <v xml:space="preserve">60°  1 ' 15 '' </v>
      </c>
      <c r="E17" s="13" t="str">
        <f t="shared" ref="E17:E23" si="7">I7&amp;"°  "&amp;ROUNDUP(J7,0)&amp;" ' "&amp;ROUNDUP(K7,0)&amp;" '' "</f>
        <v xml:space="preserve">60°  2 ' 16 '' </v>
      </c>
      <c r="F17" s="13" t="str">
        <f t="shared" ref="F17:F23" si="8">L7</f>
        <v>NE</v>
      </c>
      <c r="G17" s="22">
        <v>15</v>
      </c>
      <c r="H17">
        <f>360-G17</f>
        <v>345</v>
      </c>
      <c r="L17" s="22">
        <v>55</v>
      </c>
    </row>
    <row r="18" spans="3:19" x14ac:dyDescent="0.25">
      <c r="C18" t="s">
        <v>2</v>
      </c>
      <c r="D18" s="12" t="str">
        <f t="shared" si="6"/>
        <v xml:space="preserve">120°  1 ' 5 '' </v>
      </c>
      <c r="E18" s="13" t="str">
        <f t="shared" si="7"/>
        <v xml:space="preserve">59°  59 ' 56 '' </v>
      </c>
      <c r="F18" s="13" t="str">
        <f t="shared" si="8"/>
        <v>SE</v>
      </c>
    </row>
    <row r="19" spans="3:19" x14ac:dyDescent="0.25">
      <c r="C19" t="s">
        <v>3</v>
      </c>
      <c r="D19" s="12" t="str">
        <f t="shared" si="6"/>
        <v xml:space="preserve">170°  1 ' 25 '' </v>
      </c>
      <c r="E19" s="13" t="str">
        <f t="shared" si="7"/>
        <v xml:space="preserve">9°  59 ' 35 '' </v>
      </c>
      <c r="F19" s="13" t="str">
        <f t="shared" si="8"/>
        <v>SE</v>
      </c>
    </row>
    <row r="20" spans="3:19" x14ac:dyDescent="0.25">
      <c r="C20" t="s">
        <v>4</v>
      </c>
      <c r="D20" s="12" t="str">
        <f t="shared" si="6"/>
        <v xml:space="preserve">200°  1 ' 40 '' </v>
      </c>
      <c r="E20" s="13" t="str">
        <f t="shared" si="7"/>
        <v xml:space="preserve">20°  2 ' 41 '' </v>
      </c>
      <c r="F20" s="13" t="str">
        <f t="shared" si="8"/>
        <v>SW</v>
      </c>
    </row>
    <row r="21" spans="3:19" x14ac:dyDescent="0.25">
      <c r="C21" t="s">
        <v>5</v>
      </c>
      <c r="D21" s="12" t="str">
        <f t="shared" si="6"/>
        <v xml:space="preserve">250°  1 ' 55 '' </v>
      </c>
      <c r="E21" s="13" t="str">
        <f t="shared" si="7"/>
        <v xml:space="preserve">70°  2 ' 56 '' </v>
      </c>
      <c r="F21" s="13" t="str">
        <f t="shared" si="8"/>
        <v>SW</v>
      </c>
    </row>
    <row r="22" spans="3:19" x14ac:dyDescent="0.25">
      <c r="C22" t="s">
        <v>6</v>
      </c>
      <c r="D22" s="12" t="str">
        <f t="shared" si="6"/>
        <v xml:space="preserve">305°  1 ' 30 '' </v>
      </c>
      <c r="E22" s="13" t="str">
        <f t="shared" si="7"/>
        <v xml:space="preserve">54°  59 ' 31 '' </v>
      </c>
      <c r="F22" s="13" t="str">
        <f t="shared" si="8"/>
        <v>NW</v>
      </c>
      <c r="M22">
        <f>(360-L17)</f>
        <v>305</v>
      </c>
    </row>
    <row r="23" spans="3:19" x14ac:dyDescent="0.25">
      <c r="C23" t="s">
        <v>7</v>
      </c>
      <c r="D23" s="12" t="str">
        <f t="shared" si="6"/>
        <v xml:space="preserve">351°  1 ' 45 '' </v>
      </c>
      <c r="E23" s="13" t="str">
        <f t="shared" si="7"/>
        <v xml:space="preserve">8°  59 ' 16 '' </v>
      </c>
      <c r="F23" s="13" t="str">
        <f t="shared" si="8"/>
        <v>NW</v>
      </c>
      <c r="R23" s="14">
        <v>1</v>
      </c>
      <c r="S23" s="14">
        <v>2</v>
      </c>
    </row>
    <row r="24" spans="3:19" x14ac:dyDescent="0.25">
      <c r="R24" s="14">
        <f>360-L17</f>
        <v>305</v>
      </c>
      <c r="S24" s="14">
        <f>180+L17</f>
        <v>235</v>
      </c>
    </row>
    <row r="25" spans="3:19" x14ac:dyDescent="0.25">
      <c r="R25" s="14">
        <v>3</v>
      </c>
      <c r="S25" s="14">
        <v>4</v>
      </c>
    </row>
    <row r="28" spans="3:19" ht="15.75" x14ac:dyDescent="0.25">
      <c r="L28" s="16" t="str">
        <f>L17&amp;"°  SW"&amp;" 3 quadrante"</f>
        <v>55°  SW 3 quadrante</v>
      </c>
      <c r="O28" s="16" t="str">
        <f>L17&amp;"°   SE"&amp;"  2 quadrante"</f>
        <v>55°   SE  2 quadrante</v>
      </c>
    </row>
  </sheetData>
  <mergeCells count="3">
    <mergeCell ref="D4:F4"/>
    <mergeCell ref="I4:L4"/>
    <mergeCell ref="D14:D15"/>
  </mergeCells>
  <hyperlinks>
    <hyperlink ref="D1" r:id="rId1" display="gabrielbgab@gmail.com" xr:uid="{F92487FD-E739-40B3-AEB0-88B31601AC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calculo_coordenadas</vt:lpstr>
      <vt:lpstr>ddm</vt:lpstr>
      <vt:lpstr>azimute_re_azimute_vante</vt:lpstr>
      <vt:lpstr>conversao_azimute_para_rumo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2018-08-30T17:23:36Z</dcterms:created>
  <dcterms:modified xsi:type="dcterms:W3CDTF">2018-09-07T21:29:27Z</dcterms:modified>
</cp:coreProperties>
</file>