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redu.sharepoint.com/sites/ControlTabacoFacultadEconomica/Documentos compartidos/Monitoreo/"/>
    </mc:Choice>
  </mc:AlternateContent>
  <xr:revisionPtr revIDLastSave="1014" documentId="8_{8E6BD62E-08E8-4FB2-B46B-F5D8EE92EA7E}" xr6:coauthVersionLast="47" xr6:coauthVersionMax="47" xr10:uidLastSave="{828AE402-24C5-4C90-89DC-422403D56BE8}"/>
  <bookViews>
    <workbookView xWindow="-108" yWindow="-108" windowWidth="23256" windowHeight="12456" firstSheet="2" activeTab="5" xr2:uid="{7A94D5C5-EB71-44F3-BD13-919ACF62FAE6}"/>
  </bookViews>
  <sheets>
    <sheet name="Precio" sheetId="4" r:id="rId1"/>
    <sheet name="IPC mes" sheetId="2" r:id="rId2"/>
    <sheet name="Tamaño Mercado" sheetId="5" r:id="rId3"/>
    <sheet name="Recaudo" sheetId="3" r:id="rId4"/>
    <sheet name="Salud" sheetId="6" r:id="rId5"/>
    <sheet name="Incautaciones" sheetId="7" r:id="rId6"/>
    <sheet name="Vapeadores" sheetId="8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AC24" i="5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N3" i="6"/>
  <c r="M3" i="6"/>
  <c r="L4" i="6"/>
  <c r="L5" i="6"/>
  <c r="L6" i="6"/>
  <c r="L7" i="6"/>
  <c r="L8" i="6"/>
  <c r="L9" i="6"/>
  <c r="L10" i="6"/>
  <c r="L11" i="6"/>
  <c r="L3" i="6"/>
  <c r="L8" i="5"/>
  <c r="L9" i="5"/>
  <c r="L10" i="5"/>
  <c r="L11" i="5"/>
  <c r="L7" i="5"/>
  <c r="K5" i="5"/>
  <c r="K6" i="5"/>
  <c r="K7" i="5"/>
  <c r="K8" i="5"/>
  <c r="K9" i="5"/>
  <c r="K10" i="5"/>
  <c r="K11" i="5"/>
  <c r="K4" i="5"/>
  <c r="B4" i="7"/>
  <c r="H4" i="7"/>
  <c r="C12" i="7"/>
  <c r="C11" i="7"/>
  <c r="C10" i="7"/>
  <c r="C9" i="7"/>
  <c r="C8" i="7"/>
  <c r="C7" i="7"/>
  <c r="C6" i="7"/>
  <c r="C5" i="7"/>
  <c r="C4" i="7"/>
  <c r="D4" i="7"/>
  <c r="B12" i="7"/>
  <c r="B11" i="7"/>
  <c r="B10" i="7"/>
  <c r="B9" i="7"/>
  <c r="B8" i="7"/>
  <c r="B7" i="7"/>
  <c r="B6" i="7"/>
  <c r="B5" i="7"/>
  <c r="F10" i="5"/>
  <c r="G2" i="5"/>
  <c r="C6" i="5"/>
  <c r="C7" i="5"/>
  <c r="C8" i="5"/>
  <c r="C9" i="5"/>
  <c r="C10" i="5"/>
  <c r="C11" i="5"/>
  <c r="C12" i="5"/>
  <c r="C5" i="5"/>
  <c r="L3" i="4"/>
  <c r="L4" i="4"/>
  <c r="N4" i="4" s="1"/>
  <c r="L5" i="4"/>
  <c r="N5" i="4" s="1"/>
  <c r="L6" i="4"/>
  <c r="L7" i="4"/>
  <c r="N7" i="4" s="1"/>
  <c r="L8" i="4"/>
  <c r="L9" i="4"/>
  <c r="N9" i="4" s="1"/>
  <c r="L10" i="4"/>
  <c r="N10" i="4" s="1"/>
  <c r="L2" i="4"/>
  <c r="N2" i="4" s="1"/>
  <c r="K3" i="4"/>
  <c r="M3" i="4"/>
  <c r="N3" i="4"/>
  <c r="K4" i="4"/>
  <c r="M4" i="4"/>
  <c r="K5" i="4"/>
  <c r="M5" i="4"/>
  <c r="K6" i="4"/>
  <c r="M6" i="4"/>
  <c r="K7" i="4"/>
  <c r="M7" i="4"/>
  <c r="K8" i="4"/>
  <c r="M8" i="4"/>
  <c r="N8" i="4"/>
  <c r="K9" i="4"/>
  <c r="M9" i="4"/>
  <c r="K10" i="4"/>
  <c r="M10" i="4"/>
  <c r="M2" i="4"/>
  <c r="K2" i="4"/>
  <c r="G2" i="4"/>
  <c r="G3" i="4"/>
  <c r="G4" i="4"/>
  <c r="G5" i="4"/>
  <c r="G6" i="4"/>
  <c r="G7" i="4"/>
  <c r="G8" i="4"/>
  <c r="G9" i="4"/>
  <c r="G10" i="4"/>
  <c r="I2" i="4"/>
  <c r="F6" i="5"/>
  <c r="F7" i="5"/>
  <c r="F8" i="5"/>
  <c r="F9" i="5"/>
  <c r="F11" i="5"/>
  <c r="F12" i="5"/>
  <c r="F5" i="5"/>
  <c r="E3" i="4"/>
  <c r="E4" i="4"/>
  <c r="E5" i="4"/>
  <c r="E6" i="4"/>
  <c r="E7" i="4"/>
  <c r="E8" i="4"/>
  <c r="E9" i="4"/>
  <c r="E2" i="4"/>
  <c r="Z3" i="4"/>
  <c r="Z4" i="4"/>
  <c r="Z5" i="4"/>
  <c r="Z6" i="4"/>
  <c r="Z7" i="4"/>
  <c r="Z8" i="4"/>
  <c r="Z9" i="4"/>
  <c r="Z2" i="4"/>
  <c r="Y3" i="4"/>
  <c r="Y4" i="4"/>
  <c r="Y5" i="4"/>
  <c r="Y6" i="4"/>
  <c r="Y7" i="4"/>
  <c r="Y8" i="4"/>
  <c r="Y9" i="4"/>
  <c r="Y2" i="4"/>
  <c r="Q10" i="5"/>
  <c r="Q11" i="5"/>
  <c r="Q12" i="5"/>
  <c r="R19" i="5"/>
  <c r="T14" i="4"/>
  <c r="AA2" i="4"/>
  <c r="D10" i="4"/>
  <c r="H16" i="4" s="1"/>
  <c r="Q6" i="5"/>
  <c r="Q7" i="5"/>
  <c r="Q8" i="5"/>
  <c r="Q9" i="5"/>
  <c r="Q5" i="5"/>
  <c r="R3" i="4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2" i="4"/>
  <c r="S2" i="4" s="1"/>
  <c r="V2" i="4"/>
  <c r="X2" i="4" s="1"/>
  <c r="F4" i="4"/>
  <c r="I4" i="4" s="1"/>
  <c r="V4" i="4" s="1"/>
  <c r="X4" i="4" s="1"/>
  <c r="F5" i="4"/>
  <c r="I5" i="4" s="1"/>
  <c r="V5" i="4" s="1"/>
  <c r="X5" i="4" s="1"/>
  <c r="F6" i="4"/>
  <c r="I6" i="4" s="1"/>
  <c r="F7" i="4"/>
  <c r="I7" i="4" s="1"/>
  <c r="V7" i="4" s="1"/>
  <c r="X7" i="4" s="1"/>
  <c r="F8" i="4"/>
  <c r="I8" i="4" s="1"/>
  <c r="V8" i="4" s="1"/>
  <c r="X8" i="4" s="1"/>
  <c r="F9" i="4"/>
  <c r="I9" i="4" s="1"/>
  <c r="V9" i="4" s="1"/>
  <c r="X9" i="4" s="1"/>
  <c r="F10" i="4"/>
  <c r="I10" i="4" s="1"/>
  <c r="F3" i="4"/>
  <c r="I3" i="4" s="1"/>
  <c r="V3" i="4" s="1"/>
  <c r="X3" i="4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2" i="2"/>
  <c r="N6" i="4" l="1"/>
  <c r="E10" i="4"/>
  <c r="AA7" i="4"/>
  <c r="Y10" i="4"/>
  <c r="Y15" i="4" s="1"/>
  <c r="Z10" i="4"/>
  <c r="G16" i="4"/>
  <c r="AA4" i="4"/>
  <c r="AA10" i="4"/>
  <c r="AA9" i="4"/>
  <c r="AA3" i="4"/>
  <c r="AA8" i="4"/>
  <c r="AA6" i="4"/>
  <c r="AA5" i="4"/>
  <c r="V10" i="4"/>
  <c r="X10" i="4" s="1"/>
  <c r="U10" i="4"/>
  <c r="W10" i="4" s="1"/>
  <c r="U6" i="4"/>
  <c r="W6" i="4" s="1"/>
  <c r="U2" i="4"/>
  <c r="W2" i="4" s="1"/>
  <c r="U5" i="4"/>
  <c r="W5" i="4" s="1"/>
  <c r="J8" i="4"/>
  <c r="U9" i="4"/>
  <c r="W9" i="4" s="1"/>
  <c r="U3" i="4"/>
  <c r="W3" i="4" s="1"/>
  <c r="U4" i="4"/>
  <c r="W4" i="4" s="1"/>
  <c r="V6" i="4"/>
  <c r="X6" i="4" s="1"/>
  <c r="U7" i="4"/>
  <c r="W7" i="4" s="1"/>
  <c r="U8" i="4"/>
  <c r="W8" i="4" s="1"/>
  <c r="J4" i="4"/>
  <c r="J3" i="4"/>
  <c r="J2" i="4"/>
  <c r="J9" i="4"/>
  <c r="J7" i="4"/>
  <c r="J6" i="4"/>
  <c r="J10" i="4"/>
  <c r="J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Andres Rodriguez Lesmes</author>
  </authors>
  <commentList>
    <comment ref="D10" authorId="0" shapeId="0" xr:uid="{BAE47326-C9FC-4ABA-83B3-25E10AEEA4DF}">
      <text>
        <r>
          <rPr>
            <b/>
            <sz val="9"/>
            <color indexed="81"/>
            <rFont val="Tahoma"/>
            <family val="2"/>
          </rPr>
          <t>Paul Andres Rodriguez Lesmes:</t>
        </r>
        <r>
          <rPr>
            <sz val="9"/>
            <color indexed="81"/>
            <rFont val="Tahoma"/>
            <family val="2"/>
          </rPr>
          <t xml:space="preserve">
La certifación aún no está, por lo que se proyecta con el IPC el precio de 2022</t>
        </r>
      </text>
    </comment>
    <comment ref="O10" authorId="0" shapeId="0" xr:uid="{11D6993F-EB27-43E2-8354-41ED48332278}">
      <text>
        <r>
          <rPr>
            <b/>
            <sz val="9"/>
            <color indexed="81"/>
            <rFont val="Tahoma"/>
            <family val="2"/>
          </rPr>
          <t>Paul Andres Rodriguez Lesmes:</t>
        </r>
        <r>
          <rPr>
            <sz val="9"/>
            <color indexed="81"/>
            <rFont val="Tahoma"/>
            <family val="2"/>
          </rPr>
          <t xml:space="preserve">
A la fecha, no hay una cifra oficial por el Gob de Colombia. Son cálculos probios con base en el última dato del DANE para 2023.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tc={FA969830-C42B-49D3-BC48-3841240C60AF}</author>
  </authors>
  <commentList>
    <comment ref="H1" authorId="0" shapeId="0" xr:uid="{FA969830-C42B-49D3-BC48-3841240C60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Nos da bien diferente</t>
      </text>
    </comment>
  </commentList>
</comments>
</file>

<file path=xl/sharedStrings.xml><?xml version="1.0" encoding="utf-8"?>
<sst xmlns="http://schemas.openxmlformats.org/spreadsheetml/2006/main" count="1063" uniqueCount="157">
  <si>
    <t>Año</t>
  </si>
  <si>
    <t>IPC general Dic</t>
  </si>
  <si>
    <t>IPC Tabaco Dic</t>
  </si>
  <si>
    <t>Precio Belmont/Rothmans azul
Certificacion DANE anual</t>
  </si>
  <si>
    <t>Precio constante 2008 ajustado IPC</t>
  </si>
  <si>
    <t>Precio año anterior</t>
  </si>
  <si>
    <t>IVA</t>
  </si>
  <si>
    <t>Específico</t>
  </si>
  <si>
    <t>Ad valorem</t>
  </si>
  <si>
    <t>Precio antes impuestos</t>
  </si>
  <si>
    <t>IVA - constantes</t>
  </si>
  <si>
    <t>Específico - constantes</t>
  </si>
  <si>
    <t>Ad valorem - constantes</t>
  </si>
  <si>
    <t>Precio antes impuestos - constantes</t>
  </si>
  <si>
    <t>PIB pc</t>
  </si>
  <si>
    <t>Salario Minimo</t>
  </si>
  <si>
    <t>Tasa conversion international USD (WB)</t>
  </si>
  <si>
    <t>Precio cajetilla 20 unidades (Int$PPP)</t>
  </si>
  <si>
    <t>Price Score</t>
  </si>
  <si>
    <t>Referencia RGTE - OMS</t>
  </si>
  <si>
    <t>Carga impositiva</t>
  </si>
  <si>
    <t>Carga impositiva - Excise</t>
  </si>
  <si>
    <t>Scoring Total Tax Share</t>
  </si>
  <si>
    <t>Scoring Excise Tax Share</t>
  </si>
  <si>
    <t xml:space="preserve">Asequibilidad
2000 cigs como % PIB pc </t>
  </si>
  <si>
    <t>Asequibilidad
2000 cigs como % Salario Mínimo</t>
  </si>
  <si>
    <t>Asequibilidad
Minutos SM para 20 cigs</t>
  </si>
  <si>
    <t>Norma</t>
  </si>
  <si>
    <t>Certificación 04 de diciembre de 2018</t>
  </si>
  <si>
    <t>Certificación 05 de diciembre 9  de 2019</t>
  </si>
  <si>
    <t xml:space="preserve">Certificación 04 de diciembre 15 de 2020 </t>
  </si>
  <si>
    <t xml:space="preserve">Certificación 04 de diciembre 7 de 2021 </t>
  </si>
  <si>
    <r>
      <t>El artículo 347 de la Ley 1816 de 2016 modificó el artículo 211 de la Ley 223 de 1995 para establecer en $1.400 la tarifa del componente específico del impuesto al consumo de cigarrillos y tabaco elaborado para 2017, y en $2.100 para 2018 por cada cajetilla de 20 unidades o de manera proporcional a su contenido, y se indicó, además, que </t>
    </r>
    <r>
      <rPr>
        <b/>
        <sz val="11"/>
        <color theme="1"/>
        <rFont val="Aptos Narrow"/>
        <family val="2"/>
        <scheme val="minor"/>
      </rPr>
      <t>a partir de 2019 tales valores serían actualizados en un porcentaje equivalente al crecimiento del índice de precios al consumidor certificado por el Dane más cuatro puntos.</t>
    </r>
  </si>
  <si>
    <t>El impuesto al consumo de cigarrillos y tabaco elaborado se adiciona con un componente ad Valorem equivalente al 10% de la base gravable, que será el precio de venta al público efectivamente cobrado en los canales de distribución clasificados por el DANE como grandes almacenes e hipermercados minoristas, certificado por el DANE</t>
  </si>
  <si>
    <t>https://www.dane.gov.co/index.php/estadisticas-por-tema/precios-y-costos/cigarrillos-y-tabaco/precios-promedio-de-cigarrillos-y-tabaco-historicos</t>
  </si>
  <si>
    <t>PIB 2023pr</t>
  </si>
  <si>
    <t>Pob Col 2023</t>
  </si>
  <si>
    <t>Mes</t>
  </si>
  <si>
    <t>Subclase</t>
  </si>
  <si>
    <t>Serie</t>
  </si>
  <si>
    <t>Número Índice</t>
  </si>
  <si>
    <t>1999</t>
  </si>
  <si>
    <t>Ene</t>
  </si>
  <si>
    <t>02210100 - Cigarrillos, tabaco y derivados</t>
  </si>
  <si>
    <t>IPC Clase 02210000 Tabaco</t>
  </si>
  <si>
    <t>Feb</t>
  </si>
  <si>
    <t>Base es Diciembre de 2018</t>
  </si>
  <si>
    <t>Mar</t>
  </si>
  <si>
    <t>Tomado del sistema de consulta base 2018, DANE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</si>
  <si>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</si>
  <si>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</si>
  <si>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</si>
  <si>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</si>
  <si>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</si>
  <si>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</si>
  <si>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</si>
  <si>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</si>
  <si>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</si>
  <si>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</si>
  <si>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</si>
  <si>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</si>
  <si>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</si>
  <si>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</si>
  <si>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</si>
  <si>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</si>
  <si>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</si>
  <si>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</si>
  <si>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</si>
  <si>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</si>
  <si>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</si>
  <si>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</si>
  <si>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</si>
  <si>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</si>
  <si>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</si>
  <si>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</si>
  <si>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</si>
  <si>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</si>
  <si>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</si>
  <si>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</si>
  <si>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</si>
  <si>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</si>
  <si>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</si>
  <si>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</si>
  <si>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Data Type</t>
  </si>
  <si>
    <t>Prevalencia ECV</t>
  </si>
  <si>
    <t>Prevalencia ECV con ajuste</t>
  </si>
  <si>
    <t>Prevalencia ENSCPA (12-65 años)</t>
  </si>
  <si>
    <t>SE ECV</t>
  </si>
  <si>
    <t>SE*1.96</t>
  </si>
  <si>
    <t>SE ENCSP</t>
  </si>
  <si>
    <r>
      <rPr>
        <b/>
        <sz val="11"/>
        <color theme="1"/>
        <rFont val="Aptos Narrow"/>
        <family val="2"/>
        <scheme val="minor"/>
      </rPr>
      <t>Recaudo impuesto específico ADRES</t>
    </r>
    <r>
      <rPr>
        <sz val="11"/>
        <color theme="1"/>
        <rFont val="Aptos Narrow"/>
        <family val="2"/>
        <scheme val="minor"/>
      </rPr>
      <t xml:space="preserve">
Miles de millones COP</t>
    </r>
  </si>
  <si>
    <t>Recaudo impuesto específico (miles millones) CHIP</t>
  </si>
  <si>
    <t>Valor impuesto específico</t>
  </si>
  <si>
    <t>Registro de unidades imputado por rec impuesto específico (CHIP)</t>
  </si>
  <si>
    <t>Registro de unidades imputado por rec impuesto específico (ADRES)</t>
  </si>
  <si>
    <t>Tamaño mercado Euromonitor</t>
  </si>
  <si>
    <t>Unidades consumidas ECV</t>
  </si>
  <si>
    <t>Unidades consumidas ECV.  IC percentil (95%) Limite inferior</t>
  </si>
  <si>
    <t>Unidades consumidas ECV.  IC percentil (95%) Limite superior</t>
  </si>
  <si>
    <t>Unidades consumidas ECV + ajuste prev</t>
  </si>
  <si>
    <t>Registro impor + produc - expor (unidades reportadas)</t>
  </si>
  <si>
    <t>Registro impor + produc - expor (unidades imputadas Peso Neto)</t>
  </si>
  <si>
    <t>Unidades consumidas con ENCSP</t>
  </si>
  <si>
    <t>Mercado Ecuador (Euromonitor)</t>
  </si>
  <si>
    <t>Para 2022 y 2023, se asume que la producción nacional (menos del 1% del mercado en 2021) se mantuvo en 21K unidades. Esto porque no hay info de la EAM para estos dos años</t>
  </si>
  <si>
    <t>20% de las cajetillas ílicitas provienen de Colombia</t>
  </si>
  <si>
    <t>50% de los cigarrillos consumidos en Ecuador son ílicitos</t>
  </si>
  <si>
    <t>Miremos tamaño del mercado en Ecuador. Brithis, PM</t>
  </si>
  <si>
    <t>Considerar escenarios extremos de subreporte según la lit</t>
  </si>
  <si>
    <t>Conclusiones, mirar reportes de contrabando de Ecuador</t>
  </si>
  <si>
    <t>Fecha (Año)</t>
  </si>
  <si>
    <t>SE</t>
  </si>
  <si>
    <t>Prev ENSCP</t>
  </si>
  <si>
    <t>FechaAño</t>
  </si>
  <si>
    <t>Total Arancel
Miles de millones COP</t>
  </si>
  <si>
    <t>Total IVA aduana
Miles de millones COP</t>
  </si>
  <si>
    <r>
      <rPr>
        <b/>
        <sz val="11"/>
        <color theme="1"/>
        <rFont val="Aptos Narrow"/>
        <family val="2"/>
        <scheme val="minor"/>
      </rPr>
      <t>Componente ad-valorem ADRES</t>
    </r>
    <r>
      <rPr>
        <sz val="11"/>
        <color theme="1"/>
        <rFont val="Aptos Narrow"/>
        <family val="2"/>
        <scheme val="minor"/>
      </rPr>
      <t xml:space="preserve">
Miles de millones COP</t>
    </r>
  </si>
  <si>
    <r>
      <rPr>
        <b/>
        <sz val="11"/>
        <color theme="1"/>
        <rFont val="Aptos Narrow"/>
        <family val="2"/>
        <scheme val="minor"/>
      </rPr>
      <t>Componente ad-valorem CHIP</t>
    </r>
    <r>
      <rPr>
        <sz val="11"/>
        <color theme="1"/>
        <rFont val="Aptos Narrow"/>
        <family val="2"/>
        <scheme val="minor"/>
      </rPr>
      <t xml:space="preserve">
Miles de millones COP</t>
    </r>
  </si>
  <si>
    <r>
      <rPr>
        <b/>
        <sz val="11"/>
        <color theme="1"/>
        <rFont val="Aptos Narrow"/>
        <family val="2"/>
        <scheme val="minor"/>
      </rPr>
      <t>Componente específico ADRES</t>
    </r>
    <r>
      <rPr>
        <sz val="11"/>
        <color theme="1"/>
        <rFont val="Aptos Narrow"/>
        <family val="2"/>
        <scheme val="minor"/>
      </rPr>
      <t xml:space="preserve">
Miles de millones COP</t>
    </r>
  </si>
  <si>
    <r>
      <rPr>
        <b/>
        <sz val="11"/>
        <color theme="1"/>
        <rFont val="Aptos Narrow"/>
        <family val="2"/>
        <scheme val="minor"/>
      </rPr>
      <t>Componente específico CHIP</t>
    </r>
    <r>
      <rPr>
        <sz val="11"/>
        <color theme="1"/>
        <rFont val="Aptos Narrow"/>
        <family val="2"/>
        <scheme val="minor"/>
      </rPr>
      <t xml:space="preserve">
Miles de millones COP</t>
    </r>
  </si>
  <si>
    <t>IVA IMPIT</t>
  </si>
  <si>
    <t>Formualrios del sector industrial de cigarrillos, IVA</t>
  </si>
  <si>
    <t>No hay código específico de comercialización de cigarrillos</t>
  </si>
  <si>
    <t>Sugerencia: campos ingresos por tabaco, alcohol, formulario IVA</t>
  </si>
  <si>
    <t>ODS 3.41.1 Non-communicable diseases deaths (age 30 to 70)</t>
  </si>
  <si>
    <t>IHME GBD Non-communicable diseases deaths (% of all deaths)</t>
  </si>
  <si>
    <t>IHME GBD Cardiovascular diseases deaths (% of all deaths)</t>
  </si>
  <si>
    <t>IHME GBD Chronic Respiratory Diseases (% of all deaths)</t>
  </si>
  <si>
    <t>IHME GBD Diabetes and CKD (% of all deaths)</t>
  </si>
  <si>
    <t>IHME GBD Total Cancers (% of all deaths)</t>
  </si>
  <si>
    <t>Total personas atendidas RIPS</t>
  </si>
  <si>
    <t>Personas atendidas x enfermedades del odio medio</t>
  </si>
  <si>
    <t>Personas atendidas x cáncer de pulmón 20-69</t>
  </si>
  <si>
    <t>Personas atendidas x infarto de miocardio 30-55</t>
  </si>
  <si>
    <t>Personas atendidas x enfermedades del odio medio (x 1000 usuarios)</t>
  </si>
  <si>
    <t>Personas atendidas x cáncer de pulmón 20-69  (x 10000 usuarios)</t>
  </si>
  <si>
    <t>Personas atendidas x infarto de miocardio 30-55  (x 10000 usuarios)</t>
  </si>
  <si>
    <t>INCAUTACIONES DE CIGARRILLOS, Fuente: POLFA</t>
  </si>
  <si>
    <t>APREHENSIONES DE MERCANCIAS</t>
  </si>
  <si>
    <t>AÑO</t>
  </si>
  <si>
    <t>VALOR Millones de pesos</t>
  </si>
  <si>
    <t>CANTIDAD (Millones de cigarrillos)</t>
  </si>
  <si>
    <t>VALOR ($)</t>
  </si>
  <si>
    <t>SECTOR ECONOMICO</t>
  </si>
  <si>
    <t>ACTAS</t>
  </si>
  <si>
    <t>CANTIDAD</t>
  </si>
  <si>
    <t>VALOR</t>
  </si>
  <si>
    <t>CIGARRILLOS</t>
  </si>
  <si>
    <t>TOTAL GENERAL</t>
  </si>
  <si>
    <t>Subpartida Arancelaria valor CIF (Millones COP)</t>
  </si>
  <si>
    <t xml:space="preserve">Productos con tabaco (2404110000) </t>
  </si>
  <si>
    <t>Productos que contengan nicotina (2404120000)</t>
  </si>
  <si>
    <t>Otros productos (2404190000)</t>
  </si>
  <si>
    <t>Productos para administración por via oral (2404910000)</t>
  </si>
  <si>
    <t>Subpartida Arancelaria (Unidades en KG)</t>
  </si>
  <si>
    <t>IHH en la base indicadores_vapeadores</t>
  </si>
  <si>
    <t>Prevalencia consumo de cigarrillos electrónicos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</si>
</sst>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#.00"/>
    <numFmt numFmtId="165" formatCode="##,#00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0.0"/>
    <numFmt numFmtId="170" formatCode="0.0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rgb="FF59595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name val="Arial"/>
      <family val="2"/>
    </font>
    <font>
      <sz val="9"/>
      <name val="Segoe UI"/>
      <family val="2"/>
      <charset val="204"/>
    </font>
    <font>
      <sz val="9"/>
      <name val="Segoe UI"/>
      <family val="2"/>
    </font>
    <font>
      <b/>
      <sz val="11"/>
      <name val="Calibri"/>
      <family val="1"/>
    </font>
    <font>
      <sz val="11"/>
      <color rgb="FF000000"/>
      <name val="Calibri"/>
      <family val="2"/>
    </font>
    <font>
      <sz val="11"/>
      <name val="Calibri"/>
      <family val="1"/>
    </font>
    <font>
      <b/>
      <sz val="11"/>
      <color rgb="FF000000"/>
      <name val="Calibri"/>
      <family val="2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darkVertical">
        <fgColor rgb="FF5D87A1"/>
        <bgColor rgb="FF5D87A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0F2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Protection="0">
      <alignment vertical="center"/>
    </xf>
    <xf numFmtId="0" fontId="5" fillId="0" borderId="0" applyNumberFormat="0" applyFont="0" applyFill="0" applyBorder="0" applyAlignment="0" applyProtection="0">
      <alignment vertical="center"/>
    </xf>
    <xf numFmtId="0" fontId="5" fillId="0" borderId="0" applyNumberFormat="0" applyFont="0" applyFill="0" applyBorder="0" applyProtection="0">
      <alignment horizontal="center" vertical="center"/>
    </xf>
    <xf numFmtId="165" fontId="6" fillId="0" borderId="0" applyFill="0" applyBorder="0" applyProtection="0">
      <alignment horizontal="right" vertical="center"/>
    </xf>
    <xf numFmtId="0" fontId="9" fillId="0" borderId="0" applyNumberFormat="0" applyFill="0" applyBorder="0" applyAlignment="0" applyProtection="0"/>
    <xf numFmtId="0" fontId="20" fillId="0" borderId="0"/>
  </cellStyleXfs>
  <cellXfs count="86">
    <xf numFmtId="0" fontId="0" fillId="0" borderId="0" xfId="0"/>
    <xf numFmtId="164" fontId="0" fillId="0" borderId="0" xfId="0" applyNumberFormat="1"/>
    <xf numFmtId="0" fontId="4" fillId="2" borderId="0" xfId="4" applyFont="1">
      <alignment vertical="center"/>
    </xf>
    <xf numFmtId="165" fontId="6" fillId="0" borderId="0" xfId="7">
      <alignment horizontal="right" vertical="center"/>
    </xf>
    <xf numFmtId="2" fontId="0" fillId="0" borderId="0" xfId="0" applyNumberFormat="1"/>
    <xf numFmtId="0" fontId="0" fillId="0" borderId="0" xfId="0" applyAlignment="1">
      <alignment wrapText="1"/>
    </xf>
    <xf numFmtId="167" fontId="0" fillId="0" borderId="0" xfId="1" applyNumberFormat="1" applyFont="1"/>
    <xf numFmtId="43" fontId="0" fillId="0" borderId="0" xfId="0" applyNumberFormat="1"/>
    <xf numFmtId="168" fontId="0" fillId="0" borderId="0" xfId="3" applyNumberFormat="1" applyFont="1"/>
    <xf numFmtId="0" fontId="0" fillId="3" borderId="0" xfId="0" applyFill="1" applyAlignment="1">
      <alignment wrapText="1"/>
    </xf>
    <xf numFmtId="0" fontId="0" fillId="3" borderId="0" xfId="0" applyFill="1"/>
    <xf numFmtId="166" fontId="0" fillId="0" borderId="0" xfId="0" applyNumberFormat="1"/>
    <xf numFmtId="9" fontId="0" fillId="0" borderId="0" xfId="0" applyNumberFormat="1"/>
    <xf numFmtId="44" fontId="0" fillId="0" borderId="0" xfId="2" applyFont="1"/>
    <xf numFmtId="0" fontId="0" fillId="4" borderId="0" xfId="0" applyFill="1" applyAlignment="1">
      <alignment wrapText="1"/>
    </xf>
    <xf numFmtId="1" fontId="0" fillId="0" borderId="0" xfId="0" applyNumberFormat="1"/>
    <xf numFmtId="167" fontId="0" fillId="4" borderId="0" xfId="1" applyNumberFormat="1" applyFont="1" applyFill="1"/>
    <xf numFmtId="14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6" xfId="0" applyBorder="1"/>
    <xf numFmtId="168" fontId="0" fillId="0" borderId="0" xfId="3" applyNumberFormat="1" applyFont="1" applyBorder="1"/>
    <xf numFmtId="0" fontId="9" fillId="0" borderId="0" xfId="8" applyBorder="1"/>
    <xf numFmtId="14" fontId="0" fillId="0" borderId="1" xfId="0" applyNumberFormat="1" applyBorder="1"/>
    <xf numFmtId="167" fontId="0" fillId="0" borderId="3" xfId="1" applyNumberFormat="1" applyFont="1" applyBorder="1"/>
    <xf numFmtId="14" fontId="0" fillId="0" borderId="4" xfId="0" applyNumberFormat="1" applyBorder="1"/>
    <xf numFmtId="0" fontId="4" fillId="0" borderId="0" xfId="4" applyFont="1" applyFill="1">
      <alignment vertical="center"/>
    </xf>
    <xf numFmtId="0" fontId="11" fillId="0" borderId="0" xfId="4" applyFont="1" applyFill="1">
      <alignment vertical="center"/>
    </xf>
    <xf numFmtId="0" fontId="2" fillId="0" borderId="0" xfId="5" applyFont="1" applyAlignment="1">
      <alignment vertical="center" wrapText="1"/>
    </xf>
    <xf numFmtId="0" fontId="2" fillId="0" borderId="0" xfId="0" applyFont="1" applyAlignment="1">
      <alignment wrapText="1"/>
    </xf>
    <xf numFmtId="43" fontId="0" fillId="4" borderId="0" xfId="0" applyNumberFormat="1" applyFill="1"/>
    <xf numFmtId="1" fontId="0" fillId="5" borderId="0" xfId="0" applyNumberFormat="1" applyFill="1"/>
    <xf numFmtId="9" fontId="0" fillId="0" borderId="0" xfId="3" applyFont="1"/>
    <xf numFmtId="9" fontId="0" fillId="0" borderId="0" xfId="0" applyNumberFormat="1" applyAlignment="1">
      <alignment wrapText="1"/>
    </xf>
    <xf numFmtId="0" fontId="11" fillId="0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169" fontId="0" fillId="0" borderId="7" xfId="0" applyNumberFormat="1" applyBorder="1" applyAlignment="1">
      <alignment vertical="center" wrapText="1"/>
    </xf>
    <xf numFmtId="169" fontId="0" fillId="0" borderId="0" xfId="0" applyNumberFormat="1"/>
    <xf numFmtId="2" fontId="12" fillId="6" borderId="8" xfId="3" applyNumberFormat="1" applyFont="1" applyFill="1" applyBorder="1" applyAlignment="1">
      <alignment horizontal="center"/>
    </xf>
    <xf numFmtId="2" fontId="13" fillId="6" borderId="8" xfId="3" applyNumberFormat="1" applyFont="1" applyFill="1" applyBorder="1" applyAlignment="1">
      <alignment horizontal="center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3" fontId="0" fillId="0" borderId="0" xfId="0" applyNumberFormat="1"/>
    <xf numFmtId="0" fontId="0" fillId="5" borderId="0" xfId="0" applyFill="1" applyAlignment="1">
      <alignment wrapText="1"/>
    </xf>
    <xf numFmtId="169" fontId="0" fillId="0" borderId="0" xfId="0" applyNumberFormat="1" applyAlignment="1">
      <alignment vertical="center" wrapText="1"/>
    </xf>
    <xf numFmtId="0" fontId="11" fillId="5" borderId="0" xfId="4" applyFont="1" applyFill="1">
      <alignment vertical="center"/>
    </xf>
    <xf numFmtId="2" fontId="0" fillId="0" borderId="7" xfId="0" applyNumberFormat="1" applyBorder="1" applyAlignment="1">
      <alignment vertical="center" wrapText="1"/>
    </xf>
    <xf numFmtId="170" fontId="0" fillId="0" borderId="7" xfId="0" applyNumberFormat="1" applyBorder="1" applyAlignment="1">
      <alignment vertical="center" wrapText="1"/>
    </xf>
    <xf numFmtId="170" fontId="0" fillId="0" borderId="0" xfId="0" applyNumberFormat="1"/>
    <xf numFmtId="0" fontId="14" fillId="9" borderId="12" xfId="0" applyFont="1" applyFill="1" applyBorder="1" applyAlignment="1">
      <alignment wrapText="1"/>
    </xf>
    <xf numFmtId="0" fontId="15" fillId="0" borderId="12" xfId="0" applyFont="1" applyBorder="1"/>
    <xf numFmtId="0" fontId="15" fillId="0" borderId="9" xfId="0" applyFont="1" applyBorder="1"/>
    <xf numFmtId="2" fontId="15" fillId="0" borderId="9" xfId="0" applyNumberFormat="1" applyFont="1" applyBorder="1"/>
    <xf numFmtId="0" fontId="14" fillId="9" borderId="14" xfId="0" applyFont="1" applyFill="1" applyBorder="1" applyAlignment="1">
      <alignment wrapText="1"/>
    </xf>
    <xf numFmtId="0" fontId="15" fillId="0" borderId="14" xfId="0" applyFont="1" applyBorder="1"/>
    <xf numFmtId="2" fontId="15" fillId="0" borderId="14" xfId="0" applyNumberFormat="1" applyFont="1" applyBorder="1"/>
    <xf numFmtId="0" fontId="14" fillId="9" borderId="14" xfId="0" applyFont="1" applyFill="1" applyBorder="1"/>
    <xf numFmtId="0" fontId="14" fillId="9" borderId="14" xfId="0" applyFont="1" applyFill="1" applyBorder="1" applyAlignment="1">
      <alignment horizontal="center"/>
    </xf>
    <xf numFmtId="0" fontId="18" fillId="0" borderId="0" xfId="0" applyFont="1"/>
    <xf numFmtId="169" fontId="18" fillId="0" borderId="0" xfId="0" applyNumberFormat="1" applyFont="1" applyAlignment="1">
      <alignment vertical="center" wrapText="1"/>
    </xf>
    <xf numFmtId="0" fontId="19" fillId="0" borderId="0" xfId="4" applyFont="1" applyFill="1" applyAlignment="1">
      <alignment vertical="center" wrapText="1"/>
    </xf>
    <xf numFmtId="0" fontId="19" fillId="0" borderId="0" xfId="4" applyFont="1" applyFill="1" applyAlignment="1">
      <alignment horizontal="left" vertical="center"/>
    </xf>
    <xf numFmtId="1" fontId="0" fillId="0" borderId="0" xfId="1" applyNumberFormat="1" applyFont="1"/>
    <xf numFmtId="1" fontId="0" fillId="4" borderId="0" xfId="0" applyNumberFormat="1" applyFill="1"/>
    <xf numFmtId="167" fontId="2" fillId="11" borderId="15" xfId="1" applyNumberFormat="1" applyFont="1" applyFill="1" applyBorder="1"/>
    <xf numFmtId="0" fontId="10" fillId="0" borderId="0" xfId="0" applyFont="1" applyAlignment="1">
      <alignment horizontal="left" vertical="top" wrapText="1"/>
    </xf>
    <xf numFmtId="0" fontId="0" fillId="10" borderId="13" xfId="0" applyFill="1" applyBorder="1" applyAlignment="1">
      <alignment horizontal="center"/>
    </xf>
    <xf numFmtId="0" fontId="14" fillId="9" borderId="9" xfId="0" applyFont="1" applyFill="1" applyBorder="1" applyAlignment="1">
      <alignment wrapText="1"/>
    </xf>
    <xf numFmtId="0" fontId="14" fillId="9" borderId="10" xfId="0" applyFont="1" applyFill="1" applyBorder="1" applyAlignment="1">
      <alignment wrapText="1"/>
    </xf>
    <xf numFmtId="0" fontId="14" fillId="9" borderId="11" xfId="0" applyFont="1" applyFill="1" applyBorder="1" applyAlignment="1">
      <alignment wrapText="1"/>
    </xf>
    <xf numFmtId="0" fontId="15" fillId="0" borderId="9" xfId="0" applyFont="1" applyBorder="1"/>
    <xf numFmtId="0" fontId="15" fillId="0" borderId="11" xfId="0" applyFont="1" applyBorder="1"/>
    <xf numFmtId="0" fontId="16" fillId="0" borderId="9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5" fillId="0" borderId="10" xfId="0" applyFont="1" applyBorder="1"/>
    <xf numFmtId="0" fontId="17" fillId="9" borderId="10" xfId="0" applyFont="1" applyFill="1" applyBorder="1"/>
    <xf numFmtId="0" fontId="17" fillId="9" borderId="11" xfId="0" applyFont="1" applyFill="1" applyBorder="1"/>
    <xf numFmtId="0" fontId="20" fillId="0" borderId="0" xfId="9"/>
    <xf numFmtId="0" fontId="21" fillId="0" borderId="0" xfId="9" applyFont="1" applyAlignment="1">
      <alignment horizontal="center"/>
    </xf>
    <xf numFmtId="0" fontId="20" fillId="0" borderId="0" xfId="9" applyAlignment="1">
      <alignment horizontal="center"/>
    </xf>
    <xf numFmtId="0" fontId="22" fillId="11" borderId="16" xfId="9" applyFont="1" applyFill="1" applyBorder="1"/>
    <xf numFmtId="2" fontId="22" fillId="11" borderId="16" xfId="9" applyNumberFormat="1" applyFont="1" applyFill="1" applyBorder="1" applyAlignment="1">
      <alignment wrapText="1"/>
    </xf>
    <xf numFmtId="1" fontId="20" fillId="0" borderId="0" xfId="9" applyNumberFormat="1" applyAlignment="1">
      <alignment horizontal="left"/>
    </xf>
    <xf numFmtId="0" fontId="2" fillId="12" borderId="0" xfId="0" applyFont="1" applyFill="1"/>
    <xf numFmtId="0" fontId="2" fillId="12" borderId="0" xfId="0" applyFont="1" applyFill="1" applyAlignment="1">
      <alignment wrapText="1"/>
    </xf>
  </cellXfs>
  <cellStyles count="10">
    <cellStyle name="DescriptorColumnStyle" xfId="5" xr:uid="{B0B71421-F5DB-43F0-9F28-5DB1F9FB7C75}"/>
    <cellStyle name="HeaderStyle" xfId="4" xr:uid="{BBEFB709-7CA1-4E0E-8C6B-5CCEC1131072}"/>
    <cellStyle name="Hipervínculo" xfId="8" builtinId="8"/>
    <cellStyle name="HyphenStyle" xfId="6" xr:uid="{844257E7-BFE3-46FD-9810-FEA4480C419B}"/>
    <cellStyle name="Millares" xfId="1" builtinId="3"/>
    <cellStyle name="Moneda" xfId="2" builtinId="4"/>
    <cellStyle name="Normal" xfId="0" builtinId="0"/>
    <cellStyle name="Normal 2" xfId="9" xr:uid="{1F762B65-5CEC-4CA1-9636-136665E8572A}"/>
    <cellStyle name="NumberStyle" xfId="7" xr:uid="{62D64A20-E657-4CF4-ADDC-BC5362C9E769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COP por paquete de 20 cigarrillos referencia más común (Belmont Blue/Rothmans</a:t>
            </a:r>
            <a:r>
              <a:rPr lang="es-419" baseline="0"/>
              <a:t> azul)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1"/>
          <c:tx>
            <c:strRef>
              <c:f>Precio!$J$1</c:f>
              <c:strCache>
                <c:ptCount val="1"/>
                <c:pt idx="0">
                  <c:v>Precio antes impuestos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Precio!$J$2:$J$10</c:f>
              <c:numCache>
                <c:formatCode>_-* #,##0_-;\-* #,##0_-;_-* "-"??_-;_-@_-</c:formatCode>
                <c:ptCount val="9"/>
                <c:pt idx="0">
                  <c:v>1434.2448275862071</c:v>
                </c:pt>
                <c:pt idx="1">
                  <c:v>1704.8241379310348</c:v>
                </c:pt>
                <c:pt idx="2">
                  <c:v>1628.9957983193281</c:v>
                </c:pt>
                <c:pt idx="3">
                  <c:v>1648.8184873949581</c:v>
                </c:pt>
                <c:pt idx="4">
                  <c:v>1935.1126050420166</c:v>
                </c:pt>
                <c:pt idx="5">
                  <c:v>2310.3789915966386</c:v>
                </c:pt>
                <c:pt idx="6">
                  <c:v>2804.9193277310933</c:v>
                </c:pt>
                <c:pt idx="7">
                  <c:v>2894.6033613445379</c:v>
                </c:pt>
                <c:pt idx="8">
                  <c:v>3200.345661524585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D-4E88-9327-12CC78D336C8}"/>
            </c:ext>
          </c:extLst>
        </c:ser>
        <c:ser>
          <c:idx val="1"/>
          <c:order val="2"/>
          <c:tx>
            <c:strRef>
              <c:f>Precio!$H$1</c:f>
              <c:strCache>
                <c:ptCount val="1"/>
                <c:pt idx="0">
                  <c:v>Específico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Precio!$H$2:$H$10</c:f>
              <c:numCache>
                <c:formatCode>_-* #,##0_-;\-* #,##0_-;_-* "-"??_-;_-@_-</c:formatCode>
                <c:ptCount val="9"/>
                <c:pt idx="0">
                  <c:v>659</c:v>
                </c:pt>
                <c:pt idx="1">
                  <c:v>701</c:v>
                </c:pt>
                <c:pt idx="2">
                  <c:v>1400</c:v>
                </c:pt>
                <c:pt idx="3">
                  <c:v>2100</c:v>
                </c:pt>
                <c:pt idx="4">
                  <c:v>2253</c:v>
                </c:pt>
                <c:pt idx="5">
                  <c:v>2430</c:v>
                </c:pt>
                <c:pt idx="6">
                  <c:v>2563</c:v>
                </c:pt>
                <c:pt idx="7">
                  <c:v>2800</c:v>
                </c:pt>
                <c:pt idx="8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D-4E88-9327-12CC78D336C8}"/>
            </c:ext>
          </c:extLst>
        </c:ser>
        <c:ser>
          <c:idx val="2"/>
          <c:order val="3"/>
          <c:tx>
            <c:strRef>
              <c:f>Precio!$I$1</c:f>
              <c:strCache>
                <c:ptCount val="1"/>
                <c:pt idx="0">
                  <c:v>Ad valorem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Precio!$I$2:$I$10</c:f>
              <c:numCache>
                <c:formatCode>_-* #,##0_-;\-* #,##0_-;_-* "-"??_-;_-@_-</c:formatCode>
                <c:ptCount val="9"/>
                <c:pt idx="0">
                  <c:v>242.10000000000002</c:v>
                </c:pt>
                <c:pt idx="1">
                  <c:v>270.90000000000003</c:v>
                </c:pt>
                <c:pt idx="2">
                  <c:v>310.5</c:v>
                </c:pt>
                <c:pt idx="3">
                  <c:v>397.40000000000003</c:v>
                </c:pt>
                <c:pt idx="4">
                  <c:v>493.40000000000003</c:v>
                </c:pt>
                <c:pt idx="5">
                  <c:v>557.1</c:v>
                </c:pt>
                <c:pt idx="6">
                  <c:v>630.40000000000009</c:v>
                </c:pt>
                <c:pt idx="7">
                  <c:v>713.80000000000007</c:v>
                </c:pt>
                <c:pt idx="8">
                  <c:v>762.6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D-4E88-9327-12CC78D336C8}"/>
            </c:ext>
          </c:extLst>
        </c:ser>
        <c:ser>
          <c:idx val="0"/>
          <c:order val="4"/>
          <c:tx>
            <c:strRef>
              <c:f>Precio!$G$1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Precio!$G$2:$G$10</c:f>
              <c:numCache>
                <c:formatCode>_-* #,##0_-;\-* #,##0_-;_-* "-"??_-;_-@_-</c:formatCode>
                <c:ptCount val="9"/>
                <c:pt idx="0">
                  <c:v>373.65517241379303</c:v>
                </c:pt>
                <c:pt idx="1">
                  <c:v>428.27586206896513</c:v>
                </c:pt>
                <c:pt idx="2">
                  <c:v>634.50420168067194</c:v>
                </c:pt>
                <c:pt idx="3">
                  <c:v>787.78151260504183</c:v>
                </c:pt>
                <c:pt idx="4">
                  <c:v>889.48739495798327</c:v>
                </c:pt>
                <c:pt idx="5">
                  <c:v>1006.5210084033615</c:v>
                </c:pt>
                <c:pt idx="6">
                  <c:v>1139.6806722689071</c:v>
                </c:pt>
                <c:pt idx="7">
                  <c:v>1217.5966386554619</c:v>
                </c:pt>
                <c:pt idx="8">
                  <c:v>1372.9296756896711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D-4E88-9327-12CC78D336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0"/>
          <c:tx>
            <c:strRef>
              <c:f>Precio!$D$1</c:f>
              <c:strCache>
                <c:ptCount val="1"/>
                <c:pt idx="0">
                  <c:v>Precio Belmont/Rothmans azul
Certificacion DANE anual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05064247512769E-3"/>
                  <c:y val="-0.118213399688310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E0-4029-A559-7845A8096DE1}"/>
                </c:ext>
              </c:extLst>
            </c:dLbl>
            <c:dLbl>
              <c:idx val="1"/>
              <c:layout>
                <c:manualLayout>
                  <c:x val="0"/>
                  <c:y val="-0.124057584515188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E0-4029-A559-7845A8096DE1}"/>
                </c:ext>
              </c:extLst>
            </c:dLbl>
            <c:dLbl>
              <c:idx val="2"/>
              <c:layout>
                <c:manualLayout>
                  <c:x val="-3.8142177165421335E-17"/>
                  <c:y val="-0.13249732509599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E0-4029-A559-7845A8096DE1}"/>
                </c:ext>
              </c:extLst>
            </c:dLbl>
            <c:dLbl>
              <c:idx val="3"/>
              <c:layout>
                <c:manualLayout>
                  <c:x val="4.1610128495024783E-3"/>
                  <c:y val="-0.1596561245073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E0-4029-A559-7845A8096DE1}"/>
                </c:ext>
              </c:extLst>
            </c:dLbl>
            <c:dLbl>
              <c:idx val="4"/>
              <c:layout>
                <c:manualLayout>
                  <c:x val="0"/>
                  <c:y val="-0.185722335665428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E0-4029-A559-7845A8096DE1}"/>
                </c:ext>
              </c:extLst>
            </c:dLbl>
            <c:dLbl>
              <c:idx val="5"/>
              <c:layout>
                <c:manualLayout>
                  <c:x val="2.0805064247512769E-3"/>
                  <c:y val="-0.20956679573155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E0-4029-A559-7845A8096DE1}"/>
                </c:ext>
              </c:extLst>
            </c:dLbl>
            <c:dLbl>
              <c:idx val="6"/>
              <c:layout>
                <c:manualLayout>
                  <c:x val="-2.0805064247513532E-3"/>
                  <c:y val="-0.232475194372225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E0-4029-A559-7845A8096DE1}"/>
                </c:ext>
              </c:extLst>
            </c:dLbl>
            <c:dLbl>
              <c:idx val="7"/>
              <c:layout>
                <c:manualLayout>
                  <c:x val="-2.0805064247514295E-3"/>
                  <c:y val="-0.250667331208287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E0-4029-A559-7845A8096DE1}"/>
                </c:ext>
              </c:extLst>
            </c:dLbl>
            <c:dLbl>
              <c:idx val="8"/>
              <c:layout>
                <c:manualLayout>
                  <c:x val="0"/>
                  <c:y val="-0.262826211207692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E0-4029-A559-7845A8096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Precio!$D$2:$D$10</c:f>
              <c:numCache>
                <c:formatCode>_-* #,##0_-;\-* #,##0_-;_-* "-"??_-;_-@_-</c:formatCode>
                <c:ptCount val="9"/>
                <c:pt idx="0">
                  <c:v>2709</c:v>
                </c:pt>
                <c:pt idx="1">
                  <c:v>3105</c:v>
                </c:pt>
                <c:pt idx="2">
                  <c:v>3974</c:v>
                </c:pt>
                <c:pt idx="3">
                  <c:v>4934</c:v>
                </c:pt>
                <c:pt idx="4">
                  <c:v>5571</c:v>
                </c:pt>
                <c:pt idx="5">
                  <c:v>6304</c:v>
                </c:pt>
                <c:pt idx="6">
                  <c:v>7138</c:v>
                </c:pt>
                <c:pt idx="7">
                  <c:v>7626</c:v>
                </c:pt>
                <c:pt idx="8">
                  <c:v>8598.8753372142564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0-4029-A559-7845A809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Recaudo tributario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Recaudo!$B$1</c:f>
              <c:strCache>
                <c:ptCount val="1"/>
                <c:pt idx="0">
                  <c:v>Total Arancel
Miles de millones COP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Recaudo!$A$2:$A$11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Recaudo!$B$2:$B$11</c:f>
              <c:numCache>
                <c:formatCode>0.00</c:formatCode>
                <c:ptCount val="10"/>
                <c:pt idx="0">
                  <c:v>0.26932499999999998</c:v>
                </c:pt>
                <c:pt idx="1">
                  <c:v>0.36338399999999998</c:v>
                </c:pt>
                <c:pt idx="2">
                  <c:v>0.48072900000000002</c:v>
                </c:pt>
                <c:pt idx="3">
                  <c:v>0.605433</c:v>
                </c:pt>
                <c:pt idx="4">
                  <c:v>1.0236780000000001</c:v>
                </c:pt>
                <c:pt idx="5">
                  <c:v>1.5735140000000001</c:v>
                </c:pt>
                <c:pt idx="6">
                  <c:v>1.49701</c:v>
                </c:pt>
                <c:pt idx="7">
                  <c:v>2.9146519999999998</c:v>
                </c:pt>
                <c:pt idx="8">
                  <c:v>3.6486730000000001</c:v>
                </c:pt>
                <c:pt idx="9">
                  <c:v>1.216126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9-4F67-9D9C-7F3E99F5587C}"/>
            </c:ext>
          </c:extLst>
        </c:ser>
        <c:ser>
          <c:idx val="2"/>
          <c:order val="1"/>
          <c:tx>
            <c:strRef>
              <c:f>Recaudo!$C$1</c:f>
              <c:strCache>
                <c:ptCount val="1"/>
                <c:pt idx="0">
                  <c:v>Total IVA aduana
Miles de millones COP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Recaudo!$A$2:$A$11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Recaudo!$C$2:$C$11</c:f>
              <c:numCache>
                <c:formatCode>0.00</c:formatCode>
                <c:ptCount val="10"/>
                <c:pt idx="0">
                  <c:v>10.685423</c:v>
                </c:pt>
                <c:pt idx="1">
                  <c:v>27.033408000000001</c:v>
                </c:pt>
                <c:pt idx="2">
                  <c:v>34.387391000000001</c:v>
                </c:pt>
                <c:pt idx="3">
                  <c:v>35.216769999999997</c:v>
                </c:pt>
                <c:pt idx="4">
                  <c:v>26.651201</c:v>
                </c:pt>
                <c:pt idx="5">
                  <c:v>53.456102999999999</c:v>
                </c:pt>
                <c:pt idx="6">
                  <c:v>77.022160999999997</c:v>
                </c:pt>
                <c:pt idx="7">
                  <c:v>76.486818</c:v>
                </c:pt>
                <c:pt idx="8">
                  <c:v>98.857332999999997</c:v>
                </c:pt>
                <c:pt idx="9">
                  <c:v>98.722442999999998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9-4F67-9D9C-7F3E99F5587C}"/>
            </c:ext>
          </c:extLst>
        </c:ser>
        <c:ser>
          <c:idx val="3"/>
          <c:order val="2"/>
          <c:tx>
            <c:strRef>
              <c:f>Recaudo!$D$1</c:f>
              <c:strCache>
                <c:ptCount val="1"/>
                <c:pt idx="0">
                  <c:v>Componente ad-valorem ADRES
Miles de millones 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Recaudo!$A$2:$A$11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Recaudo!$D$2:$D$11</c:f>
              <c:numCache>
                <c:formatCode>General</c:formatCode>
                <c:ptCount val="10"/>
                <c:pt idx="5" formatCode="0">
                  <c:v>255.05081999999999</c:v>
                </c:pt>
                <c:pt idx="6" formatCode="0">
                  <c:v>302.18531000000002</c:v>
                </c:pt>
                <c:pt idx="7" formatCode="0">
                  <c:v>478.12031000000002</c:v>
                </c:pt>
                <c:pt idx="8" formatCode="0">
                  <c:v>542.27012000000002</c:v>
                </c:pt>
                <c:pt idx="9" formatCode="0">
                  <c:v>525.08664999999996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9-4F67-9D9C-7F3E99F5587C}"/>
            </c:ext>
          </c:extLst>
        </c:ser>
        <c:ser>
          <c:idx val="4"/>
          <c:order val="3"/>
          <c:tx>
            <c:strRef>
              <c:f>Recaudo!$E$1</c:f>
              <c:strCache>
                <c:ptCount val="1"/>
                <c:pt idx="0">
                  <c:v>Componente ad-valorem CHIP
Miles de millones COP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Recaudo!$A$2:$A$11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Recaudo!$E$2:$E$11</c:f>
              <c:numCache>
                <c:formatCode>_(* #,##0.00_);_(* \(#,##0.00\);_(* "-"??_);_(@_)</c:formatCode>
                <c:ptCount val="10"/>
                <c:pt idx="0">
                  <c:v>113.29663259599999</c:v>
                </c:pt>
                <c:pt idx="1">
                  <c:v>126.251952653</c:v>
                </c:pt>
                <c:pt idx="2">
                  <c:v>160.77276299900001</c:v>
                </c:pt>
                <c:pt idx="3">
                  <c:v>238.21099054481996</c:v>
                </c:pt>
                <c:pt idx="4">
                  <c:v>140.86706376544001</c:v>
                </c:pt>
                <c:pt idx="5">
                  <c:v>129.57478690600001</c:v>
                </c:pt>
                <c:pt idx="6">
                  <c:v>62.053293299000003</c:v>
                </c:pt>
                <c:pt idx="7">
                  <c:v>148.48124491194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9-4F67-9D9C-7F3E99F5587C}"/>
            </c:ext>
          </c:extLst>
        </c:ser>
        <c:ser>
          <c:idx val="5"/>
          <c:order val="4"/>
          <c:tx>
            <c:strRef>
              <c:f>Recaudo!$F$1</c:f>
              <c:strCache>
                <c:ptCount val="1"/>
                <c:pt idx="0">
                  <c:v>Componente específico ADRES
Miles de millones 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Ref>
              <c:f>Recaudo!$A$2:$A$11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Recaudo!$F$2:$F$11</c:f>
              <c:numCache>
                <c:formatCode>General</c:formatCode>
                <c:ptCount val="10"/>
                <c:pt idx="5" formatCode="0">
                  <c:v>701.72784999999999</c:v>
                </c:pt>
                <c:pt idx="6" formatCode="0">
                  <c:v>605.93919000000005</c:v>
                </c:pt>
                <c:pt idx="7" formatCode="0">
                  <c:v>994.95285999999999</c:v>
                </c:pt>
                <c:pt idx="8" formatCode="0">
                  <c:v>1164.3275000000001</c:v>
                </c:pt>
                <c:pt idx="9" formatCode="0">
                  <c:v>1248.6477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9-4F67-9D9C-7F3E99F5587C}"/>
            </c:ext>
          </c:extLst>
        </c:ser>
        <c:ser>
          <c:idx val="6"/>
          <c:order val="5"/>
          <c:tx>
            <c:strRef>
              <c:f>Recaudo!$G$1</c:f>
              <c:strCache>
                <c:ptCount val="1"/>
                <c:pt idx="0">
                  <c:v>Componente específico CHIP
Miles de millones 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Recaudo!$A$2:$A$11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Recaudo!$G$2:$G$11</c:f>
              <c:numCache>
                <c:formatCode>_(* #,##0.00_);_(* \(#,##0.00\);_(* "-"??_);_(@_)</c:formatCode>
                <c:ptCount val="10"/>
                <c:pt idx="0">
                  <c:v>366.91891247500001</c:v>
                </c:pt>
                <c:pt idx="1">
                  <c:v>346.88219516599997</c:v>
                </c:pt>
                <c:pt idx="2">
                  <c:v>370.39350882700001</c:v>
                </c:pt>
                <c:pt idx="3">
                  <c:v>434.66439620400001</c:v>
                </c:pt>
                <c:pt idx="4">
                  <c:v>581.34250278891989</c:v>
                </c:pt>
                <c:pt idx="5">
                  <c:v>823.45095215189997</c:v>
                </c:pt>
                <c:pt idx="6">
                  <c:v>859.50246842245008</c:v>
                </c:pt>
                <c:pt idx="7">
                  <c:v>805.66302279178001</c:v>
                </c:pt>
                <c:pt idx="8" formatCode="0">
                  <c:v>873.25428772911982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19-4F67-9D9C-7F3E99F5587C}"/>
            </c:ext>
          </c:extLst>
        </c:ser>
        <c:ser>
          <c:idx val="8"/>
          <c:order val="6"/>
          <c:tx>
            <c:strRef>
              <c:f>Recaudo!$H$1</c:f>
              <c:strCache>
                <c:ptCount val="1"/>
                <c:pt idx="0">
                  <c:v>IVA IMPIT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Recaudo!$A$2:$A$11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Recaudo!$H$2:$H$11</c:f>
              <c:numCache>
                <c:formatCode>General</c:formatCode>
                <c:ptCount val="10"/>
                <c:pt idx="0">
                  <c:v>720</c:v>
                </c:pt>
                <c:pt idx="1">
                  <c:v>722</c:v>
                </c:pt>
                <c:pt idx="2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19-4F67-9D9C-7F3E99F5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84751"/>
        <c:axId val="423088111"/>
      </c:lineChart>
      <c:catAx>
        <c:axId val="4230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088111"/>
        <c:crosses val="autoZero"/>
        <c:auto val="1"/>
        <c:lblAlgn val="ctr"/>
        <c:lblOffset val="100"/>
        <c:noMultiLvlLbl val="0"/>
      </c:catAx>
      <c:valAx>
        <c:axId val="4230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Miles de Millones de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0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IHME GBD - % de todas las muertes según causa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Salud!$B$1</c:f>
              <c:strCache>
                <c:ptCount val="1"/>
                <c:pt idx="0">
                  <c:v>ODS 3.41.1 Non-communicable diseases deaths (age 30 to 70)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Salud!$B$2:$B$11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A53-9C34-CA455367E4C6}"/>
            </c:ext>
          </c:extLst>
        </c:ser>
        <c:ser>
          <c:idx val="2"/>
          <c:order val="2"/>
          <c:tx>
            <c:strRef>
              <c:f>Salud!$D$1</c:f>
              <c:strCache>
                <c:ptCount val="1"/>
                <c:pt idx="0">
                  <c:v>IHME GBD Cardiovascular diseases deaths (% of all deaths)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Salud!$D$2:$D$11</c:f>
              <c:numCache>
                <c:formatCode>0.0%</c:formatCode>
                <c:ptCount val="10"/>
                <c:pt idx="0">
                  <c:v>0.28590811633465202</c:v>
                </c:pt>
                <c:pt idx="1">
                  <c:v>0.28887626422616902</c:v>
                </c:pt>
                <c:pt idx="2">
                  <c:v>0.29057260724317202</c:v>
                </c:pt>
                <c:pt idx="3">
                  <c:v>0.29067319092780097</c:v>
                </c:pt>
                <c:pt idx="4">
                  <c:v>0.210347462422459</c:v>
                </c:pt>
                <c:pt idx="5">
                  <c:v>0.29260275939817598</c:v>
                </c:pt>
                <c:pt idx="6">
                  <c:v>0.288948639685699</c:v>
                </c:pt>
                <c:pt idx="7">
                  <c:v>0.241466512460973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A53-9C34-CA455367E4C6}"/>
            </c:ext>
          </c:extLst>
        </c:ser>
        <c:ser>
          <c:idx val="3"/>
          <c:order val="3"/>
          <c:tx>
            <c:strRef>
              <c:f>Salud!$E$1</c:f>
              <c:strCache>
                <c:ptCount val="1"/>
                <c:pt idx="0">
                  <c:v>IHME GBD Chronic Respiratory Diseases (% of all deaths)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Salud!$E$2:$E$11</c:f>
              <c:numCache>
                <c:formatCode>0.0%</c:formatCode>
                <c:ptCount val="10"/>
                <c:pt idx="0">
                  <c:v>7.0775227062646107E-2</c:v>
                </c:pt>
                <c:pt idx="1">
                  <c:v>7.0782153325975997E-2</c:v>
                </c:pt>
                <c:pt idx="2">
                  <c:v>6.9975246117616297E-2</c:v>
                </c:pt>
                <c:pt idx="3">
                  <c:v>7.2154126298298302E-2</c:v>
                </c:pt>
                <c:pt idx="4">
                  <c:v>7.1440325516369696E-2</c:v>
                </c:pt>
                <c:pt idx="5">
                  <c:v>5.4284099078761701E-2</c:v>
                </c:pt>
                <c:pt idx="6">
                  <c:v>7.4491319530266095E-2</c:v>
                </c:pt>
                <c:pt idx="7">
                  <c:v>6.2083566146336103E-2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A53-9C34-CA455367E4C6}"/>
            </c:ext>
          </c:extLst>
        </c:ser>
        <c:ser>
          <c:idx val="4"/>
          <c:order val="4"/>
          <c:tx>
            <c:strRef>
              <c:f>Salud!$F$1</c:f>
              <c:strCache>
                <c:ptCount val="1"/>
                <c:pt idx="0">
                  <c:v>IHME GBD Diabetes and CKD (% of all deaths)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Salud!$F$2:$F$11</c:f>
              <c:numCache>
                <c:formatCode>0.0%</c:formatCode>
                <c:ptCount val="10"/>
                <c:pt idx="0">
                  <c:v>6.1845826659340797E-2</c:v>
                </c:pt>
                <c:pt idx="1">
                  <c:v>6.3122364811451906E-2</c:v>
                </c:pt>
                <c:pt idx="2">
                  <c:v>6.2594236775133802E-2</c:v>
                </c:pt>
                <c:pt idx="3">
                  <c:v>6.2271071619701003E-2</c:v>
                </c:pt>
                <c:pt idx="4">
                  <c:v>6.2668111719941993E-2</c:v>
                </c:pt>
                <c:pt idx="5">
                  <c:v>6.0569986808685798E-2</c:v>
                </c:pt>
                <c:pt idx="6">
                  <c:v>5.1341576289156698E-2</c:v>
                </c:pt>
                <c:pt idx="7">
                  <c:v>4.4926170163088398E-2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A53-9C34-CA455367E4C6}"/>
            </c:ext>
          </c:extLst>
        </c:ser>
        <c:ser>
          <c:idx val="5"/>
          <c:order val="5"/>
          <c:tx>
            <c:strRef>
              <c:f>Salud!$G$1</c:f>
              <c:strCache>
                <c:ptCount val="1"/>
                <c:pt idx="0">
                  <c:v>IHME GBD Total Cancers (% of all deaths)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Salud!$G$2:$G$11</c:f>
              <c:numCache>
                <c:formatCode>0.0%</c:formatCode>
                <c:ptCount val="10"/>
                <c:pt idx="0">
                  <c:v>0.19571987000955501</c:v>
                </c:pt>
                <c:pt idx="1">
                  <c:v>0.197631075162399</c:v>
                </c:pt>
                <c:pt idx="2">
                  <c:v>0.195417392839423</c:v>
                </c:pt>
                <c:pt idx="3">
                  <c:v>0.19965602618450301</c:v>
                </c:pt>
                <c:pt idx="4">
                  <c:v>0.19908742762841899</c:v>
                </c:pt>
                <c:pt idx="5">
                  <c:v>0.14550250789357799</c:v>
                </c:pt>
                <c:pt idx="6">
                  <c:v>0.19929015896014601</c:v>
                </c:pt>
                <c:pt idx="7">
                  <c:v>0.16740480817509401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33-4A53-9C34-CA455367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977680"/>
        <c:axId val="270279856"/>
      </c:lineChart>
      <c:lineChart>
        <c:grouping val="standard"/>
        <c:varyColors val="0"/>
        <c:ser>
          <c:idx val="1"/>
          <c:order val="1"/>
          <c:tx>
            <c:strRef>
              <c:f>Salud!$C$1</c:f>
              <c:strCache>
                <c:ptCount val="1"/>
                <c:pt idx="0">
                  <c:v>IHME GBD Non-communicable diseases deaths (% of all deaths)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Salud!$C$2:$C$11</c:f>
              <c:numCache>
                <c:formatCode>0.0%</c:formatCode>
                <c:ptCount val="10"/>
                <c:pt idx="0">
                  <c:v>0.75334542535134597</c:v>
                </c:pt>
                <c:pt idx="1">
                  <c:v>0.75792751296912098</c:v>
                </c:pt>
                <c:pt idx="2">
                  <c:v>0.765476544210279</c:v>
                </c:pt>
                <c:pt idx="3">
                  <c:v>0.55695279068054204</c:v>
                </c:pt>
                <c:pt idx="4">
                  <c:v>0.76249556412206099</c:v>
                </c:pt>
                <c:pt idx="5">
                  <c:v>0.767478915696996</c:v>
                </c:pt>
                <c:pt idx="6">
                  <c:v>0.76870467645858997</c:v>
                </c:pt>
                <c:pt idx="7">
                  <c:v>0.64102581180797102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A53-9C34-CA455367E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97520"/>
        <c:axId val="779291280"/>
      </c:lineChart>
      <c:catAx>
        <c:axId val="7459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0279856"/>
        <c:crosses val="autoZero"/>
        <c:auto val="1"/>
        <c:lblAlgn val="ctr"/>
        <c:lblOffset val="100"/>
        <c:noMultiLvlLbl val="0"/>
      </c:catAx>
      <c:valAx>
        <c:axId val="2702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5977680"/>
        <c:crosses val="autoZero"/>
        <c:crossBetween val="between"/>
      </c:valAx>
      <c:valAx>
        <c:axId val="7792912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297520"/>
        <c:crosses val="max"/>
        <c:crossBetween val="between"/>
      </c:valAx>
      <c:catAx>
        <c:axId val="77929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29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Atenciones en salud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Salud!$M$1</c:f>
              <c:strCache>
                <c:ptCount val="1"/>
                <c:pt idx="0">
                  <c:v>Personas atendidas x cáncer de pulmón 20-69  (x 10000 usuarios)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Salud!$M$2:$M$11</c:f>
              <c:numCache>
                <c:formatCode>_(* #,##0.00_);_(* \(#,##0.00\);_(* "-"??_);_(@_)</c:formatCode>
                <c:ptCount val="10"/>
                <c:pt idx="1">
                  <c:v>1.5833846141773169</c:v>
                </c:pt>
                <c:pt idx="2">
                  <c:v>1.5018271555717517</c:v>
                </c:pt>
                <c:pt idx="3">
                  <c:v>1.5428353087080529</c:v>
                </c:pt>
                <c:pt idx="4">
                  <c:v>1.7408692155023824</c:v>
                </c:pt>
                <c:pt idx="5">
                  <c:v>2.0367422182778627</c:v>
                </c:pt>
                <c:pt idx="6">
                  <c:v>2.2291930649321472</c:v>
                </c:pt>
                <c:pt idx="7">
                  <c:v>1.799093747746171</c:v>
                </c:pt>
                <c:pt idx="8">
                  <c:v>2.399236549037548</c:v>
                </c:pt>
                <c:pt idx="9">
                  <c:v>2.5249004770557208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4-4C2D-984A-FF783B2BD4DB}"/>
            </c:ext>
          </c:extLst>
        </c:ser>
        <c:ser>
          <c:idx val="2"/>
          <c:order val="2"/>
          <c:tx>
            <c:strRef>
              <c:f>Salud!$N$1</c:f>
              <c:strCache>
                <c:ptCount val="1"/>
                <c:pt idx="0">
                  <c:v>Personas atendidas x infarto de miocardio 30-55  (x 10000 usuarios)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Salud!$N$2:$N$11</c:f>
              <c:numCache>
                <c:formatCode>_(* #,##0.00_);_(* \(#,##0.00\);_(* "-"??_);_(@_)</c:formatCode>
                <c:ptCount val="10"/>
                <c:pt idx="1">
                  <c:v>2.5283472440115853</c:v>
                </c:pt>
                <c:pt idx="2">
                  <c:v>2.1346725607497854</c:v>
                </c:pt>
                <c:pt idx="3">
                  <c:v>2.4552441379365453</c:v>
                </c:pt>
                <c:pt idx="4">
                  <c:v>2.6011998249523702</c:v>
                </c:pt>
                <c:pt idx="5">
                  <c:v>2.833502624493597</c:v>
                </c:pt>
                <c:pt idx="6">
                  <c:v>3.1307837696793439</c:v>
                </c:pt>
                <c:pt idx="7">
                  <c:v>2.8870385921486839</c:v>
                </c:pt>
                <c:pt idx="8">
                  <c:v>2.7876408891087348</c:v>
                </c:pt>
                <c:pt idx="9">
                  <c:v>3.0878631315854834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4-4C2D-984A-FF783B2B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977680"/>
        <c:axId val="270279856"/>
      </c:lineChart>
      <c:lineChart>
        <c:grouping val="standard"/>
        <c:varyColors val="0"/>
        <c:ser>
          <c:idx val="0"/>
          <c:order val="0"/>
          <c:tx>
            <c:strRef>
              <c:f>Salud!$L$1</c:f>
              <c:strCache>
                <c:ptCount val="1"/>
                <c:pt idx="0">
                  <c:v>Personas atendidas x enfermedades del odio medio (x 1000 usuarios)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Salud!$A$2:$A$11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Salud!$L$2:$L$11</c:f>
              <c:numCache>
                <c:formatCode>_(* #,##0.00_);_(* \(#,##0.00\);_(* "-"??_);_(@_)</c:formatCode>
                <c:ptCount val="10"/>
                <c:pt idx="1">
                  <c:v>12.973740175167952</c:v>
                </c:pt>
                <c:pt idx="2">
                  <c:v>13.303561862639892</c:v>
                </c:pt>
                <c:pt idx="3">
                  <c:v>13.599463203954146</c:v>
                </c:pt>
                <c:pt idx="4">
                  <c:v>12.50162740628376</c:v>
                </c:pt>
                <c:pt idx="5">
                  <c:v>13.395379331775532</c:v>
                </c:pt>
                <c:pt idx="6">
                  <c:v>7.5246318130634062</c:v>
                </c:pt>
                <c:pt idx="7">
                  <c:v>7.0035800499923324</c:v>
                </c:pt>
                <c:pt idx="8">
                  <c:v>9.6232637698225219</c:v>
                </c:pt>
                <c:pt idx="9">
                  <c:v>10.190564479994542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4-4C2D-984A-FF783B2B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297520"/>
        <c:axId val="779291280"/>
      </c:lineChart>
      <c:catAx>
        <c:axId val="7459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0279856"/>
        <c:crosses val="autoZero"/>
        <c:auto val="1"/>
        <c:lblAlgn val="ctr"/>
        <c:lblOffset val="100"/>
        <c:noMultiLvlLbl val="0"/>
      </c:catAx>
      <c:valAx>
        <c:axId val="2702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Total atenciones x 10,000</a:t>
                </a:r>
                <a:r>
                  <a:rPr lang="es-419" baseline="0"/>
                  <a:t> usuarios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5977680"/>
        <c:crosses val="autoZero"/>
        <c:crossBetween val="between"/>
      </c:valAx>
      <c:valAx>
        <c:axId val="77929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Atenciones oido</a:t>
                </a:r>
                <a:r>
                  <a:rPr lang="es-419" baseline="0"/>
                  <a:t> medio (x 1,000 usuarios)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297520"/>
        <c:crosses val="max"/>
        <c:crossBetween val="between"/>
      </c:valAx>
      <c:catAx>
        <c:axId val="77929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929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incautaciones de cigarrillos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Incautaciones!$B$3</c:f>
              <c:strCache>
                <c:ptCount val="1"/>
                <c:pt idx="0">
                  <c:v>VALOR Millones de pesos</c:v>
                </c:pt>
              </c:strCache>
            </c:strRef>
          </c:tx>
          <c:spPr>
            <a:ln w="28575" cap="rnd">
              <a:solidFill>
                <a:srgbClr val="83CCEB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Incautaciones!$A$4:$A$12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Incautaciones!$B$4:$B$12</c:f>
              <c:numCache>
                <c:formatCode>0.00</c:formatCode>
                <c:ptCount val="9"/>
                <c:pt idx="0">
                  <c:v>658.59699999999998</c:v>
                </c:pt>
                <c:pt idx="1">
                  <c:v>13669.554006</c:v>
                </c:pt>
                <c:pt idx="2">
                  <c:v>2912.5671080000002</c:v>
                </c:pt>
                <c:pt idx="3">
                  <c:v>7086.8742400000001</c:v>
                </c:pt>
                <c:pt idx="4">
                  <c:v>13572.193343999999</c:v>
                </c:pt>
                <c:pt idx="5">
                  <c:v>32458.856398</c:v>
                </c:pt>
                <c:pt idx="6">
                  <c:v>2124.8122360000002</c:v>
                </c:pt>
                <c:pt idx="7">
                  <c:v>9870.3708889999998</c:v>
                </c:pt>
                <c:pt idx="8">
                  <c:v>465.92800299999999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2-4191-AABC-BB7279A5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339591"/>
        <c:axId val="1618110984"/>
      </c:lineChart>
      <c:catAx>
        <c:axId val="134233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8110984"/>
        <c:crosses val="autoZero"/>
        <c:auto val="1"/>
        <c:lblAlgn val="ctr"/>
        <c:lblOffset val="100"/>
        <c:noMultiLvlLbl val="0"/>
      </c:catAx>
      <c:valAx>
        <c:axId val="16181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2339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Cigarrillos Incautados, fuente: POLFA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Incautaciones!$C$3</c:f>
              <c:strCache>
                <c:ptCount val="1"/>
                <c:pt idx="0">
                  <c:v>CANTIDAD (Millones de cigarrillos)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Incautaciones!$A$4:$A$11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Incautaciones!$C$4:$C$11</c:f>
              <c:numCache>
                <c:formatCode>General</c:formatCode>
                <c:ptCount val="8"/>
                <c:pt idx="0">
                  <c:v>0.32805000000000001</c:v>
                </c:pt>
                <c:pt idx="1">
                  <c:v>4.1529100000000003</c:v>
                </c:pt>
                <c:pt idx="2">
                  <c:v>1.8210150000000001</c:v>
                </c:pt>
                <c:pt idx="3">
                  <c:v>5.1895100000000003</c:v>
                </c:pt>
                <c:pt idx="4">
                  <c:v>17.24344</c:v>
                </c:pt>
                <c:pt idx="5">
                  <c:v>17.027145999999998</c:v>
                </c:pt>
                <c:pt idx="6">
                  <c:v>1.304662</c:v>
                </c:pt>
                <c:pt idx="7">
                  <c:v>3.0598359999999998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67-49CD-ADED-491BD3EF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355208"/>
        <c:axId val="1618357256"/>
      </c:lineChart>
      <c:catAx>
        <c:axId val="161835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8357256"/>
        <c:crosses val="autoZero"/>
        <c:auto val="1"/>
        <c:lblAlgn val="ctr"/>
        <c:lblOffset val="100"/>
        <c:noMultiLvlLbl val="0"/>
      </c:catAx>
      <c:valAx>
        <c:axId val="16183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Millones de cigarrillos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83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Vapeadores!$C$9</c:f>
              <c:strCache>
                <c:ptCount val="1"/>
                <c:pt idx="0">
                  <c:v>Productos que contengan nicotina (2404120000)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Vapeadores!$A$10:$A$11</c15:sqref>
                  </c15:fullRef>
                </c:ext>
              </c:extLst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Vapeadores!$C$10:$C$11</c15:sqref>
                  </c15:fullRef>
                </c:ext>
              </c:extLst>
              <c:f>Vapeadores!$C$10:$C$11</c:f>
              <c:numCache>
                <c:formatCode>General</c:formatCode>
                <c:ptCount val="2"/>
                <c:pt idx="0">
                  <c:v>61209.912447067487</c:v>
                </c:pt>
                <c:pt idx="1">
                  <c:v>43055.644865452101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1-43D3-BA8A-1E3AE7105479}"/>
            </c:ext>
          </c:extLst>
        </c:ser>
        <c:ser>
          <c:idx val="1"/>
          <c:order val="1"/>
          <c:tx>
            <c:strRef>
              <c:f>Vapeadores!$B$9</c:f>
              <c:strCache>
                <c:ptCount val="1"/>
                <c:pt idx="0">
                  <c:v>Productos con tabaco (2404110000)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Vapeadores!$A$10:$A$11</c15:sqref>
                  </c15:fullRef>
                </c:ext>
              </c:extLst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Vapeadores!$B$10:$B$12</c15:sqref>
                  </c15:fullRef>
                </c:ext>
              </c:extLst>
              <c:f>Vapeadores!$B$10:$B$11</c:f>
              <c:numCache>
                <c:formatCode>General</c:formatCode>
                <c:ptCount val="2"/>
                <c:pt idx="0">
                  <c:v>6591.4369444404983</c:v>
                </c:pt>
                <c:pt idx="1">
                  <c:v>20236.723411766099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51-43D3-BA8A-1E3AE7105479}"/>
            </c:ext>
          </c:extLst>
        </c:ser>
        <c:ser>
          <c:idx val="2"/>
          <c:order val="2"/>
          <c:tx>
            <c:strRef>
              <c:f>Vapeadores!$D$9</c:f>
              <c:strCache>
                <c:ptCount val="1"/>
                <c:pt idx="0">
                  <c:v>Otros productos (2404190000)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Vapeadores!$A$10:$A$11</c15:sqref>
                  </c15:fullRef>
                </c:ext>
              </c:extLst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Vapeadores!$D$10:$D$11</c15:sqref>
                  </c15:fullRef>
                </c:ext>
              </c:extLst>
              <c:f>Vapeadores!$D$10:$D$11</c:f>
              <c:numCache>
                <c:formatCode>General</c:formatCode>
                <c:ptCount val="2"/>
                <c:pt idx="0">
                  <c:v>9048.4557852929993</c:v>
                </c:pt>
                <c:pt idx="1">
                  <c:v>999.45003136740002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51-43D3-BA8A-1E3AE7105479}"/>
            </c:ext>
          </c:extLst>
        </c:ser>
        <c:ser>
          <c:idx val="3"/>
          <c:order val="3"/>
          <c:tx>
            <c:strRef>
              <c:f>Vapeadores!$E$9</c:f>
              <c:strCache>
                <c:ptCount val="1"/>
                <c:pt idx="0">
                  <c:v>Productos para administración por via oral (2404910000)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Vapeadores!$A$10:$A$11</c15:sqref>
                  </c15:fullRef>
                </c:ext>
              </c:extLst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Vapeadores!$E$10:$E$11</c15:sqref>
                  </c15:fullRef>
                </c:ext>
              </c:extLst>
              <c:f>Vapeadores!$E$10:$E$11</c:f>
              <c:numCache>
                <c:formatCode>General</c:formatCode>
                <c:ptCount val="2"/>
                <c:pt idx="0">
                  <c:v>224.27438783999997</c:v>
                </c:pt>
                <c:pt idx="1">
                  <c:v>227.07444587039998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51-43D3-BA8A-1E3AE710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467808"/>
        <c:axId val="1317468288"/>
      </c:lineChart>
      <c:catAx>
        <c:axId val="13174678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468288"/>
        <c:crosses val="autoZero"/>
        <c:auto val="1"/>
        <c:lblAlgn val="ctr"/>
        <c:lblOffset val="100"/>
        <c:noMultiLvlLbl val="0"/>
      </c:catAx>
      <c:valAx>
        <c:axId val="13174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</a:t>
                </a:r>
                <a:r>
                  <a:rPr lang="es-MX" baseline="0"/>
                  <a:t> de COP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74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Vapeadores!$B$9</c:f>
              <c:strCache>
                <c:ptCount val="1"/>
                <c:pt idx="0">
                  <c:v>Productos con tabaco (2404110000)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Vapeadores!$B$10:$B$11</c:f>
              <c:numCache>
                <c:formatCode>General</c:formatCode>
                <c:ptCount val="2"/>
                <c:pt idx="0">
                  <c:v>6591.4369444404983</c:v>
                </c:pt>
                <c:pt idx="1">
                  <c:v>20236.723411766099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2-4623-9996-77BC04ABBA63}"/>
            </c:ext>
          </c:extLst>
        </c:ser>
        <c:ser>
          <c:idx val="2"/>
          <c:order val="2"/>
          <c:tx>
            <c:strRef>
              <c:f>Vapeadores!$C$9</c:f>
              <c:strCache>
                <c:ptCount val="1"/>
                <c:pt idx="0">
                  <c:v>Productos que contengan nicotina (2404120000)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Vapeadores!$C$10:$C$11</c:f>
              <c:numCache>
                <c:formatCode>General</c:formatCode>
                <c:ptCount val="2"/>
                <c:pt idx="0">
                  <c:v>61209.912447067487</c:v>
                </c:pt>
                <c:pt idx="1">
                  <c:v>43055.644865452101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2-4623-9996-77BC04ABBA63}"/>
            </c:ext>
          </c:extLst>
        </c:ser>
        <c:ser>
          <c:idx val="3"/>
          <c:order val="3"/>
          <c:tx>
            <c:strRef>
              <c:f>Vapeadores!$D$9</c:f>
              <c:strCache>
                <c:ptCount val="1"/>
                <c:pt idx="0">
                  <c:v>Otros productos (2404190000)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Vapeadores!$D$10:$D$11</c:f>
              <c:numCache>
                <c:formatCode>General</c:formatCode>
                <c:ptCount val="2"/>
                <c:pt idx="0">
                  <c:v>9048.4557852929993</c:v>
                </c:pt>
                <c:pt idx="1">
                  <c:v>999.45003136740002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A2-4623-9996-77BC04ABBA63}"/>
            </c:ext>
          </c:extLst>
        </c:ser>
        <c:ser>
          <c:idx val="4"/>
          <c:order val="4"/>
          <c:tx>
            <c:strRef>
              <c:f>Vapeadores!$E$9</c:f>
              <c:strCache>
                <c:ptCount val="1"/>
                <c:pt idx="0">
                  <c:v>Productos para administración por via oral (2404910000)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Vapeadores!$A$10:$A$11</c:f>
              <c:numCache>
                <c:formatCode>0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Vapeadores!$E$10:$E$11</c:f>
              <c:numCache>
                <c:formatCode>General</c:formatCode>
                <c:ptCount val="2"/>
                <c:pt idx="0">
                  <c:v>224.27438783999997</c:v>
                </c:pt>
                <c:pt idx="1">
                  <c:v>227.07444587039998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2-4623-9996-77BC04AB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80016"/>
        <c:axId val="225157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Vapeadores!$A$9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Vapeadores!$A$10:$A$11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2022</c:v>
                      </c:pt>
                      <c:pt idx="1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Vapeadores!$A$10:$A$11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2022</c:v>
                      </c:pt>
                      <c:pt idx="1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A2-4623-9996-77BC04ABBA63}"/>
                  </c:ext>
                </c:extLst>
              </c15:ser>
            </c15:filteredLineSeries>
          </c:ext>
        </c:extLst>
      </c:lineChart>
      <c:catAx>
        <c:axId val="225180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5157936"/>
        <c:crosses val="autoZero"/>
        <c:auto val="1"/>
        <c:lblAlgn val="ctr"/>
        <c:lblOffset val="100"/>
        <c:noMultiLvlLbl val="0"/>
      </c:catAx>
      <c:valAx>
        <c:axId val="2251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</a:t>
                </a:r>
                <a:r>
                  <a:rPr lang="es-CO" baseline="0"/>
                  <a:t> en KG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51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Vapeadores!$B$1</c:f>
              <c:strCache>
                <c:ptCount val="1"/>
                <c:pt idx="0">
                  <c:v>Prevalencia consumo de cigarrillos electrónicos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Vapeadores!$A$2:$A$6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Vapeadores!$B$2:$B$6</c:f>
              <c:numCache>
                <c:formatCode>General</c:formatCode>
                <c:ptCount val="5"/>
                <c:pt idx="0">
                  <c:v>0.18</c:v>
                </c:pt>
                <c:pt idx="1">
                  <c:v>0.19600000000000001</c:v>
                </c:pt>
                <c:pt idx="2">
                  <c:v>0.20100000000000001</c:v>
                </c:pt>
                <c:pt idx="3">
                  <c:v>0.45600000000000002</c:v>
                </c:pt>
                <c:pt idx="4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7-47B3-9D1A-10066A2F6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695504"/>
        <c:axId val="1258695984"/>
      </c:lineChart>
      <c:catAx>
        <c:axId val="12586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8695984"/>
        <c:crosses val="autoZero"/>
        <c:auto val="1"/>
        <c:lblAlgn val="ctr"/>
        <c:lblOffset val="100"/>
        <c:noMultiLvlLbl val="0"/>
      </c:catAx>
      <c:valAx>
        <c:axId val="12586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86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Carga impositiva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Precio!$T$1</c:f>
              <c:strCache>
                <c:ptCount val="1"/>
                <c:pt idx="0">
                  <c:v>Referencia RGTE - OMS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Precio!$T$2:$T$10</c:f>
              <c:numCache>
                <c:formatCode>0%</c:formatCode>
                <c:ptCount val="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194-BC28-B29042B764F8}"/>
            </c:ext>
          </c:extLst>
        </c:ser>
        <c:ser>
          <c:idx val="1"/>
          <c:order val="1"/>
          <c:tx>
            <c:strRef>
              <c:f>Precio!$U$1</c:f>
              <c:strCache>
                <c:ptCount val="1"/>
                <c:pt idx="0">
                  <c:v>Carga impositiva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Precio!$U$2:$U$10</c:f>
              <c:numCache>
                <c:formatCode>0.0%</c:formatCode>
                <c:ptCount val="9"/>
                <c:pt idx="0">
                  <c:v>0.47056300199844703</c:v>
                </c:pt>
                <c:pt idx="1">
                  <c:v>0.45094230662446544</c:v>
                </c:pt>
                <c:pt idx="2">
                  <c:v>0.5900866134073155</c:v>
                </c:pt>
                <c:pt idx="3">
                  <c:v>0.66582519509627924</c:v>
                </c:pt>
                <c:pt idx="4">
                  <c:v>0.65264537694453117</c:v>
                </c:pt>
                <c:pt idx="5">
                  <c:v>0.63350587062236063</c:v>
                </c:pt>
                <c:pt idx="6">
                  <c:v>0.60704408409483146</c:v>
                </c:pt>
                <c:pt idx="7">
                  <c:v>0.62042966675261768</c:v>
                </c:pt>
                <c:pt idx="8">
                  <c:v>0.62781811155301759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194-BC28-B29042B764F8}"/>
            </c:ext>
          </c:extLst>
        </c:ser>
        <c:ser>
          <c:idx val="2"/>
          <c:order val="2"/>
          <c:tx>
            <c:strRef>
              <c:f>Precio!$V$1</c:f>
              <c:strCache>
                <c:ptCount val="1"/>
                <c:pt idx="0">
                  <c:v>Carga impositiva - Excise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Precio!$V$2:$V$10</c:f>
              <c:numCache>
                <c:formatCode>0.0%</c:formatCode>
                <c:ptCount val="9"/>
                <c:pt idx="0">
                  <c:v>0.33263196751568846</c:v>
                </c:pt>
                <c:pt idx="1">
                  <c:v>0.31301127214170693</c:v>
                </c:pt>
                <c:pt idx="2">
                  <c:v>0.43042274786109713</c:v>
                </c:pt>
                <c:pt idx="3">
                  <c:v>0.50616132955006077</c:v>
                </c:pt>
                <c:pt idx="4">
                  <c:v>0.4929815113983127</c:v>
                </c:pt>
                <c:pt idx="5">
                  <c:v>0.4738420050761421</c:v>
                </c:pt>
                <c:pt idx="6">
                  <c:v>0.4473802185486131</c:v>
                </c:pt>
                <c:pt idx="7">
                  <c:v>0.46076580120639921</c:v>
                </c:pt>
                <c:pt idx="8">
                  <c:v>0.468154246006799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E-4194-BC28-B29042B7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219616"/>
        <c:axId val="1021100624"/>
      </c:lineChart>
      <c:lineChart>
        <c:grouping val="standard"/>
        <c:varyColors val="0"/>
        <c:ser>
          <c:idx val="3"/>
          <c:order val="3"/>
          <c:tx>
            <c:strRef>
              <c:f>Precio!$W$1</c:f>
              <c:strCache>
                <c:ptCount val="1"/>
                <c:pt idx="0">
                  <c:v>Scoring Total Tax Share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Precio!$W$2:$W$10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6E-4194-BC28-B29042B764F8}"/>
            </c:ext>
          </c:extLst>
        </c:ser>
        <c:ser>
          <c:idx val="4"/>
          <c:order val="4"/>
          <c:tx>
            <c:strRef>
              <c:f>Precio!$X$1</c:f>
              <c:strCache>
                <c:ptCount val="1"/>
                <c:pt idx="0">
                  <c:v>Scoring Excise Tax Share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Precio!$X$2:$X$10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6E-4194-BC28-B29042B7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55632"/>
        <c:axId val="526255152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Procentaje precio de venta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219616"/>
        <c:crosses val="autoZero"/>
        <c:crossBetween val="between"/>
      </c:valAx>
      <c:valAx>
        <c:axId val="526255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255632"/>
        <c:crosses val="max"/>
        <c:crossBetween val="between"/>
      </c:valAx>
      <c:catAx>
        <c:axId val="52625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25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Precio en Int USD - Price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Precio!$R$1</c:f>
              <c:strCache>
                <c:ptCount val="1"/>
                <c:pt idx="0">
                  <c:v>Precio cajetilla 20 unidades (Int$PPP)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Precio!$R$2:$R$10</c:f>
              <c:numCache>
                <c:formatCode>_("$"* #,##0.00_);_("$"* \(#,##0.00\);_("$"* "-"??_);_(@_)</c:formatCode>
                <c:ptCount val="9"/>
                <c:pt idx="0">
                  <c:v>2.1222091656874267</c:v>
                </c:pt>
                <c:pt idx="1">
                  <c:v>2.3919574763115325</c:v>
                </c:pt>
                <c:pt idx="2">
                  <c:v>2.9924698795180724</c:v>
                </c:pt>
                <c:pt idx="3">
                  <c:v>3.731659355619422</c:v>
                </c:pt>
                <c:pt idx="4">
                  <c:v>4.2442480572908732</c:v>
                </c:pt>
                <c:pt idx="5">
                  <c:v>4.9610450932556853</c:v>
                </c:pt>
                <c:pt idx="6">
                  <c:v>5.4227759629263845</c:v>
                </c:pt>
                <c:pt idx="7">
                  <c:v>5.6669391394813102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0-4B0A-93FF-EDA3A1B3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07312"/>
        <c:axId val="1013805392"/>
      </c:lineChart>
      <c:lineChart>
        <c:grouping val="standard"/>
        <c:varyColors val="0"/>
        <c:ser>
          <c:idx val="1"/>
          <c:order val="1"/>
          <c:tx>
            <c:strRef>
              <c:f>Precio!$S$1</c:f>
              <c:strCache>
                <c:ptCount val="1"/>
                <c:pt idx="0">
                  <c:v>Price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Precio!$S$2:$S$10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0-4B0A-93FF-EDA3A1B3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759344"/>
        <c:axId val="1021757904"/>
      </c:lineChart>
      <c:catAx>
        <c:axId val="10138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3805392"/>
        <c:crosses val="autoZero"/>
        <c:auto val="1"/>
        <c:lblAlgn val="ctr"/>
        <c:lblOffset val="100"/>
        <c:noMultiLvlLbl val="0"/>
      </c:catAx>
      <c:valAx>
        <c:axId val="1013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Int$PPP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3807312"/>
        <c:crosses val="autoZero"/>
        <c:crossBetween val="between"/>
      </c:valAx>
      <c:valAx>
        <c:axId val="10217579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759344"/>
        <c:crosses val="max"/>
        <c:crossBetween val="between"/>
        <c:majorUnit val="1"/>
        <c:minorUnit val="1"/>
      </c:valAx>
      <c:catAx>
        <c:axId val="102175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75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Asequibilidad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Precio!$Z$1</c:f>
              <c:strCache>
                <c:ptCount val="1"/>
                <c:pt idx="0">
                  <c:v>Asequibilidad
2000 cigs como % Salario Mínimo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Precio!$Z$2:$Z$10</c:f>
              <c:numCache>
                <c:formatCode>0.0%</c:formatCode>
                <c:ptCount val="9"/>
                <c:pt idx="0">
                  <c:v>3.5035306898424767E-2</c:v>
                </c:pt>
                <c:pt idx="1">
                  <c:v>3.7529642978874615E-2</c:v>
                </c:pt>
                <c:pt idx="2">
                  <c:v>4.4890746270814783E-2</c:v>
                </c:pt>
                <c:pt idx="3">
                  <c:v>5.2629872263225311E-2</c:v>
                </c:pt>
                <c:pt idx="4">
                  <c:v>5.606098662506219E-2</c:v>
                </c:pt>
                <c:pt idx="5">
                  <c:v>5.9846381629287362E-2</c:v>
                </c:pt>
                <c:pt idx="6">
                  <c:v>6.5472351185693459E-2</c:v>
                </c:pt>
                <c:pt idx="7">
                  <c:v>6.3549999999999995E-2</c:v>
                </c:pt>
                <c:pt idx="8">
                  <c:v>6.1773529721366779E-2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C-431C-BE94-B6E6C4A9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219616"/>
        <c:axId val="1021100624"/>
      </c:lineChart>
      <c:lineChart>
        <c:grouping val="standard"/>
        <c:varyColors val="0"/>
        <c:ser>
          <c:idx val="0"/>
          <c:order val="0"/>
          <c:tx>
            <c:strRef>
              <c:f>Precio!$Y$1</c:f>
              <c:strCache>
                <c:ptCount val="1"/>
                <c:pt idx="0">
                  <c:v>Asequibilidad
2000 cigs como % PIB pc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Precio!$Y$2:$Y$10</c:f>
              <c:numCache>
                <c:formatCode>0.0%</c:formatCode>
                <c:ptCount val="9"/>
                <c:pt idx="0">
                  <c:v>1.5862882113641851E-2</c:v>
                </c:pt>
                <c:pt idx="1">
                  <c:v>1.7119897151377031E-2</c:v>
                </c:pt>
                <c:pt idx="2">
                  <c:v>2.0875132516249971E-2</c:v>
                </c:pt>
                <c:pt idx="3">
                  <c:v>2.4613761984342935E-2</c:v>
                </c:pt>
                <c:pt idx="4">
                  <c:v>2.6375104117392363E-2</c:v>
                </c:pt>
                <c:pt idx="5">
                  <c:v>3.2179350220002061E-2</c:v>
                </c:pt>
                <c:pt idx="6">
                  <c:v>3.0834272695836832E-2</c:v>
                </c:pt>
                <c:pt idx="7">
                  <c:v>2.7048563247959411E-2</c:v>
                </c:pt>
                <c:pt idx="8">
                  <c:v>2.8816408579677565E-2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C-431C-BE94-B6E6C4A9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65152"/>
        <c:axId val="1077963232"/>
      </c:lineChart>
      <c:catAx>
        <c:axId val="10182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100624"/>
        <c:crosses val="autoZero"/>
        <c:auto val="1"/>
        <c:lblAlgn val="ctr"/>
        <c:lblOffset val="100"/>
        <c:noMultiLvlLbl val="0"/>
      </c:catAx>
      <c:valAx>
        <c:axId val="102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de 1 salario</a:t>
                </a:r>
                <a:r>
                  <a:rPr lang="es-419" baseline="0"/>
                  <a:t> mínimo anual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8219616"/>
        <c:crosses val="autoZero"/>
        <c:crossBetween val="between"/>
      </c:valAx>
      <c:valAx>
        <c:axId val="1077963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</a:t>
                </a:r>
                <a:r>
                  <a:rPr lang="es-419" baseline="0"/>
                  <a:t> PIB pc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7965152"/>
        <c:crosses val="max"/>
        <c:crossBetween val="between"/>
      </c:valAx>
      <c:catAx>
        <c:axId val="10779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7963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Nivel de precios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Precio!$C$1</c:f>
              <c:strCache>
                <c:ptCount val="1"/>
                <c:pt idx="0">
                  <c:v>IPC Tabaco Dic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Precio!$C$2:$C$10</c:f>
              <c:numCache>
                <c:formatCode>###,###.00</c:formatCode>
                <c:ptCount val="9"/>
                <c:pt idx="0">
                  <c:v>60.73</c:v>
                </c:pt>
                <c:pt idx="1">
                  <c:v>65.34</c:v>
                </c:pt>
                <c:pt idx="2">
                  <c:v>83.1</c:v>
                </c:pt>
                <c:pt idx="3">
                  <c:v>100</c:v>
                </c:pt>
                <c:pt idx="4">
                  <c:v>113.64</c:v>
                </c:pt>
                <c:pt idx="5">
                  <c:v>122.83</c:v>
                </c:pt>
                <c:pt idx="6">
                  <c:v>132.61000000000001</c:v>
                </c:pt>
                <c:pt idx="7">
                  <c:v>140.86000000000001</c:v>
                </c:pt>
                <c:pt idx="8">
                  <c:v>158.83000000000001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BF6-A1D0-23A62F43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95328"/>
        <c:axId val="1514482016"/>
      </c:lineChart>
      <c:lineChart>
        <c:grouping val="standard"/>
        <c:varyColors val="0"/>
        <c:ser>
          <c:idx val="1"/>
          <c:order val="1"/>
          <c:tx>
            <c:strRef>
              <c:f>Precio!$D$1</c:f>
              <c:strCache>
                <c:ptCount val="1"/>
                <c:pt idx="0">
                  <c:v>Precio Belmont/Rothmans azul
Certificacion DANE anual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Precio!$D$2:$D$10</c:f>
              <c:numCache>
                <c:formatCode>_-* #,##0_-;\-* #,##0_-;_-* "-"??_-;_-@_-</c:formatCode>
                <c:ptCount val="9"/>
                <c:pt idx="0">
                  <c:v>2709</c:v>
                </c:pt>
                <c:pt idx="1">
                  <c:v>3105</c:v>
                </c:pt>
                <c:pt idx="2">
                  <c:v>3974</c:v>
                </c:pt>
                <c:pt idx="3">
                  <c:v>4934</c:v>
                </c:pt>
                <c:pt idx="4">
                  <c:v>5571</c:v>
                </c:pt>
                <c:pt idx="5">
                  <c:v>6304</c:v>
                </c:pt>
                <c:pt idx="6">
                  <c:v>7138</c:v>
                </c:pt>
                <c:pt idx="7">
                  <c:v>7626</c:v>
                </c:pt>
                <c:pt idx="8">
                  <c:v>8598.8753372142564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BF6-A1D0-23A62F43439D}"/>
            </c:ext>
          </c:extLst>
        </c:ser>
        <c:ser>
          <c:idx val="2"/>
          <c:order val="2"/>
          <c:tx>
            <c:strRef>
              <c:f>Precio!$E$1</c:f>
              <c:strCache>
                <c:ptCount val="1"/>
                <c:pt idx="0">
                  <c:v>Precio constante 2008 ajustado IPC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Precio!$E$2:$E$10</c:f>
              <c:numCache>
                <c:formatCode>_-* #,##0_-;\-* #,##0_-;_-* "-"??_-;_-@_-</c:formatCode>
                <c:ptCount val="9"/>
                <c:pt idx="0">
                  <c:v>3076.6609880749575</c:v>
                </c:pt>
                <c:pt idx="1">
                  <c:v>3334.7653313285359</c:v>
                </c:pt>
                <c:pt idx="2">
                  <c:v>4100.2888980602556</c:v>
                </c:pt>
                <c:pt idx="3">
                  <c:v>4934</c:v>
                </c:pt>
                <c:pt idx="4">
                  <c:v>5367.0520231213868</c:v>
                </c:pt>
                <c:pt idx="5">
                  <c:v>5976.4884338263182</c:v>
                </c:pt>
                <c:pt idx="6">
                  <c:v>6406.9652634413433</c:v>
                </c:pt>
                <c:pt idx="7">
                  <c:v>6050.9402523208764</c:v>
                </c:pt>
                <c:pt idx="8">
                  <c:v>6243.7375379133437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9-4BF6-A1D0-23A62F43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041168"/>
        <c:axId val="1566209408"/>
      </c:lineChart>
      <c:catAx>
        <c:axId val="15144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482016"/>
        <c:crosses val="autoZero"/>
        <c:auto val="1"/>
        <c:lblAlgn val="ctr"/>
        <c:lblOffset val="100"/>
        <c:noMultiLvlLbl val="0"/>
      </c:catAx>
      <c:valAx>
        <c:axId val="15144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Índice</a:t>
                </a:r>
                <a:r>
                  <a:rPr lang="es-CO" baseline="0"/>
                  <a:t> </a:t>
                </a:r>
                <a:r>
                  <a:rPr lang="es-CO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495328"/>
        <c:crosses val="autoZero"/>
        <c:crossBetween val="between"/>
      </c:valAx>
      <c:valAx>
        <c:axId val="15662094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041168"/>
        <c:crosses val="max"/>
        <c:crossBetween val="between"/>
      </c:valAx>
      <c:catAx>
        <c:axId val="146504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620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COP por paquete de 20 cigarrillos referencia más común (Belmont Blue/Rothmans</a:t>
            </a:r>
            <a:r>
              <a:rPr lang="es-419" baseline="0"/>
              <a:t> azul) - precios constantes de 2018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Precio!$N$1</c:f>
              <c:strCache>
                <c:ptCount val="1"/>
                <c:pt idx="0">
                  <c:v>Precio antes impuestos - constantes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Precio!$N$2:$N$10</c:f>
              <c:numCache>
                <c:formatCode>_-* #,##0_-;\-* #,##0_-;_-* "-"??_-;_-@_-</c:formatCode>
                <c:ptCount val="9"/>
                <c:pt idx="0">
                  <c:v>1661.7555679570778</c:v>
                </c:pt>
                <c:pt idx="1">
                  <c:v>1851.024753443276</c:v>
                </c:pt>
                <c:pt idx="2">
                  <c:v>1779.7415073932289</c:v>
                </c:pt>
                <c:pt idx="3">
                  <c:v>1756.0482758620687</c:v>
                </c:pt>
                <c:pt idx="4">
                  <c:v>1962.8487542355992</c:v>
                </c:pt>
                <c:pt idx="5">
                  <c:v>2291.2909353628083</c:v>
                </c:pt>
                <c:pt idx="6">
                  <c:v>2592.3342930276181</c:v>
                </c:pt>
                <c:pt idx="7">
                  <c:v>2280.8345560854427</c:v>
                </c:pt>
                <c:pt idx="8">
                  <c:v>2250.6323312256868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3-4C80-83DF-8802B14D1722}"/>
            </c:ext>
          </c:extLst>
        </c:ser>
        <c:ser>
          <c:idx val="1"/>
          <c:order val="1"/>
          <c:tx>
            <c:strRef>
              <c:f>Precio!$L$1</c:f>
              <c:strCache>
                <c:ptCount val="1"/>
                <c:pt idx="0">
                  <c:v>Específico - constantes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Precio!$L$2:$L$10</c:f>
              <c:numCache>
                <c:formatCode>_-* #,##0_-;\-* #,##0_-;_-* "-"??_-;_-@_-</c:formatCode>
                <c:ptCount val="9"/>
                <c:pt idx="0">
                  <c:v>748.43838727995467</c:v>
                </c:pt>
                <c:pt idx="1">
                  <c:v>752.87294597787559</c:v>
                </c:pt>
                <c:pt idx="2">
                  <c:v>1444.4903012794057</c:v>
                </c:pt>
                <c:pt idx="3">
                  <c:v>2100</c:v>
                </c:pt>
                <c:pt idx="4">
                  <c:v>2170.5202312138726</c:v>
                </c:pt>
                <c:pt idx="5">
                  <c:v>2303.7542662116043</c:v>
                </c:pt>
                <c:pt idx="6">
                  <c:v>2300.5116237321608</c:v>
                </c:pt>
                <c:pt idx="7">
                  <c:v>2221.6932476394509</c:v>
                </c:pt>
                <c:pt idx="8">
                  <c:v>2369.3000290444379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3-4C80-83DF-8802B14D1722}"/>
            </c:ext>
          </c:extLst>
        </c:ser>
        <c:ser>
          <c:idx val="2"/>
          <c:order val="2"/>
          <c:tx>
            <c:strRef>
              <c:f>Precio!$M$1</c:f>
              <c:strCache>
                <c:ptCount val="1"/>
                <c:pt idx="0">
                  <c:v>Ad valorem - constantes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Precio!$M$2:$M$10</c:f>
              <c:numCache>
                <c:formatCode>_-* #,##0_-;\-* #,##0_-;_-* "-"??_-;_-@_-</c:formatCode>
                <c:ptCount val="9"/>
                <c:pt idx="0">
                  <c:v>242.10000000000002</c:v>
                </c:pt>
                <c:pt idx="1">
                  <c:v>270.90000000000003</c:v>
                </c:pt>
                <c:pt idx="2">
                  <c:v>310.5</c:v>
                </c:pt>
                <c:pt idx="3">
                  <c:v>397.40000000000003</c:v>
                </c:pt>
                <c:pt idx="4">
                  <c:v>493.40000000000003</c:v>
                </c:pt>
                <c:pt idx="5">
                  <c:v>557.1</c:v>
                </c:pt>
                <c:pt idx="6">
                  <c:v>630.40000000000009</c:v>
                </c:pt>
                <c:pt idx="7">
                  <c:v>713.80000000000007</c:v>
                </c:pt>
                <c:pt idx="8">
                  <c:v>762.6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3-4C80-83DF-8802B14D1722}"/>
            </c:ext>
          </c:extLst>
        </c:ser>
        <c:ser>
          <c:idx val="0"/>
          <c:order val="3"/>
          <c:tx>
            <c:strRef>
              <c:f>Precio!$K$1</c:f>
              <c:strCache>
                <c:ptCount val="1"/>
                <c:pt idx="0">
                  <c:v>IVA - constantes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Precio!$A$2:$A$10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Precio!$K$2:$K$10</c:f>
              <c:numCache>
                <c:formatCode>_-* #,##0_-;\-* #,##0_-;_-* "-"??_-;_-@_-</c:formatCode>
                <c:ptCount val="9"/>
                <c:pt idx="0">
                  <c:v>424.36703283792485</c:v>
                </c:pt>
                <c:pt idx="1">
                  <c:v>459.9676319073842</c:v>
                </c:pt>
                <c:pt idx="2">
                  <c:v>565.55708938762109</c:v>
                </c:pt>
                <c:pt idx="3">
                  <c:v>680.55172413793116</c:v>
                </c:pt>
                <c:pt idx="4">
                  <c:v>740.28303767191483</c:v>
                </c:pt>
                <c:pt idx="5">
                  <c:v>824.34323225190565</c:v>
                </c:pt>
                <c:pt idx="6">
                  <c:v>883.71934668156428</c:v>
                </c:pt>
                <c:pt idx="7">
                  <c:v>834.61244859598264</c:v>
                </c:pt>
                <c:pt idx="8">
                  <c:v>861.20517764321903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3-4C80-83DF-8802B14D17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799120"/>
        <c:axId val="993799600"/>
      </c:barChart>
      <c:barChart>
        <c:barDir val="col"/>
        <c:grouping val="stacked"/>
        <c:varyColors val="0"/>
        <c:ser>
          <c:idx val="4"/>
          <c:order val="4"/>
          <c:tx>
            <c:strRef>
              <c:f>Precio!$E$1</c:f>
              <c:strCache>
                <c:ptCount val="1"/>
                <c:pt idx="0">
                  <c:v>Precio constante 2008 ajustado IPC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322763118845914E-3"/>
                  <c:y val="-0.132014815591528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23-4C80-83DF-8802B14D1722}"/>
                </c:ext>
              </c:extLst>
            </c:dLbl>
            <c:dLbl>
              <c:idx val="1"/>
              <c:layout>
                <c:manualLayout>
                  <c:x val="0"/>
                  <c:y val="-0.157768470916228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23-4C80-83DF-8802B14D1722}"/>
                </c:ext>
              </c:extLst>
            </c:dLbl>
            <c:dLbl>
              <c:idx val="2"/>
              <c:layout>
                <c:manualLayout>
                  <c:x val="1.8322763118845242E-3"/>
                  <c:y val="-0.1876849250430990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23-4C80-83DF-8802B14D1722}"/>
                </c:ext>
              </c:extLst>
            </c:dLbl>
            <c:dLbl>
              <c:idx val="3"/>
              <c:layout>
                <c:manualLayout>
                  <c:x val="1.8322763118845242E-3"/>
                  <c:y val="-0.21634957887822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23-4C80-83DF-8802B14D1722}"/>
                </c:ext>
              </c:extLst>
            </c:dLbl>
            <c:dLbl>
              <c:idx val="4"/>
              <c:layout>
                <c:manualLayout>
                  <c:x val="1.8322763118845914E-3"/>
                  <c:y val="-0.245023176346864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23-4C80-83DF-8802B14D1722}"/>
                </c:ext>
              </c:extLst>
            </c:dLbl>
            <c:dLbl>
              <c:idx val="5"/>
              <c:layout>
                <c:manualLayout>
                  <c:x val="6.7182688668949261E-17"/>
                  <c:y val="-0.267634840695382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23-4C80-83DF-8802B14D1722}"/>
                </c:ext>
              </c:extLst>
            </c:dLbl>
            <c:dLbl>
              <c:idx val="6"/>
              <c:layout>
                <c:manualLayout>
                  <c:x val="1.8322763118845914E-3"/>
                  <c:y val="-0.269996268346013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23-4C80-83DF-8802B14D1722}"/>
                </c:ext>
              </c:extLst>
            </c:dLbl>
            <c:dLbl>
              <c:idx val="7"/>
              <c:layout>
                <c:manualLayout>
                  <c:x val="-1.3436537733789852E-16"/>
                  <c:y val="-0.267832834237462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23-4C80-83DF-8802B14D1722}"/>
                </c:ext>
              </c:extLst>
            </c:dLbl>
            <c:dLbl>
              <c:idx val="8"/>
              <c:layout>
                <c:manualLayout>
                  <c:x val="1.8322763118845914E-3"/>
                  <c:y val="-0.275367382876951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23-4C80-83DF-8802B14D17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Precio!$E$2:$E$10</c:f>
              <c:numCache>
                <c:formatCode>_-* #,##0_-;\-* #,##0_-;_-* "-"??_-;_-@_-</c:formatCode>
                <c:ptCount val="9"/>
                <c:pt idx="0">
                  <c:v>3076.6609880749575</c:v>
                </c:pt>
                <c:pt idx="1">
                  <c:v>3334.7653313285359</c:v>
                </c:pt>
                <c:pt idx="2">
                  <c:v>4100.2888980602556</c:v>
                </c:pt>
                <c:pt idx="3">
                  <c:v>4934</c:v>
                </c:pt>
                <c:pt idx="4">
                  <c:v>5367.0520231213868</c:v>
                </c:pt>
                <c:pt idx="5">
                  <c:v>5976.4884338263182</c:v>
                </c:pt>
                <c:pt idx="6">
                  <c:v>6406.9652634413433</c:v>
                </c:pt>
                <c:pt idx="7">
                  <c:v>6050.9402523208764</c:v>
                </c:pt>
                <c:pt idx="8">
                  <c:v>6243.7375379133437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23-4C80-83DF-8802B14D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76400"/>
        <c:axId val="1406573488"/>
      </c:barChart>
      <c:catAx>
        <c:axId val="9937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3799600"/>
        <c:crosses val="autoZero"/>
        <c:auto val="1"/>
        <c:lblAlgn val="ctr"/>
        <c:lblOffset val="100"/>
        <c:noMultiLvlLbl val="0"/>
      </c:catAx>
      <c:valAx>
        <c:axId val="9937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3799120"/>
        <c:crosses val="autoZero"/>
        <c:crossBetween val="between"/>
      </c:valAx>
      <c:valAx>
        <c:axId val="14065734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6576400"/>
        <c:crosses val="max"/>
        <c:crossBetween val="between"/>
      </c:valAx>
      <c:catAx>
        <c:axId val="140657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0657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IPC Cigarrillos y Tabaco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'IPC mes'!$E$1</c:f>
              <c:strCache>
                <c:ptCount val="1"/>
                <c:pt idx="0">
                  <c:v>Número Índice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'IPC mes'!$D$2:$D$305</c:f>
              <c:strCache>
                <c:ptCount val="304"/>
                <c:pt idx="0">
                  <c:v>1999 Ene</c:v>
                </c:pt>
                <c:pt idx="1">
                  <c:v>1999 Feb</c:v>
                </c:pt>
                <c:pt idx="2">
                  <c:v>1999 Mar</c:v>
                </c:pt>
                <c:pt idx="3">
                  <c:v>1999 Abr</c:v>
                </c:pt>
                <c:pt idx="4">
                  <c:v>1999 May</c:v>
                </c:pt>
                <c:pt idx="5">
                  <c:v>1999 Jun</c:v>
                </c:pt>
                <c:pt idx="6">
                  <c:v>1999 Jul</c:v>
                </c:pt>
                <c:pt idx="7">
                  <c:v>1999 Ago</c:v>
                </c:pt>
                <c:pt idx="8">
                  <c:v>1999 Sep</c:v>
                </c:pt>
                <c:pt idx="9">
                  <c:v>1999 Oct</c:v>
                </c:pt>
                <c:pt idx="10">
                  <c:v>1999 Nov</c:v>
                </c:pt>
                <c:pt idx="11">
                  <c:v>1999 Dic</c:v>
                </c:pt>
                <c:pt idx="12">
                  <c:v>2000 Ene</c:v>
                </c:pt>
                <c:pt idx="13">
                  <c:v>2000 Feb</c:v>
                </c:pt>
                <c:pt idx="14">
                  <c:v>2000 Mar</c:v>
                </c:pt>
                <c:pt idx="15">
                  <c:v>2000 Abr</c:v>
                </c:pt>
                <c:pt idx="16">
                  <c:v>2000 May</c:v>
                </c:pt>
                <c:pt idx="17">
                  <c:v>2000 Jun</c:v>
                </c:pt>
                <c:pt idx="18">
                  <c:v>2000 Jul</c:v>
                </c:pt>
                <c:pt idx="19">
                  <c:v>2000 Ago</c:v>
                </c:pt>
                <c:pt idx="20">
                  <c:v>2000 Sep</c:v>
                </c:pt>
                <c:pt idx="21">
                  <c:v>2000 Oct</c:v>
                </c:pt>
                <c:pt idx="22">
                  <c:v>2000 Nov</c:v>
                </c:pt>
                <c:pt idx="23">
                  <c:v>2000 Dic</c:v>
                </c:pt>
                <c:pt idx="24">
                  <c:v>2001 Ene</c:v>
                </c:pt>
                <c:pt idx="25">
                  <c:v>2001 Feb</c:v>
                </c:pt>
                <c:pt idx="26">
                  <c:v>2001 Mar</c:v>
                </c:pt>
                <c:pt idx="27">
                  <c:v>2001 Abr</c:v>
                </c:pt>
                <c:pt idx="28">
                  <c:v>2001 May</c:v>
                </c:pt>
                <c:pt idx="29">
                  <c:v>2001 Jun</c:v>
                </c:pt>
                <c:pt idx="30">
                  <c:v>2001 Jul</c:v>
                </c:pt>
                <c:pt idx="31">
                  <c:v>2001 Ago</c:v>
                </c:pt>
                <c:pt idx="32">
                  <c:v>2001 Sep</c:v>
                </c:pt>
                <c:pt idx="33">
                  <c:v>2001 Oct</c:v>
                </c:pt>
                <c:pt idx="34">
                  <c:v>2001 Nov</c:v>
                </c:pt>
                <c:pt idx="35">
                  <c:v>2001 Dic</c:v>
                </c:pt>
                <c:pt idx="36">
                  <c:v>2002 Ene</c:v>
                </c:pt>
                <c:pt idx="37">
                  <c:v>2002 Feb</c:v>
                </c:pt>
                <c:pt idx="38">
                  <c:v>2002 Mar</c:v>
                </c:pt>
                <c:pt idx="39">
                  <c:v>2002 Abr</c:v>
                </c:pt>
                <c:pt idx="40">
                  <c:v>2002 May</c:v>
                </c:pt>
                <c:pt idx="41">
                  <c:v>2002 Jun</c:v>
                </c:pt>
                <c:pt idx="42">
                  <c:v>2002 Jul</c:v>
                </c:pt>
                <c:pt idx="43">
                  <c:v>2002 Ago</c:v>
                </c:pt>
                <c:pt idx="44">
                  <c:v>2002 Sep</c:v>
                </c:pt>
                <c:pt idx="45">
                  <c:v>2002 Oct</c:v>
                </c:pt>
                <c:pt idx="46">
                  <c:v>2002 Nov</c:v>
                </c:pt>
                <c:pt idx="47">
                  <c:v>2002 Dic</c:v>
                </c:pt>
                <c:pt idx="48">
                  <c:v>2003 Ene</c:v>
                </c:pt>
                <c:pt idx="49">
                  <c:v>2003 Feb</c:v>
                </c:pt>
                <c:pt idx="50">
                  <c:v>2003 Mar</c:v>
                </c:pt>
                <c:pt idx="51">
                  <c:v>2003 Abr</c:v>
                </c:pt>
                <c:pt idx="52">
                  <c:v>2003 May</c:v>
                </c:pt>
                <c:pt idx="53">
                  <c:v>2003 Jun</c:v>
                </c:pt>
                <c:pt idx="54">
                  <c:v>2003 Jul</c:v>
                </c:pt>
                <c:pt idx="55">
                  <c:v>2003 Ago</c:v>
                </c:pt>
                <c:pt idx="56">
                  <c:v>2003 Sep</c:v>
                </c:pt>
                <c:pt idx="57">
                  <c:v>2003 Oct</c:v>
                </c:pt>
                <c:pt idx="58">
                  <c:v>2003 Nov</c:v>
                </c:pt>
                <c:pt idx="59">
                  <c:v>2003 Dic</c:v>
                </c:pt>
                <c:pt idx="60">
                  <c:v>2004 Ene</c:v>
                </c:pt>
                <c:pt idx="61">
                  <c:v>2004 Feb</c:v>
                </c:pt>
                <c:pt idx="62">
                  <c:v>2004 Mar</c:v>
                </c:pt>
                <c:pt idx="63">
                  <c:v>2004 Abr</c:v>
                </c:pt>
                <c:pt idx="64">
                  <c:v>2004 May</c:v>
                </c:pt>
                <c:pt idx="65">
                  <c:v>2004 Jun</c:v>
                </c:pt>
                <c:pt idx="66">
                  <c:v>2004 Jul</c:v>
                </c:pt>
                <c:pt idx="67">
                  <c:v>2004 Ago</c:v>
                </c:pt>
                <c:pt idx="68">
                  <c:v>2004 Sep</c:v>
                </c:pt>
                <c:pt idx="69">
                  <c:v>2004 Oct</c:v>
                </c:pt>
                <c:pt idx="70">
                  <c:v>2004 Nov</c:v>
                </c:pt>
                <c:pt idx="71">
                  <c:v>2004 Dic</c:v>
                </c:pt>
                <c:pt idx="72">
                  <c:v>2005 Ene</c:v>
                </c:pt>
                <c:pt idx="73">
                  <c:v>2005 Feb</c:v>
                </c:pt>
                <c:pt idx="74">
                  <c:v>2005 Mar</c:v>
                </c:pt>
                <c:pt idx="75">
                  <c:v>2005 Abr</c:v>
                </c:pt>
                <c:pt idx="76">
                  <c:v>2005 May</c:v>
                </c:pt>
                <c:pt idx="77">
                  <c:v>2005 Jun</c:v>
                </c:pt>
                <c:pt idx="78">
                  <c:v>2005 Jul</c:v>
                </c:pt>
                <c:pt idx="79">
                  <c:v>2005 Ago</c:v>
                </c:pt>
                <c:pt idx="80">
                  <c:v>2005 Sep</c:v>
                </c:pt>
                <c:pt idx="81">
                  <c:v>2005 Oct</c:v>
                </c:pt>
                <c:pt idx="82">
                  <c:v>2005 Nov</c:v>
                </c:pt>
                <c:pt idx="83">
                  <c:v>2005 Dic</c:v>
                </c:pt>
                <c:pt idx="84">
                  <c:v>2006 Ene</c:v>
                </c:pt>
                <c:pt idx="85">
                  <c:v>2006 Feb</c:v>
                </c:pt>
                <c:pt idx="86">
                  <c:v>2006 Mar</c:v>
                </c:pt>
                <c:pt idx="87">
                  <c:v>2006 Abr</c:v>
                </c:pt>
                <c:pt idx="88">
                  <c:v>2006 May</c:v>
                </c:pt>
                <c:pt idx="89">
                  <c:v>2006 Jun</c:v>
                </c:pt>
                <c:pt idx="90">
                  <c:v>2006 Jul</c:v>
                </c:pt>
                <c:pt idx="91">
                  <c:v>2006 Ago</c:v>
                </c:pt>
                <c:pt idx="92">
                  <c:v>2006 Sep</c:v>
                </c:pt>
                <c:pt idx="93">
                  <c:v>2006 Oct</c:v>
                </c:pt>
                <c:pt idx="94">
                  <c:v>2006 Nov</c:v>
                </c:pt>
                <c:pt idx="95">
                  <c:v>2006 Dic</c:v>
                </c:pt>
                <c:pt idx="96">
                  <c:v>2007 Ene</c:v>
                </c:pt>
                <c:pt idx="97">
                  <c:v>2007 Feb</c:v>
                </c:pt>
                <c:pt idx="98">
                  <c:v>2007 Mar</c:v>
                </c:pt>
                <c:pt idx="99">
                  <c:v>2007 Abr</c:v>
                </c:pt>
                <c:pt idx="100">
                  <c:v>2007 May</c:v>
                </c:pt>
                <c:pt idx="101">
                  <c:v>2007 Jun</c:v>
                </c:pt>
                <c:pt idx="102">
                  <c:v>2007 Jul</c:v>
                </c:pt>
                <c:pt idx="103">
                  <c:v>2007 Ago</c:v>
                </c:pt>
                <c:pt idx="104">
                  <c:v>2007 Sep</c:v>
                </c:pt>
                <c:pt idx="105">
                  <c:v>2007 Oct</c:v>
                </c:pt>
                <c:pt idx="106">
                  <c:v>2007 Nov</c:v>
                </c:pt>
                <c:pt idx="107">
                  <c:v>2007 Dic</c:v>
                </c:pt>
                <c:pt idx="108">
                  <c:v>2008 Ene</c:v>
                </c:pt>
                <c:pt idx="109">
                  <c:v>2008 Feb</c:v>
                </c:pt>
                <c:pt idx="110">
                  <c:v>2008 Mar</c:v>
                </c:pt>
                <c:pt idx="111">
                  <c:v>2008 Abr</c:v>
                </c:pt>
                <c:pt idx="112">
                  <c:v>2008 May</c:v>
                </c:pt>
                <c:pt idx="113">
                  <c:v>2008 Jun</c:v>
                </c:pt>
                <c:pt idx="114">
                  <c:v>2008 Jul</c:v>
                </c:pt>
                <c:pt idx="115">
                  <c:v>2008 Ago</c:v>
                </c:pt>
                <c:pt idx="116">
                  <c:v>2008 Sep</c:v>
                </c:pt>
                <c:pt idx="117">
                  <c:v>2008 Oct</c:v>
                </c:pt>
                <c:pt idx="118">
                  <c:v>2008 Nov</c:v>
                </c:pt>
                <c:pt idx="119">
                  <c:v>2008 Dic</c:v>
                </c:pt>
                <c:pt idx="120">
                  <c:v>2009 Ene</c:v>
                </c:pt>
                <c:pt idx="121">
                  <c:v>2009 Feb</c:v>
                </c:pt>
                <c:pt idx="122">
                  <c:v>2009 Mar</c:v>
                </c:pt>
                <c:pt idx="123">
                  <c:v>2009 Abr</c:v>
                </c:pt>
                <c:pt idx="124">
                  <c:v>2009 May</c:v>
                </c:pt>
                <c:pt idx="125">
                  <c:v>2009 Jun</c:v>
                </c:pt>
                <c:pt idx="126">
                  <c:v>2009 Jul</c:v>
                </c:pt>
                <c:pt idx="127">
                  <c:v>2009 Ago</c:v>
                </c:pt>
                <c:pt idx="128">
                  <c:v>2009 Sep</c:v>
                </c:pt>
                <c:pt idx="129">
                  <c:v>2009 Oct</c:v>
                </c:pt>
                <c:pt idx="130">
                  <c:v>2009 Nov</c:v>
                </c:pt>
                <c:pt idx="131">
                  <c:v>2009 Dic</c:v>
                </c:pt>
                <c:pt idx="132">
                  <c:v>2010 Ene</c:v>
                </c:pt>
                <c:pt idx="133">
                  <c:v>2010 Feb</c:v>
                </c:pt>
                <c:pt idx="134">
                  <c:v>2010 Mar</c:v>
                </c:pt>
                <c:pt idx="135">
                  <c:v>2010 Abr</c:v>
                </c:pt>
                <c:pt idx="136">
                  <c:v>2010 May</c:v>
                </c:pt>
                <c:pt idx="137">
                  <c:v>2010 Jun</c:v>
                </c:pt>
                <c:pt idx="138">
                  <c:v>2010 Jul</c:v>
                </c:pt>
                <c:pt idx="139">
                  <c:v>2010 Ago</c:v>
                </c:pt>
                <c:pt idx="140">
                  <c:v>2010 Sep</c:v>
                </c:pt>
                <c:pt idx="141">
                  <c:v>2010 Oct</c:v>
                </c:pt>
                <c:pt idx="142">
                  <c:v>2010 Nov</c:v>
                </c:pt>
                <c:pt idx="143">
                  <c:v>2010 Dic</c:v>
                </c:pt>
                <c:pt idx="144">
                  <c:v>2011 Ene</c:v>
                </c:pt>
                <c:pt idx="145">
                  <c:v>2011 Feb</c:v>
                </c:pt>
                <c:pt idx="146">
                  <c:v>2011 Mar</c:v>
                </c:pt>
                <c:pt idx="147">
                  <c:v>2011 Abr</c:v>
                </c:pt>
                <c:pt idx="148">
                  <c:v>2011 May</c:v>
                </c:pt>
                <c:pt idx="149">
                  <c:v>2011 Jun</c:v>
                </c:pt>
                <c:pt idx="150">
                  <c:v>2011 Jul</c:v>
                </c:pt>
                <c:pt idx="151">
                  <c:v>2011 Ago</c:v>
                </c:pt>
                <c:pt idx="152">
                  <c:v>2011 Sep</c:v>
                </c:pt>
                <c:pt idx="153">
                  <c:v>2011 Oct</c:v>
                </c:pt>
                <c:pt idx="154">
                  <c:v>2011 Nov</c:v>
                </c:pt>
                <c:pt idx="155">
                  <c:v>2011 Dic</c:v>
                </c:pt>
                <c:pt idx="156">
                  <c:v>2012 Ene</c:v>
                </c:pt>
                <c:pt idx="157">
                  <c:v>2012 Feb</c:v>
                </c:pt>
                <c:pt idx="158">
                  <c:v>2012 Mar</c:v>
                </c:pt>
                <c:pt idx="159">
                  <c:v>2012 Abr</c:v>
                </c:pt>
                <c:pt idx="160">
                  <c:v>2012 May</c:v>
                </c:pt>
                <c:pt idx="161">
                  <c:v>2012 Jun</c:v>
                </c:pt>
                <c:pt idx="162">
                  <c:v>2012 Jul</c:v>
                </c:pt>
                <c:pt idx="163">
                  <c:v>2012 Ago</c:v>
                </c:pt>
                <c:pt idx="164">
                  <c:v>2012 Sep</c:v>
                </c:pt>
                <c:pt idx="165">
                  <c:v>2012 Oct</c:v>
                </c:pt>
                <c:pt idx="166">
                  <c:v>2012 Nov</c:v>
                </c:pt>
                <c:pt idx="167">
                  <c:v>2012 Dic</c:v>
                </c:pt>
                <c:pt idx="168">
                  <c:v>2013 Ene</c:v>
                </c:pt>
                <c:pt idx="169">
                  <c:v>2013 Feb</c:v>
                </c:pt>
                <c:pt idx="170">
                  <c:v>2013 Mar</c:v>
                </c:pt>
                <c:pt idx="171">
                  <c:v>2013 Abr</c:v>
                </c:pt>
                <c:pt idx="172">
                  <c:v>2013 May</c:v>
                </c:pt>
                <c:pt idx="173">
                  <c:v>2013 Jun</c:v>
                </c:pt>
                <c:pt idx="174">
                  <c:v>2013 Jul</c:v>
                </c:pt>
                <c:pt idx="175">
                  <c:v>2013 Ago</c:v>
                </c:pt>
                <c:pt idx="176">
                  <c:v>2013 Sep</c:v>
                </c:pt>
                <c:pt idx="177">
                  <c:v>2013 Oct</c:v>
                </c:pt>
                <c:pt idx="178">
                  <c:v>2013 Nov</c:v>
                </c:pt>
                <c:pt idx="179">
                  <c:v>2013 Dic</c:v>
                </c:pt>
                <c:pt idx="180">
                  <c:v>2014 Ene</c:v>
                </c:pt>
                <c:pt idx="181">
                  <c:v>2014 Feb</c:v>
                </c:pt>
                <c:pt idx="182">
                  <c:v>2014 Mar</c:v>
                </c:pt>
                <c:pt idx="183">
                  <c:v>2014 Abr</c:v>
                </c:pt>
                <c:pt idx="184">
                  <c:v>2014 May</c:v>
                </c:pt>
                <c:pt idx="185">
                  <c:v>2014 Jun</c:v>
                </c:pt>
                <c:pt idx="186">
                  <c:v>2014 Jul</c:v>
                </c:pt>
                <c:pt idx="187">
                  <c:v>2014 Ago</c:v>
                </c:pt>
                <c:pt idx="188">
                  <c:v>2014 Sep</c:v>
                </c:pt>
                <c:pt idx="189">
                  <c:v>2014 Oct</c:v>
                </c:pt>
                <c:pt idx="190">
                  <c:v>2014 Nov</c:v>
                </c:pt>
                <c:pt idx="191">
                  <c:v>2014 Dic</c:v>
                </c:pt>
                <c:pt idx="192">
                  <c:v>2015 Ene</c:v>
                </c:pt>
                <c:pt idx="193">
                  <c:v>2015 Feb</c:v>
                </c:pt>
                <c:pt idx="194">
                  <c:v>2015 Mar</c:v>
                </c:pt>
                <c:pt idx="195">
                  <c:v>2015 Abr</c:v>
                </c:pt>
                <c:pt idx="196">
                  <c:v>2015 May</c:v>
                </c:pt>
                <c:pt idx="197">
                  <c:v>2015 Jun</c:v>
                </c:pt>
                <c:pt idx="198">
                  <c:v>2015 Jul</c:v>
                </c:pt>
                <c:pt idx="199">
                  <c:v>2015 Ago</c:v>
                </c:pt>
                <c:pt idx="200">
                  <c:v>2015 Sep</c:v>
                </c:pt>
                <c:pt idx="201">
                  <c:v>2015 Oct</c:v>
                </c:pt>
                <c:pt idx="202">
                  <c:v>2015 Nov</c:v>
                </c:pt>
                <c:pt idx="203">
                  <c:v>2015 Dic</c:v>
                </c:pt>
                <c:pt idx="204">
                  <c:v>2016 Ene</c:v>
                </c:pt>
                <c:pt idx="205">
                  <c:v>2016 Feb</c:v>
                </c:pt>
                <c:pt idx="206">
                  <c:v>2016 Mar</c:v>
                </c:pt>
                <c:pt idx="207">
                  <c:v>2016 Abr</c:v>
                </c:pt>
                <c:pt idx="208">
                  <c:v>2016 May</c:v>
                </c:pt>
                <c:pt idx="209">
                  <c:v>2016 Jun</c:v>
                </c:pt>
                <c:pt idx="210">
                  <c:v>2016 Jul</c:v>
                </c:pt>
                <c:pt idx="211">
                  <c:v>2016 Ago</c:v>
                </c:pt>
                <c:pt idx="212">
                  <c:v>2016 Sep</c:v>
                </c:pt>
                <c:pt idx="213">
                  <c:v>2016 Oct</c:v>
                </c:pt>
                <c:pt idx="214">
                  <c:v>2016 Nov</c:v>
                </c:pt>
                <c:pt idx="215">
                  <c:v>2016 Dic</c:v>
                </c:pt>
                <c:pt idx="216">
                  <c:v>2017 Ene</c:v>
                </c:pt>
                <c:pt idx="217">
                  <c:v>2017 Feb</c:v>
                </c:pt>
                <c:pt idx="218">
                  <c:v>2017 Mar</c:v>
                </c:pt>
                <c:pt idx="219">
                  <c:v>2017 Abr</c:v>
                </c:pt>
                <c:pt idx="220">
                  <c:v>2017 May</c:v>
                </c:pt>
                <c:pt idx="221">
                  <c:v>2017 Jun</c:v>
                </c:pt>
                <c:pt idx="222">
                  <c:v>2017 Jul</c:v>
                </c:pt>
                <c:pt idx="223">
                  <c:v>2017 Ago</c:v>
                </c:pt>
                <c:pt idx="224">
                  <c:v>2017 Sep</c:v>
                </c:pt>
                <c:pt idx="225">
                  <c:v>2017 Oct</c:v>
                </c:pt>
                <c:pt idx="226">
                  <c:v>2017 Nov</c:v>
                </c:pt>
                <c:pt idx="227">
                  <c:v>2017 Dic</c:v>
                </c:pt>
                <c:pt idx="228">
                  <c:v>2018 Ene</c:v>
                </c:pt>
                <c:pt idx="229">
                  <c:v>2018 Feb</c:v>
                </c:pt>
                <c:pt idx="230">
                  <c:v>2018 Mar</c:v>
                </c:pt>
                <c:pt idx="231">
                  <c:v>2018 Abr</c:v>
                </c:pt>
                <c:pt idx="232">
                  <c:v>2018 May</c:v>
                </c:pt>
                <c:pt idx="233">
                  <c:v>2018 Jun</c:v>
                </c:pt>
                <c:pt idx="234">
                  <c:v>2018 Jul</c:v>
                </c:pt>
                <c:pt idx="235">
                  <c:v>2018 Ago</c:v>
                </c:pt>
                <c:pt idx="236">
                  <c:v>2018 Sep</c:v>
                </c:pt>
                <c:pt idx="237">
                  <c:v>2018 Oct</c:v>
                </c:pt>
                <c:pt idx="238">
                  <c:v>2018 Nov</c:v>
                </c:pt>
                <c:pt idx="239">
                  <c:v>2018 Dic</c:v>
                </c:pt>
                <c:pt idx="240">
                  <c:v>2019 Ene</c:v>
                </c:pt>
                <c:pt idx="241">
                  <c:v>2019 Feb</c:v>
                </c:pt>
                <c:pt idx="242">
                  <c:v>2019 Mar</c:v>
                </c:pt>
                <c:pt idx="243">
                  <c:v>2019 Abr</c:v>
                </c:pt>
                <c:pt idx="244">
                  <c:v>2019 May</c:v>
                </c:pt>
                <c:pt idx="245">
                  <c:v>2019 Jun</c:v>
                </c:pt>
                <c:pt idx="246">
                  <c:v>2019 Jul</c:v>
                </c:pt>
                <c:pt idx="247">
                  <c:v>2019 Ago</c:v>
                </c:pt>
                <c:pt idx="248">
                  <c:v>2019 Sep</c:v>
                </c:pt>
                <c:pt idx="249">
                  <c:v>2019 Oct</c:v>
                </c:pt>
                <c:pt idx="250">
                  <c:v>2019 Nov</c:v>
                </c:pt>
                <c:pt idx="251">
                  <c:v>2019 Dic</c:v>
                </c:pt>
                <c:pt idx="252">
                  <c:v>2020 Ene</c:v>
                </c:pt>
                <c:pt idx="253">
                  <c:v>2020 Feb</c:v>
                </c:pt>
                <c:pt idx="254">
                  <c:v>2020 Mar</c:v>
                </c:pt>
                <c:pt idx="255">
                  <c:v>2020 Abr</c:v>
                </c:pt>
                <c:pt idx="256">
                  <c:v>2020 May</c:v>
                </c:pt>
                <c:pt idx="257">
                  <c:v>2020 Jun</c:v>
                </c:pt>
                <c:pt idx="258">
                  <c:v>2020 Jul</c:v>
                </c:pt>
                <c:pt idx="259">
                  <c:v>2020 Ago</c:v>
                </c:pt>
                <c:pt idx="260">
                  <c:v>2020 Sep</c:v>
                </c:pt>
                <c:pt idx="261">
                  <c:v>2020 Oct</c:v>
                </c:pt>
                <c:pt idx="262">
                  <c:v>2020 Nov</c:v>
                </c:pt>
                <c:pt idx="263">
                  <c:v>2020 Dic</c:v>
                </c:pt>
                <c:pt idx="264">
                  <c:v>2021 Ene</c:v>
                </c:pt>
                <c:pt idx="265">
                  <c:v>2021 Feb</c:v>
                </c:pt>
                <c:pt idx="266">
                  <c:v>2021 Mar</c:v>
                </c:pt>
                <c:pt idx="267">
                  <c:v>2021 Abr</c:v>
                </c:pt>
                <c:pt idx="268">
                  <c:v>2021 May</c:v>
                </c:pt>
                <c:pt idx="269">
                  <c:v>2021 Jun</c:v>
                </c:pt>
                <c:pt idx="270">
                  <c:v>2021 Jul</c:v>
                </c:pt>
                <c:pt idx="271">
                  <c:v>2021 Ago</c:v>
                </c:pt>
                <c:pt idx="272">
                  <c:v>2021 Sep</c:v>
                </c:pt>
                <c:pt idx="273">
                  <c:v>2021 Oct</c:v>
                </c:pt>
                <c:pt idx="274">
                  <c:v>2021 Nov</c:v>
                </c:pt>
                <c:pt idx="275">
                  <c:v>2021 Dic</c:v>
                </c:pt>
                <c:pt idx="276">
                  <c:v>2022 Ene</c:v>
                </c:pt>
                <c:pt idx="277">
                  <c:v>2022 Feb</c:v>
                </c:pt>
                <c:pt idx="278">
                  <c:v>2022 Mar</c:v>
                </c:pt>
                <c:pt idx="279">
                  <c:v>2022 Abr</c:v>
                </c:pt>
                <c:pt idx="280">
                  <c:v>2022 May</c:v>
                </c:pt>
                <c:pt idx="281">
                  <c:v>2022 Jun</c:v>
                </c:pt>
                <c:pt idx="282">
                  <c:v>2022 Jul</c:v>
                </c:pt>
                <c:pt idx="283">
                  <c:v>2022 Ago</c:v>
                </c:pt>
                <c:pt idx="284">
                  <c:v>2022 Sep</c:v>
                </c:pt>
                <c:pt idx="285">
                  <c:v>2022 Oct</c:v>
                </c:pt>
                <c:pt idx="286">
                  <c:v>2022 Nov</c:v>
                </c:pt>
                <c:pt idx="287">
                  <c:v>2022 Dic</c:v>
                </c:pt>
                <c:pt idx="288">
                  <c:v>2023 Ene</c:v>
                </c:pt>
                <c:pt idx="289">
                  <c:v>2023 Feb</c:v>
                </c:pt>
                <c:pt idx="290">
                  <c:v>2023 Mar</c:v>
                </c:pt>
                <c:pt idx="291">
                  <c:v>2023 Abr</c:v>
                </c:pt>
                <c:pt idx="292">
                  <c:v>2023 May</c:v>
                </c:pt>
                <c:pt idx="293">
                  <c:v>2023 Jun</c:v>
                </c:pt>
                <c:pt idx="294">
                  <c:v>2023 Jul</c:v>
                </c:pt>
                <c:pt idx="295">
                  <c:v>2023 Ago</c:v>
                </c:pt>
                <c:pt idx="296">
                  <c:v>2023 Sep</c:v>
                </c:pt>
                <c:pt idx="297">
                  <c:v>2023 Oct</c:v>
                </c:pt>
                <c:pt idx="298">
                  <c:v>2023 Nov</c:v>
                </c:pt>
                <c:pt idx="299">
                  <c:v>2023 Dic</c:v>
                </c:pt>
                <c:pt idx="300">
                  <c:v>2024 Ene</c:v>
                </c:pt>
                <c:pt idx="301">
                  <c:v>2024 Feb</c:v>
                </c:pt>
                <c:pt idx="302">
                  <c:v>2024 Mar</c:v>
                </c:pt>
                <c:pt idx="303">
                  <c:v>2024 Abr</c:v>
                </c:pt>
              </c:strCache>
            </c:strRef>
          </c:cat>
          <c:val>
            <c:numRef>
              <c:f>'IPC mes'!$E$2:$E$305</c:f>
              <c:numCache>
                <c:formatCode>###,###.00</c:formatCode>
                <c:ptCount val="304"/>
                <c:pt idx="0">
                  <c:v>18.97</c:v>
                </c:pt>
                <c:pt idx="1">
                  <c:v>19.37</c:v>
                </c:pt>
                <c:pt idx="2">
                  <c:v>20.28</c:v>
                </c:pt>
                <c:pt idx="3">
                  <c:v>20.64</c:v>
                </c:pt>
                <c:pt idx="4">
                  <c:v>20.71</c:v>
                </c:pt>
                <c:pt idx="5">
                  <c:v>20.75</c:v>
                </c:pt>
                <c:pt idx="6">
                  <c:v>20.92</c:v>
                </c:pt>
                <c:pt idx="7">
                  <c:v>21.18</c:v>
                </c:pt>
                <c:pt idx="8">
                  <c:v>22.03</c:v>
                </c:pt>
                <c:pt idx="9">
                  <c:v>22.62</c:v>
                </c:pt>
                <c:pt idx="10">
                  <c:v>22.94</c:v>
                </c:pt>
                <c:pt idx="11">
                  <c:v>23.05</c:v>
                </c:pt>
                <c:pt idx="12">
                  <c:v>23.4</c:v>
                </c:pt>
                <c:pt idx="13">
                  <c:v>24.41</c:v>
                </c:pt>
                <c:pt idx="14">
                  <c:v>25.79</c:v>
                </c:pt>
                <c:pt idx="15">
                  <c:v>26.01</c:v>
                </c:pt>
                <c:pt idx="16">
                  <c:v>26.03</c:v>
                </c:pt>
                <c:pt idx="17">
                  <c:v>26.1</c:v>
                </c:pt>
                <c:pt idx="18">
                  <c:v>25.69</c:v>
                </c:pt>
                <c:pt idx="19">
                  <c:v>25.28</c:v>
                </c:pt>
                <c:pt idx="20">
                  <c:v>25.18</c:v>
                </c:pt>
                <c:pt idx="21">
                  <c:v>25.15</c:v>
                </c:pt>
                <c:pt idx="22">
                  <c:v>25.23</c:v>
                </c:pt>
                <c:pt idx="23">
                  <c:v>25.87</c:v>
                </c:pt>
                <c:pt idx="24">
                  <c:v>27.41</c:v>
                </c:pt>
                <c:pt idx="25">
                  <c:v>28.66</c:v>
                </c:pt>
                <c:pt idx="26">
                  <c:v>29.67</c:v>
                </c:pt>
                <c:pt idx="27">
                  <c:v>29.81</c:v>
                </c:pt>
                <c:pt idx="28">
                  <c:v>29.62</c:v>
                </c:pt>
                <c:pt idx="29">
                  <c:v>29.73</c:v>
                </c:pt>
                <c:pt idx="30">
                  <c:v>30.04</c:v>
                </c:pt>
                <c:pt idx="31">
                  <c:v>30.23</c:v>
                </c:pt>
                <c:pt idx="32">
                  <c:v>30.34</c:v>
                </c:pt>
                <c:pt idx="33">
                  <c:v>30.55</c:v>
                </c:pt>
                <c:pt idx="34">
                  <c:v>30.84</c:v>
                </c:pt>
                <c:pt idx="35">
                  <c:v>30.89</c:v>
                </c:pt>
                <c:pt idx="36">
                  <c:v>30.96</c:v>
                </c:pt>
                <c:pt idx="37">
                  <c:v>31.07</c:v>
                </c:pt>
                <c:pt idx="38">
                  <c:v>31.04</c:v>
                </c:pt>
                <c:pt idx="39">
                  <c:v>31.03</c:v>
                </c:pt>
                <c:pt idx="40">
                  <c:v>30.97</c:v>
                </c:pt>
                <c:pt idx="41">
                  <c:v>31.06</c:v>
                </c:pt>
                <c:pt idx="42">
                  <c:v>31.76</c:v>
                </c:pt>
                <c:pt idx="43">
                  <c:v>32.21</c:v>
                </c:pt>
                <c:pt idx="44">
                  <c:v>32.03</c:v>
                </c:pt>
                <c:pt idx="45">
                  <c:v>32.08</c:v>
                </c:pt>
                <c:pt idx="46">
                  <c:v>32.159999999999997</c:v>
                </c:pt>
                <c:pt idx="47">
                  <c:v>32.04</c:v>
                </c:pt>
                <c:pt idx="48">
                  <c:v>32.08</c:v>
                </c:pt>
                <c:pt idx="49">
                  <c:v>32.26</c:v>
                </c:pt>
                <c:pt idx="50">
                  <c:v>32.19</c:v>
                </c:pt>
                <c:pt idx="51">
                  <c:v>32.159999999999997</c:v>
                </c:pt>
                <c:pt idx="52">
                  <c:v>32.56</c:v>
                </c:pt>
                <c:pt idx="53">
                  <c:v>33.51</c:v>
                </c:pt>
                <c:pt idx="54">
                  <c:v>34.409999999999997</c:v>
                </c:pt>
                <c:pt idx="55">
                  <c:v>34.71</c:v>
                </c:pt>
                <c:pt idx="56">
                  <c:v>34.86</c:v>
                </c:pt>
                <c:pt idx="57">
                  <c:v>34.86</c:v>
                </c:pt>
                <c:pt idx="58">
                  <c:v>34.869999999999997</c:v>
                </c:pt>
                <c:pt idx="59">
                  <c:v>34.770000000000003</c:v>
                </c:pt>
                <c:pt idx="60">
                  <c:v>34.92</c:v>
                </c:pt>
                <c:pt idx="61">
                  <c:v>35.130000000000003</c:v>
                </c:pt>
                <c:pt idx="62">
                  <c:v>35.18</c:v>
                </c:pt>
                <c:pt idx="63">
                  <c:v>35.22</c:v>
                </c:pt>
                <c:pt idx="64">
                  <c:v>35.049999999999997</c:v>
                </c:pt>
                <c:pt idx="65">
                  <c:v>35.25</c:v>
                </c:pt>
                <c:pt idx="66">
                  <c:v>35.770000000000003</c:v>
                </c:pt>
                <c:pt idx="67">
                  <c:v>35.94</c:v>
                </c:pt>
                <c:pt idx="68">
                  <c:v>36.44</c:v>
                </c:pt>
                <c:pt idx="69">
                  <c:v>36.979999999999997</c:v>
                </c:pt>
                <c:pt idx="70">
                  <c:v>37.020000000000003</c:v>
                </c:pt>
                <c:pt idx="71">
                  <c:v>36.9</c:v>
                </c:pt>
                <c:pt idx="72">
                  <c:v>36.81</c:v>
                </c:pt>
                <c:pt idx="73">
                  <c:v>36.96</c:v>
                </c:pt>
                <c:pt idx="74">
                  <c:v>37</c:v>
                </c:pt>
                <c:pt idx="75">
                  <c:v>37.07</c:v>
                </c:pt>
                <c:pt idx="76">
                  <c:v>37.200000000000003</c:v>
                </c:pt>
                <c:pt idx="77">
                  <c:v>37.4</c:v>
                </c:pt>
                <c:pt idx="78">
                  <c:v>37.450000000000003</c:v>
                </c:pt>
                <c:pt idx="79">
                  <c:v>37.29</c:v>
                </c:pt>
                <c:pt idx="80">
                  <c:v>37.26</c:v>
                </c:pt>
                <c:pt idx="81">
                  <c:v>37.159999999999997</c:v>
                </c:pt>
                <c:pt idx="82">
                  <c:v>37.15</c:v>
                </c:pt>
                <c:pt idx="83">
                  <c:v>37.31</c:v>
                </c:pt>
                <c:pt idx="84">
                  <c:v>37.46</c:v>
                </c:pt>
                <c:pt idx="85">
                  <c:v>37.53</c:v>
                </c:pt>
                <c:pt idx="86">
                  <c:v>37.68</c:v>
                </c:pt>
                <c:pt idx="87">
                  <c:v>37.68</c:v>
                </c:pt>
                <c:pt idx="88">
                  <c:v>37.880000000000003</c:v>
                </c:pt>
                <c:pt idx="89">
                  <c:v>37.96</c:v>
                </c:pt>
                <c:pt idx="90">
                  <c:v>38.28</c:v>
                </c:pt>
                <c:pt idx="91">
                  <c:v>38.409999999999997</c:v>
                </c:pt>
                <c:pt idx="92">
                  <c:v>38.49</c:v>
                </c:pt>
                <c:pt idx="93">
                  <c:v>38.799999999999997</c:v>
                </c:pt>
                <c:pt idx="94">
                  <c:v>39</c:v>
                </c:pt>
                <c:pt idx="95">
                  <c:v>39.090000000000003</c:v>
                </c:pt>
                <c:pt idx="96">
                  <c:v>39.270000000000003</c:v>
                </c:pt>
                <c:pt idx="97">
                  <c:v>39.79</c:v>
                </c:pt>
                <c:pt idx="98">
                  <c:v>39.880000000000003</c:v>
                </c:pt>
                <c:pt idx="99">
                  <c:v>39.520000000000003</c:v>
                </c:pt>
                <c:pt idx="100">
                  <c:v>39.39</c:v>
                </c:pt>
                <c:pt idx="101">
                  <c:v>39.42</c:v>
                </c:pt>
                <c:pt idx="102">
                  <c:v>39.520000000000003</c:v>
                </c:pt>
                <c:pt idx="103">
                  <c:v>39.479999999999997</c:v>
                </c:pt>
                <c:pt idx="104">
                  <c:v>39.450000000000003</c:v>
                </c:pt>
                <c:pt idx="105">
                  <c:v>39.54</c:v>
                </c:pt>
                <c:pt idx="106">
                  <c:v>39.75</c:v>
                </c:pt>
                <c:pt idx="107">
                  <c:v>39.909999999999997</c:v>
                </c:pt>
                <c:pt idx="108">
                  <c:v>40.24</c:v>
                </c:pt>
                <c:pt idx="109">
                  <c:v>40.69</c:v>
                </c:pt>
                <c:pt idx="110">
                  <c:v>41.13</c:v>
                </c:pt>
                <c:pt idx="111">
                  <c:v>41.23</c:v>
                </c:pt>
                <c:pt idx="112">
                  <c:v>41.26</c:v>
                </c:pt>
                <c:pt idx="113">
                  <c:v>41.41</c:v>
                </c:pt>
                <c:pt idx="114">
                  <c:v>41.39</c:v>
                </c:pt>
                <c:pt idx="115">
                  <c:v>41.34</c:v>
                </c:pt>
                <c:pt idx="116">
                  <c:v>41.27</c:v>
                </c:pt>
                <c:pt idx="117">
                  <c:v>41.35</c:v>
                </c:pt>
                <c:pt idx="118">
                  <c:v>41.57</c:v>
                </c:pt>
                <c:pt idx="119">
                  <c:v>41.67</c:v>
                </c:pt>
                <c:pt idx="120">
                  <c:v>41.9</c:v>
                </c:pt>
                <c:pt idx="121">
                  <c:v>42.19</c:v>
                </c:pt>
                <c:pt idx="122">
                  <c:v>42.51</c:v>
                </c:pt>
                <c:pt idx="123">
                  <c:v>42.67</c:v>
                </c:pt>
                <c:pt idx="124">
                  <c:v>42.83</c:v>
                </c:pt>
                <c:pt idx="125">
                  <c:v>43.04</c:v>
                </c:pt>
                <c:pt idx="126">
                  <c:v>43.16</c:v>
                </c:pt>
                <c:pt idx="127">
                  <c:v>43.3</c:v>
                </c:pt>
                <c:pt idx="128">
                  <c:v>43.32</c:v>
                </c:pt>
                <c:pt idx="129">
                  <c:v>43.32</c:v>
                </c:pt>
                <c:pt idx="130">
                  <c:v>43.42</c:v>
                </c:pt>
                <c:pt idx="131">
                  <c:v>43.48</c:v>
                </c:pt>
                <c:pt idx="132">
                  <c:v>43.72</c:v>
                </c:pt>
                <c:pt idx="133">
                  <c:v>44.25</c:v>
                </c:pt>
                <c:pt idx="134">
                  <c:v>45.1</c:v>
                </c:pt>
                <c:pt idx="135">
                  <c:v>45.69</c:v>
                </c:pt>
                <c:pt idx="136">
                  <c:v>46.03</c:v>
                </c:pt>
                <c:pt idx="137">
                  <c:v>46.15</c:v>
                </c:pt>
                <c:pt idx="138">
                  <c:v>46.25</c:v>
                </c:pt>
                <c:pt idx="139">
                  <c:v>46.91</c:v>
                </c:pt>
                <c:pt idx="140">
                  <c:v>48.57</c:v>
                </c:pt>
                <c:pt idx="141">
                  <c:v>49.19</c:v>
                </c:pt>
                <c:pt idx="142">
                  <c:v>49.33</c:v>
                </c:pt>
                <c:pt idx="143">
                  <c:v>49.99</c:v>
                </c:pt>
                <c:pt idx="144">
                  <c:v>50.57</c:v>
                </c:pt>
                <c:pt idx="145">
                  <c:v>50.62</c:v>
                </c:pt>
                <c:pt idx="146">
                  <c:v>50.74</c:v>
                </c:pt>
                <c:pt idx="147">
                  <c:v>50.84</c:v>
                </c:pt>
                <c:pt idx="148">
                  <c:v>51.04</c:v>
                </c:pt>
                <c:pt idx="149">
                  <c:v>51.06</c:v>
                </c:pt>
                <c:pt idx="150">
                  <c:v>50.97</c:v>
                </c:pt>
                <c:pt idx="151">
                  <c:v>50.99</c:v>
                </c:pt>
                <c:pt idx="152">
                  <c:v>51.11</c:v>
                </c:pt>
                <c:pt idx="153">
                  <c:v>51.11</c:v>
                </c:pt>
                <c:pt idx="154">
                  <c:v>51.16</c:v>
                </c:pt>
                <c:pt idx="155">
                  <c:v>51.1</c:v>
                </c:pt>
                <c:pt idx="156">
                  <c:v>51.31</c:v>
                </c:pt>
                <c:pt idx="157">
                  <c:v>51.69</c:v>
                </c:pt>
                <c:pt idx="158">
                  <c:v>51.96</c:v>
                </c:pt>
                <c:pt idx="159">
                  <c:v>52.1</c:v>
                </c:pt>
                <c:pt idx="160">
                  <c:v>52.53</c:v>
                </c:pt>
                <c:pt idx="161">
                  <c:v>52.71</c:v>
                </c:pt>
                <c:pt idx="162">
                  <c:v>52.76</c:v>
                </c:pt>
                <c:pt idx="163">
                  <c:v>52.81</c:v>
                </c:pt>
                <c:pt idx="164">
                  <c:v>52.9</c:v>
                </c:pt>
                <c:pt idx="165">
                  <c:v>52.92</c:v>
                </c:pt>
                <c:pt idx="166">
                  <c:v>52.97</c:v>
                </c:pt>
                <c:pt idx="167">
                  <c:v>52.99</c:v>
                </c:pt>
                <c:pt idx="168">
                  <c:v>53.09</c:v>
                </c:pt>
                <c:pt idx="169">
                  <c:v>53.6</c:v>
                </c:pt>
                <c:pt idx="170">
                  <c:v>54.33</c:v>
                </c:pt>
                <c:pt idx="171">
                  <c:v>54.54</c:v>
                </c:pt>
                <c:pt idx="172">
                  <c:v>54.87</c:v>
                </c:pt>
                <c:pt idx="173">
                  <c:v>55.1</c:v>
                </c:pt>
                <c:pt idx="174">
                  <c:v>55.19</c:v>
                </c:pt>
                <c:pt idx="175">
                  <c:v>55.18</c:v>
                </c:pt>
                <c:pt idx="176">
                  <c:v>55.13</c:v>
                </c:pt>
                <c:pt idx="177">
                  <c:v>55.16</c:v>
                </c:pt>
                <c:pt idx="178">
                  <c:v>55.25</c:v>
                </c:pt>
                <c:pt idx="179">
                  <c:v>55.37</c:v>
                </c:pt>
                <c:pt idx="180">
                  <c:v>55.47</c:v>
                </c:pt>
                <c:pt idx="181">
                  <c:v>55.72</c:v>
                </c:pt>
                <c:pt idx="182">
                  <c:v>56.24</c:v>
                </c:pt>
                <c:pt idx="183">
                  <c:v>56.52</c:v>
                </c:pt>
                <c:pt idx="184">
                  <c:v>56.87</c:v>
                </c:pt>
                <c:pt idx="185">
                  <c:v>57.02</c:v>
                </c:pt>
                <c:pt idx="186">
                  <c:v>57.05</c:v>
                </c:pt>
                <c:pt idx="187">
                  <c:v>57.08</c:v>
                </c:pt>
                <c:pt idx="188">
                  <c:v>57.12</c:v>
                </c:pt>
                <c:pt idx="189">
                  <c:v>57.19</c:v>
                </c:pt>
                <c:pt idx="190">
                  <c:v>57.25</c:v>
                </c:pt>
                <c:pt idx="191">
                  <c:v>57.33</c:v>
                </c:pt>
                <c:pt idx="192">
                  <c:v>57.6</c:v>
                </c:pt>
                <c:pt idx="193">
                  <c:v>58.09</c:v>
                </c:pt>
                <c:pt idx="194">
                  <c:v>58.63</c:v>
                </c:pt>
                <c:pt idx="195">
                  <c:v>59.36</c:v>
                </c:pt>
                <c:pt idx="196">
                  <c:v>60.3</c:v>
                </c:pt>
                <c:pt idx="197">
                  <c:v>60.57</c:v>
                </c:pt>
                <c:pt idx="198">
                  <c:v>60.8</c:v>
                </c:pt>
                <c:pt idx="199">
                  <c:v>60.84</c:v>
                </c:pt>
                <c:pt idx="200">
                  <c:v>60.84</c:v>
                </c:pt>
                <c:pt idx="201">
                  <c:v>60.85</c:v>
                </c:pt>
                <c:pt idx="202">
                  <c:v>60.65</c:v>
                </c:pt>
                <c:pt idx="203">
                  <c:v>60.73</c:v>
                </c:pt>
                <c:pt idx="204">
                  <c:v>61.07</c:v>
                </c:pt>
                <c:pt idx="205">
                  <c:v>62.08</c:v>
                </c:pt>
                <c:pt idx="206">
                  <c:v>63.61</c:v>
                </c:pt>
                <c:pt idx="207">
                  <c:v>64.06</c:v>
                </c:pt>
                <c:pt idx="208">
                  <c:v>64.52</c:v>
                </c:pt>
                <c:pt idx="209">
                  <c:v>64.73</c:v>
                </c:pt>
                <c:pt idx="210">
                  <c:v>64.92</c:v>
                </c:pt>
                <c:pt idx="211">
                  <c:v>64.94</c:v>
                </c:pt>
                <c:pt idx="212">
                  <c:v>64.88</c:v>
                </c:pt>
                <c:pt idx="213">
                  <c:v>64.959999999999994</c:v>
                </c:pt>
                <c:pt idx="214">
                  <c:v>65.05</c:v>
                </c:pt>
                <c:pt idx="215">
                  <c:v>65.34</c:v>
                </c:pt>
                <c:pt idx="216">
                  <c:v>68.819999999999993</c:v>
                </c:pt>
                <c:pt idx="217">
                  <c:v>74.48</c:v>
                </c:pt>
                <c:pt idx="218">
                  <c:v>78.94</c:v>
                </c:pt>
                <c:pt idx="219">
                  <c:v>80.22</c:v>
                </c:pt>
                <c:pt idx="220">
                  <c:v>80.66</c:v>
                </c:pt>
                <c:pt idx="221">
                  <c:v>81.459999999999994</c:v>
                </c:pt>
                <c:pt idx="222">
                  <c:v>81.88</c:v>
                </c:pt>
                <c:pt idx="223">
                  <c:v>82.14</c:v>
                </c:pt>
                <c:pt idx="224">
                  <c:v>82.08</c:v>
                </c:pt>
                <c:pt idx="225">
                  <c:v>82.24</c:v>
                </c:pt>
                <c:pt idx="226">
                  <c:v>82.33</c:v>
                </c:pt>
                <c:pt idx="227">
                  <c:v>83.1</c:v>
                </c:pt>
                <c:pt idx="228">
                  <c:v>86.84</c:v>
                </c:pt>
                <c:pt idx="229">
                  <c:v>91.96</c:v>
                </c:pt>
                <c:pt idx="230">
                  <c:v>95.34</c:v>
                </c:pt>
                <c:pt idx="231">
                  <c:v>96.42</c:v>
                </c:pt>
                <c:pt idx="232">
                  <c:v>97.04</c:v>
                </c:pt>
                <c:pt idx="233">
                  <c:v>97.43</c:v>
                </c:pt>
                <c:pt idx="234">
                  <c:v>97.93</c:v>
                </c:pt>
                <c:pt idx="235">
                  <c:v>98.21</c:v>
                </c:pt>
                <c:pt idx="236">
                  <c:v>98.7</c:v>
                </c:pt>
                <c:pt idx="237">
                  <c:v>98.82</c:v>
                </c:pt>
                <c:pt idx="238">
                  <c:v>99.21</c:v>
                </c:pt>
                <c:pt idx="239">
                  <c:v>100</c:v>
                </c:pt>
                <c:pt idx="240">
                  <c:v>101.98</c:v>
                </c:pt>
                <c:pt idx="241">
                  <c:v>105.9</c:v>
                </c:pt>
                <c:pt idx="242">
                  <c:v>108.82</c:v>
                </c:pt>
                <c:pt idx="243">
                  <c:v>110.44</c:v>
                </c:pt>
                <c:pt idx="244">
                  <c:v>111.73</c:v>
                </c:pt>
                <c:pt idx="245">
                  <c:v>112.17</c:v>
                </c:pt>
                <c:pt idx="246">
                  <c:v>112.47</c:v>
                </c:pt>
                <c:pt idx="247">
                  <c:v>112.71</c:v>
                </c:pt>
                <c:pt idx="248">
                  <c:v>112.74</c:v>
                </c:pt>
                <c:pt idx="249">
                  <c:v>112.97</c:v>
                </c:pt>
                <c:pt idx="250">
                  <c:v>113.32</c:v>
                </c:pt>
                <c:pt idx="251">
                  <c:v>113.64</c:v>
                </c:pt>
                <c:pt idx="252">
                  <c:v>115.18</c:v>
                </c:pt>
                <c:pt idx="253">
                  <c:v>117.49</c:v>
                </c:pt>
                <c:pt idx="254">
                  <c:v>119.18</c:v>
                </c:pt>
                <c:pt idx="255">
                  <c:v>119.95</c:v>
                </c:pt>
                <c:pt idx="256">
                  <c:v>120.84</c:v>
                </c:pt>
                <c:pt idx="257">
                  <c:v>121.16</c:v>
                </c:pt>
                <c:pt idx="258">
                  <c:v>121.7</c:v>
                </c:pt>
                <c:pt idx="259">
                  <c:v>122.2</c:v>
                </c:pt>
                <c:pt idx="260">
                  <c:v>122.49</c:v>
                </c:pt>
                <c:pt idx="261">
                  <c:v>122.63</c:v>
                </c:pt>
                <c:pt idx="262">
                  <c:v>122.69</c:v>
                </c:pt>
                <c:pt idx="263">
                  <c:v>122.83</c:v>
                </c:pt>
                <c:pt idx="264">
                  <c:v>123.61</c:v>
                </c:pt>
                <c:pt idx="265">
                  <c:v>125.43</c:v>
                </c:pt>
                <c:pt idx="266">
                  <c:v>127.74</c:v>
                </c:pt>
                <c:pt idx="267">
                  <c:v>128.97999999999999</c:v>
                </c:pt>
                <c:pt idx="268">
                  <c:v>129.63</c:v>
                </c:pt>
                <c:pt idx="269">
                  <c:v>130.13999999999999</c:v>
                </c:pt>
                <c:pt idx="270">
                  <c:v>130.46</c:v>
                </c:pt>
                <c:pt idx="271">
                  <c:v>131.16999999999999</c:v>
                </c:pt>
                <c:pt idx="272">
                  <c:v>131.33000000000001</c:v>
                </c:pt>
                <c:pt idx="273">
                  <c:v>131.88</c:v>
                </c:pt>
                <c:pt idx="274">
                  <c:v>132.21</c:v>
                </c:pt>
                <c:pt idx="275">
                  <c:v>132.61000000000001</c:v>
                </c:pt>
                <c:pt idx="276">
                  <c:v>133.24</c:v>
                </c:pt>
                <c:pt idx="277">
                  <c:v>134.61000000000001</c:v>
                </c:pt>
                <c:pt idx="278">
                  <c:v>136.08000000000001</c:v>
                </c:pt>
                <c:pt idx="279">
                  <c:v>137.63</c:v>
                </c:pt>
                <c:pt idx="280">
                  <c:v>138.62</c:v>
                </c:pt>
                <c:pt idx="281">
                  <c:v>139.16999999999999</c:v>
                </c:pt>
                <c:pt idx="282">
                  <c:v>140.26</c:v>
                </c:pt>
                <c:pt idx="283">
                  <c:v>140.69</c:v>
                </c:pt>
                <c:pt idx="284">
                  <c:v>140.72</c:v>
                </c:pt>
                <c:pt idx="285">
                  <c:v>140.85</c:v>
                </c:pt>
                <c:pt idx="286">
                  <c:v>140.63</c:v>
                </c:pt>
                <c:pt idx="287">
                  <c:v>140.86000000000001</c:v>
                </c:pt>
                <c:pt idx="288">
                  <c:v>141.88999999999999</c:v>
                </c:pt>
                <c:pt idx="289">
                  <c:v>144.35</c:v>
                </c:pt>
                <c:pt idx="290">
                  <c:v>148.13</c:v>
                </c:pt>
                <c:pt idx="291">
                  <c:v>151.80000000000001</c:v>
                </c:pt>
                <c:pt idx="292">
                  <c:v>153.94</c:v>
                </c:pt>
                <c:pt idx="293">
                  <c:v>155.15</c:v>
                </c:pt>
                <c:pt idx="294">
                  <c:v>156.13999999999999</c:v>
                </c:pt>
                <c:pt idx="295">
                  <c:v>156.97</c:v>
                </c:pt>
                <c:pt idx="296">
                  <c:v>157.28</c:v>
                </c:pt>
                <c:pt idx="297">
                  <c:v>157.4</c:v>
                </c:pt>
                <c:pt idx="298">
                  <c:v>157.84</c:v>
                </c:pt>
                <c:pt idx="299">
                  <c:v>158.83000000000001</c:v>
                </c:pt>
                <c:pt idx="300">
                  <c:v>160.4</c:v>
                </c:pt>
                <c:pt idx="301">
                  <c:v>163.35</c:v>
                </c:pt>
                <c:pt idx="302">
                  <c:v>167.72</c:v>
                </c:pt>
                <c:pt idx="303">
                  <c:v>169.98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4-4906-AA5B-52006DED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325824"/>
        <c:axId val="1023326304"/>
      </c:lineChart>
      <c:catAx>
        <c:axId val="10233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326304"/>
        <c:crosses val="autoZero"/>
        <c:auto val="1"/>
        <c:lblAlgn val="ctr"/>
        <c:lblOffset val="100"/>
        <c:noMultiLvlLbl val="0"/>
      </c:catAx>
      <c:valAx>
        <c:axId val="10233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33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Tamaño del mercado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040744166613628E-2"/>
          <c:y val="9.4290538477937322E-2"/>
          <c:w val="0.83509929236710512"/>
          <c:h val="0.6636943503904893"/>
        </c:manualLayout>
      </c:layout>
      <c:lineChart>
        <c:grouping val="standard"/>
        <c:varyColors val="0"/>
        <c:ser>
          <c:idx val="0"/>
          <c:order val="0"/>
          <c:tx>
            <c:strRef>
              <c:f>'Tamaño Mercado'!$M$1</c:f>
              <c:strCache>
                <c:ptCount val="1"/>
                <c:pt idx="0">
                  <c:v>Tamaño mercado Euromonitor</c:v>
                </c:pt>
              </c:strCache>
            </c:strRef>
          </c:tx>
          <c:spPr>
            <a:ln w="76200" cap="rnd">
              <a:solidFill>
                <a:srgbClr val="FFC000">
                  <a:alpha val="38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2.8164272666529023E-3"/>
                  <c:y val="-2.3038420387316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'Tamaño Mercado'!$A$3:$A$12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Mercado'!$M$3:$M$12</c:f>
              <c:numCache>
                <c:formatCode>##,#00</c:formatCode>
                <c:ptCount val="10"/>
                <c:pt idx="0">
                  <c:v>13049.9</c:v>
                </c:pt>
                <c:pt idx="1">
                  <c:v>13084</c:v>
                </c:pt>
                <c:pt idx="2">
                  <c:v>13010.9</c:v>
                </c:pt>
                <c:pt idx="3">
                  <c:v>12219.6</c:v>
                </c:pt>
                <c:pt idx="4">
                  <c:v>9729.9</c:v>
                </c:pt>
                <c:pt idx="5">
                  <c:v>9413.2000000000007</c:v>
                </c:pt>
                <c:pt idx="6">
                  <c:v>9172.2000000000007</c:v>
                </c:pt>
                <c:pt idx="7">
                  <c:v>8922.7000000000007</c:v>
                </c:pt>
                <c:pt idx="8">
                  <c:v>9239.7000000000007</c:v>
                </c:pt>
                <c:pt idx="9">
                  <c:v>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6-4F84-841C-07417D7C2CCE}"/>
            </c:ext>
          </c:extLst>
        </c:ser>
        <c:ser>
          <c:idx val="2"/>
          <c:order val="1"/>
          <c:tx>
            <c:strRef>
              <c:f>'Tamaño Mercado'!$Q$1</c:f>
              <c:strCache>
                <c:ptCount val="1"/>
                <c:pt idx="0">
                  <c:v>Unidades consumidas ECV + ajuste prev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0"/>
                  <c:y val="3.7963195827515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'Tamaño Mercado'!$A$3:$A$12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Mercado'!$Q$3:$Q$12</c:f>
              <c:numCache>
                <c:formatCode>General</c:formatCode>
                <c:ptCount val="10"/>
                <c:pt idx="2" formatCode="0">
                  <c:v>9523.8719999999994</c:v>
                </c:pt>
                <c:pt idx="3" formatCode="0">
                  <c:v>8208.2279999999992</c:v>
                </c:pt>
                <c:pt idx="4" formatCode="0">
                  <c:v>8302.6319999999996</c:v>
                </c:pt>
                <c:pt idx="5" formatCode="0">
                  <c:v>8229.9599999999991</c:v>
                </c:pt>
                <c:pt idx="6" formatCode="0">
                  <c:v>6259.2240000000002</c:v>
                </c:pt>
                <c:pt idx="7" formatCode="0">
                  <c:v>5844.2903999999999</c:v>
                </c:pt>
                <c:pt idx="8" formatCode="0">
                  <c:v>5473.4879999999994</c:v>
                </c:pt>
                <c:pt idx="9" formatCode="0">
                  <c:v>5933.5559999999996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6-4F84-841C-07417D7C2CCE}"/>
            </c:ext>
          </c:extLst>
        </c:ser>
        <c:ser>
          <c:idx val="3"/>
          <c:order val="2"/>
          <c:tx>
            <c:strRef>
              <c:f>'Tamaño Mercado'!$R$1</c:f>
              <c:strCache>
                <c:ptCount val="1"/>
                <c:pt idx="0">
                  <c:v>Registro impor + produc - expor (unidades reportadas)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0"/>
                  <c:y val="-2.2777917496509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'Tamaño Mercado'!$A$3:$A$12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Mercado'!$R$3:$R$12</c:f>
              <c:numCache>
                <c:formatCode>0</c:formatCode>
                <c:ptCount val="10"/>
                <c:pt idx="0">
                  <c:v>13543.11</c:v>
                </c:pt>
                <c:pt idx="1">
                  <c:v>9174.7800000000007</c:v>
                </c:pt>
                <c:pt idx="2">
                  <c:v>9108.4779999999992</c:v>
                </c:pt>
                <c:pt idx="3">
                  <c:v>9965.3179999999993</c:v>
                </c:pt>
                <c:pt idx="4">
                  <c:v>7770.7619999999997</c:v>
                </c:pt>
                <c:pt idx="5">
                  <c:v>6746.5389999999998</c:v>
                </c:pt>
                <c:pt idx="6">
                  <c:v>5001.0230000000001</c:v>
                </c:pt>
                <c:pt idx="7">
                  <c:v>9349.64</c:v>
                </c:pt>
                <c:pt idx="8">
                  <c:v>10388.57</c:v>
                </c:pt>
                <c:pt idx="9">
                  <c:v>9452.8680000000004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6-4F84-841C-07417D7C2CCE}"/>
            </c:ext>
          </c:extLst>
        </c:ser>
        <c:ser>
          <c:idx val="4"/>
          <c:order val="3"/>
          <c:tx>
            <c:strRef>
              <c:f>'Tamaño Mercado'!$S$1</c:f>
              <c:strCache>
                <c:ptCount val="1"/>
                <c:pt idx="0">
                  <c:v>Registro impor + produc - expor (unidades imputadas Peso Neto)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96-4CFD-80D3-0A414EA9EC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96-4CFD-80D3-0A414EA9EC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96-4CFD-80D3-0A414EA9EC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96-4CFD-80D3-0A414EA9EC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96-4CFD-80D3-0A414EA9EC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96-4CFD-80D3-0A414EA9EC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96-4CFD-80D3-0A414EA9ECC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96-4CFD-80D3-0A414EA9ECCB}"/>
                </c:ext>
              </c:extLst>
            </c:dLbl>
            <c:dLbl>
              <c:idx val="8"/>
              <c:layout>
                <c:manualLayout>
                  <c:x val="0"/>
                  <c:y val="-2.5308797218343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96-4CFD-80D3-0A414EA9ECC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'Tamaño Mercado'!$A$3:$A$12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Mercado'!$S$3:$S$12</c:f>
              <c:numCache>
                <c:formatCode>0</c:formatCode>
                <c:ptCount val="10"/>
                <c:pt idx="0">
                  <c:v>16193.89</c:v>
                </c:pt>
                <c:pt idx="1">
                  <c:v>16175.96</c:v>
                </c:pt>
                <c:pt idx="2">
                  <c:v>17901.78</c:v>
                </c:pt>
                <c:pt idx="3">
                  <c:v>15418</c:v>
                </c:pt>
                <c:pt idx="4">
                  <c:v>11482.69</c:v>
                </c:pt>
                <c:pt idx="5">
                  <c:v>11472.95</c:v>
                </c:pt>
                <c:pt idx="6">
                  <c:v>10268.629999999999</c:v>
                </c:pt>
                <c:pt idx="7">
                  <c:v>11248.42</c:v>
                </c:pt>
                <c:pt idx="8">
                  <c:v>12812.3</c:v>
                </c:pt>
                <c:pt idx="9">
                  <c:v>12329.65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6-4F84-841C-07417D7C2CCE}"/>
            </c:ext>
          </c:extLst>
        </c:ser>
        <c:ser>
          <c:idx val="5"/>
          <c:order val="4"/>
          <c:tx>
            <c:strRef>
              <c:f>'Tamaño Mercado'!$T$1</c:f>
              <c:strCache>
                <c:ptCount val="1"/>
                <c:pt idx="0">
                  <c:v>Unidades consumidas con ENCSP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2.3907793652818633E-2"/>
                  <c:y val="3.7963195827515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'Tamaño Mercado'!$A$3:$A$12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Mercado'!$T$3:$T$12</c:f>
              <c:numCache>
                <c:formatCode>General</c:formatCode>
                <c:ptCount val="10"/>
                <c:pt idx="5">
                  <c:v>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7-4633-B49B-204B4131945B}"/>
            </c:ext>
          </c:extLst>
        </c:ser>
        <c:ser>
          <c:idx val="6"/>
          <c:order val="5"/>
          <c:tx>
            <c:strRef>
              <c:f>'Tamaño Mercado'!$U$1</c:f>
              <c:strCache>
                <c:ptCount val="1"/>
                <c:pt idx="0">
                  <c:v>Mercado Ecuador (Euromonitor)</c:v>
                </c:pt>
              </c:strCache>
            </c:strRef>
          </c:tx>
          <c:spPr>
            <a:ln w="76200" cap="rnd">
              <a:solidFill>
                <a:srgbClr val="7030A0">
                  <a:alpha val="38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0"/>
                  <c:y val="-3.0370556662012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'Tamaño Mercado'!$A$3:$A$12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'Tamaño Mercado'!$U$3:$U$12</c:f>
              <c:numCache>
                <c:formatCode>General</c:formatCode>
                <c:ptCount val="10"/>
                <c:pt idx="0" formatCode="#,##0">
                  <c:v>2102</c:v>
                </c:pt>
                <c:pt idx="1">
                  <c:v>1569</c:v>
                </c:pt>
                <c:pt idx="2">
                  <c:v>1092</c:v>
                </c:pt>
                <c:pt idx="3">
                  <c:v>919</c:v>
                </c:pt>
                <c:pt idx="4">
                  <c:v>836</c:v>
                </c:pt>
                <c:pt idx="5">
                  <c:v>747.5</c:v>
                </c:pt>
                <c:pt idx="6">
                  <c:v>469.4</c:v>
                </c:pt>
                <c:pt idx="7">
                  <c:v>490.7</c:v>
                </c:pt>
                <c:pt idx="8">
                  <c:v>451.9</c:v>
                </c:pt>
                <c:pt idx="9">
                  <c:v>400.2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F-4E6E-88D8-71F4DC4D97B8}"/>
            </c:ext>
          </c:extLst>
        </c:ser>
        <c:ser>
          <c:idx val="7"/>
          <c:order val="6"/>
          <c:tx>
            <c:strRef>
              <c:f>'Tamaño Mercado'!$K$1</c:f>
              <c:strCache>
                <c:ptCount val="1"/>
                <c:pt idx="0">
                  <c:v>Registro de unidades imputado por rec impuesto específico (CHIP)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8"/>
            <c:marker>
              <c:symbol val="diamond"/>
              <c:size val="5"/>
              <c:spPr>
                <a:solidFill>
                  <a:schemeClr val="accent6"/>
                </a:solidFill>
                <a:ln w="9525">
                  <a:solidFill>
                    <a:schemeClr val="accent2">
                      <a:lumMod val="60000"/>
                    </a:schemeClr>
                  </a:solidFill>
                  <a:prstDash val="lg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96-4CFD-80D3-0A414EA9ECCB}"/>
              </c:ext>
            </c:extLst>
          </c:dPt>
          <c:dLbls>
            <c:dLbl>
              <c:idx val="8"/>
              <c:layout>
                <c:manualLayout>
                  <c:x val="3.3086383858845097E-3"/>
                  <c:y val="-1.2654398609171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'Tamaño Mercado'!$K$3:$K$12</c:f>
              <c:numCache>
                <c:formatCode>0</c:formatCode>
                <c:ptCount val="10"/>
                <c:pt idx="1">
                  <c:v>10527.532478482548</c:v>
                </c:pt>
                <c:pt idx="2">
                  <c:v>10567.575144850214</c:v>
                </c:pt>
                <c:pt idx="3">
                  <c:v>6209.4913743428569</c:v>
                </c:pt>
                <c:pt idx="4">
                  <c:v>5536.5952646563801</c:v>
                </c:pt>
                <c:pt idx="5">
                  <c:v>7309.8175956671103</c:v>
                </c:pt>
                <c:pt idx="6">
                  <c:v>7074.0943903082316</c:v>
                </c:pt>
                <c:pt idx="7">
                  <c:v>6286.8749339975029</c:v>
                </c:pt>
                <c:pt idx="8">
                  <c:v>6237.5306266365706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4764-944B-23336C9C86E1}"/>
            </c:ext>
          </c:extLst>
        </c:ser>
        <c:ser>
          <c:idx val="1"/>
          <c:order val="7"/>
          <c:tx>
            <c:strRef>
              <c:f>'Tamaño Mercado'!$L$1</c:f>
              <c:strCache>
                <c:ptCount val="1"/>
                <c:pt idx="0">
                  <c:v>Registro de unidades imputado por rec impuesto específico (ADRES)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8"/>
            <c:marker>
              <c:symbol val="square"/>
              <c:size val="5"/>
              <c:spPr>
                <a:solidFill>
                  <a:schemeClr val="accent6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296-4CFD-80D3-0A414EA9ECCB}"/>
              </c:ext>
            </c:extLst>
          </c:dPt>
          <c:dLbls>
            <c:dLbl>
              <c:idx val="8"/>
              <c:layout>
                <c:manualLayout>
                  <c:x val="-5.6328545333059078E-3"/>
                  <c:y val="2.2879882617995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96-4CFD-80D3-0A414EA9EC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'Tamaño Mercado'!$L$3:$L$12</c:f>
              <c:numCache>
                <c:formatCode>0</c:formatCode>
                <c:ptCount val="10"/>
                <c:pt idx="4">
                  <c:v>6683.1223809523808</c:v>
                </c:pt>
                <c:pt idx="5">
                  <c:v>5378.9541944074572</c:v>
                </c:pt>
                <c:pt idx="6">
                  <c:v>8188.9124279835387</c:v>
                </c:pt>
                <c:pt idx="7">
                  <c:v>9085.6613343737827</c:v>
                </c:pt>
                <c:pt idx="8">
                  <c:v>8918.9121428571416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96-4CFD-80D3-0A414EA9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75120"/>
        <c:axId val="833278864"/>
      </c:lineChart>
      <c:catAx>
        <c:axId val="8332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278864"/>
        <c:crosses val="autoZero"/>
        <c:auto val="1"/>
        <c:lblAlgn val="ctr"/>
        <c:lblOffset val="100"/>
        <c:noMultiLvlLbl val="0"/>
      </c:catAx>
      <c:valAx>
        <c:axId val="8332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de cigarrillos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2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Figura 5: prevalencia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'Tamaño Mercado'!$B$1</c:f>
              <c:strCache>
                <c:ptCount val="1"/>
                <c:pt idx="0">
                  <c:v>Prevalencia ECV</c:v>
                </c:pt>
              </c:strCache>
            </c:strRef>
          </c:tx>
          <c:spPr>
            <a:ln w="63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rgbClr val="C00000"/>
                </a:solidFill>
                <a:prstDash val="lg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'Tamaño Mercado'!$F$2:$F$12</c:f>
                <c:numCache>
                  <c:formatCode>General</c:formatCode>
                  <c:ptCount val="11"/>
                  <c:pt idx="3">
                    <c:v>0.216030416</c:v>
                  </c:pt>
                  <c:pt idx="4">
                    <c:v>0.27052762799999996</c:v>
                  </c:pt>
                  <c:pt idx="5">
                    <c:v>0.1054774</c:v>
                  </c:pt>
                  <c:pt idx="6">
                    <c:v>0.103910576</c:v>
                  </c:pt>
                  <c:pt idx="7">
                    <c:v>9.5291868000000002E-2</c:v>
                  </c:pt>
                  <c:pt idx="8">
                    <c:v>9.5599195999999997E-2</c:v>
                  </c:pt>
                  <c:pt idx="9">
                    <c:v>9.5670539999999998E-2</c:v>
                  </c:pt>
                  <c:pt idx="10">
                    <c:v>0.10390371599999999</c:v>
                  </c:pt>
                </c:numCache>
              </c:numRef>
            </c:plus>
            <c:minus>
              <c:numRef>
                <c:f>'Tamaño Mercado'!$F$2:$F$12</c:f>
                <c:numCache>
                  <c:formatCode>General</c:formatCode>
                  <c:ptCount val="11"/>
                  <c:pt idx="3">
                    <c:v>0.216030416</c:v>
                  </c:pt>
                  <c:pt idx="4">
                    <c:v>0.27052762799999996</c:v>
                  </c:pt>
                  <c:pt idx="5">
                    <c:v>0.1054774</c:v>
                  </c:pt>
                  <c:pt idx="6">
                    <c:v>0.103910576</c:v>
                  </c:pt>
                  <c:pt idx="7">
                    <c:v>9.5291868000000002E-2</c:v>
                  </c:pt>
                  <c:pt idx="8">
                    <c:v>9.5599195999999997E-2</c:v>
                  </c:pt>
                  <c:pt idx="9">
                    <c:v>9.5670539999999998E-2</c:v>
                  </c:pt>
                  <c:pt idx="10">
                    <c:v>0.10390371599999999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'Tamaño Mercado'!$A$2:$A$12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'Tamaño Mercado'!$B$2:$B$12</c:f>
              <c:numCache>
                <c:formatCode>General</c:formatCode>
                <c:ptCount val="11"/>
                <c:pt idx="3" formatCode="0.0">
                  <c:v>8.2851110000000006</c:v>
                </c:pt>
                <c:pt idx="4" formatCode="0.0">
                  <c:v>7.0234920000000001</c:v>
                </c:pt>
                <c:pt idx="5" formatCode="0.0">
                  <c:v>7.3860140000000003</c:v>
                </c:pt>
                <c:pt idx="6" formatCode="0.0">
                  <c:v>7.3215240000000001</c:v>
                </c:pt>
                <c:pt idx="7" formatCode="0.0">
                  <c:v>5.6321190000000003</c:v>
                </c:pt>
                <c:pt idx="8" formatCode="0.0">
                  <c:v>5.4879030000000002</c:v>
                </c:pt>
                <c:pt idx="9" formatCode="0.0">
                  <c:v>5.3728600000000002</c:v>
                </c:pt>
                <c:pt idx="10" formatCode="0.0">
                  <c:v>6.1300790000000003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7-4915-8C6F-BE57E938DFE3}"/>
            </c:ext>
          </c:extLst>
        </c:ser>
        <c:ser>
          <c:idx val="1"/>
          <c:order val="1"/>
          <c:tx>
            <c:strRef>
              <c:f>'Tamaño Mercado'!$C$1</c:f>
              <c:strCache>
                <c:ptCount val="1"/>
                <c:pt idx="0">
                  <c:v>Prevalencia ECV con ajuste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solidFill>
                  <a:srgbClr val="C0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1462052683394964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4-40E9-A6FA-079FD5E0D011}"/>
                </c:ext>
              </c:extLst>
            </c:dLbl>
            <c:dLbl>
              <c:idx val="4"/>
              <c:layout>
                <c:manualLayout>
                  <c:x val="-2.1462052683394909E-2"/>
                  <c:y val="-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74-40E9-A6FA-079FD5E0D011}"/>
                </c:ext>
              </c:extLst>
            </c:dLbl>
            <c:dLbl>
              <c:idx val="5"/>
              <c:layout>
                <c:manualLayout>
                  <c:x val="-2.2970278451729057E-2"/>
                  <c:y val="-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74-40E9-A6FA-079FD5E0D011}"/>
                </c:ext>
              </c:extLst>
            </c:dLbl>
            <c:dLbl>
              <c:idx val="6"/>
              <c:layout>
                <c:manualLayout>
                  <c:x val="2.6695596099514398E-3"/>
                  <c:y val="-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74-40E9-A6FA-079FD5E0D011}"/>
                </c:ext>
              </c:extLst>
            </c:dLbl>
            <c:dLbl>
              <c:idx val="7"/>
              <c:layout>
                <c:manualLayout>
                  <c:x val="-2.2970278451729168E-2"/>
                  <c:y val="-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74-40E9-A6FA-079FD5E0D011}"/>
                </c:ext>
              </c:extLst>
            </c:dLbl>
            <c:dLbl>
              <c:idx val="8"/>
              <c:layout>
                <c:manualLayout>
                  <c:x val="-2.1462052683394909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74-40E9-A6FA-079FD5E0D011}"/>
                </c:ext>
              </c:extLst>
            </c:dLbl>
            <c:dLbl>
              <c:idx val="9"/>
              <c:layout>
                <c:manualLayout>
                  <c:x val="-2.1462052683394909E-2"/>
                  <c:y val="-6.2534631087780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74-40E9-A6FA-079FD5E0D011}"/>
                </c:ext>
              </c:extLst>
            </c:dLbl>
            <c:dLbl>
              <c:idx val="10"/>
              <c:layout>
                <c:manualLayout>
                  <c:x val="-2.1462052683394909E-2"/>
                  <c:y val="-5.327537182852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74-40E9-A6FA-079FD5E0D0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'Tamaño Mercado'!$F$2:$F$12</c:f>
                <c:numCache>
                  <c:formatCode>General</c:formatCode>
                  <c:ptCount val="11"/>
                  <c:pt idx="3">
                    <c:v>0.216030416</c:v>
                  </c:pt>
                  <c:pt idx="4">
                    <c:v>0.27052762799999996</c:v>
                  </c:pt>
                  <c:pt idx="5">
                    <c:v>0.1054774</c:v>
                  </c:pt>
                  <c:pt idx="6">
                    <c:v>0.103910576</c:v>
                  </c:pt>
                  <c:pt idx="7">
                    <c:v>9.5291868000000002E-2</c:v>
                  </c:pt>
                  <c:pt idx="8">
                    <c:v>9.5599195999999997E-2</c:v>
                  </c:pt>
                  <c:pt idx="9">
                    <c:v>9.5670539999999998E-2</c:v>
                  </c:pt>
                  <c:pt idx="10">
                    <c:v>0.10390371599999999</c:v>
                  </c:pt>
                </c:numCache>
              </c:numRef>
            </c:plus>
            <c:minus>
              <c:numRef>
                <c:f>'Tamaño Mercado'!$F$2:$F$12</c:f>
                <c:numCache>
                  <c:formatCode>General</c:formatCode>
                  <c:ptCount val="11"/>
                  <c:pt idx="3">
                    <c:v>0.216030416</c:v>
                  </c:pt>
                  <c:pt idx="4">
                    <c:v>0.27052762799999996</c:v>
                  </c:pt>
                  <c:pt idx="5">
                    <c:v>0.1054774</c:v>
                  </c:pt>
                  <c:pt idx="6">
                    <c:v>0.103910576</c:v>
                  </c:pt>
                  <c:pt idx="7">
                    <c:v>9.5291868000000002E-2</c:v>
                  </c:pt>
                  <c:pt idx="8">
                    <c:v>9.5599195999999997E-2</c:v>
                  </c:pt>
                  <c:pt idx="9">
                    <c:v>9.5670539999999998E-2</c:v>
                  </c:pt>
                  <c:pt idx="10">
                    <c:v>0.10390371599999999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'Tamaño Mercado'!$A$2:$A$12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'Tamaño Mercado'!$C$2:$C$12</c:f>
              <c:numCache>
                <c:formatCode>General</c:formatCode>
                <c:ptCount val="11"/>
                <c:pt idx="3" formatCode="0.0">
                  <c:v>9.9421332000000007</c:v>
                </c:pt>
                <c:pt idx="4" formatCode="0.0">
                  <c:v>8.4281904000000001</c:v>
                </c:pt>
                <c:pt idx="5" formatCode="0.0">
                  <c:v>8.8632168</c:v>
                </c:pt>
                <c:pt idx="6" formatCode="0.0">
                  <c:v>8.7858287999999991</c:v>
                </c:pt>
                <c:pt idx="7" formatCode="0.0">
                  <c:v>6.7585427999999999</c:v>
                </c:pt>
                <c:pt idx="8" formatCode="0.0">
                  <c:v>6.5854835999999999</c:v>
                </c:pt>
                <c:pt idx="9" formatCode="0.0">
                  <c:v>6.4474320000000001</c:v>
                </c:pt>
                <c:pt idx="10" formatCode="0.0">
                  <c:v>7.3560948000000002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4-40E9-A6FA-079FD5E0D011}"/>
            </c:ext>
          </c:extLst>
        </c:ser>
        <c:ser>
          <c:idx val="2"/>
          <c:order val="2"/>
          <c:tx>
            <c:strRef>
              <c:f>'Tamaño Mercado'!$D$1</c:f>
              <c:strCache>
                <c:ptCount val="1"/>
                <c:pt idx="0">
                  <c:v>Prevalencia ENSCPA (12-65 años)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3"/>
                </a:solidFill>
                <a:ln w="25400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774-40E9-A6FA-079FD5E0D011}"/>
              </c:ext>
            </c:extLst>
          </c:dPt>
          <c:dLbls>
            <c:dLbl>
              <c:idx val="6"/>
              <c:layout>
                <c:manualLayout>
                  <c:x val="-1.8458170385451462E-2"/>
                  <c:y val="-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4-40E9-A6FA-079FD5E0D0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'Tamaño Mercado'!$G$2:$G$12</c:f>
                <c:numCache>
                  <c:formatCode>General</c:formatCode>
                  <c:ptCount val="11"/>
                  <c:pt idx="0">
                    <c:v>0.65000000000000036</c:v>
                  </c:pt>
                  <c:pt idx="6">
                    <c:v>0.4</c:v>
                  </c:pt>
                </c:numCache>
              </c:numRef>
            </c:plus>
            <c:minus>
              <c:numRef>
                <c:f>'Tamaño Mercado'!$G$2:$G$12</c:f>
                <c:numCache>
                  <c:formatCode>General</c:formatCode>
                  <c:ptCount val="11"/>
                  <c:pt idx="0">
                    <c:v>0.65000000000000036</c:v>
                  </c:pt>
                  <c:pt idx="6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'Tamaño Mercado'!$A$2:$A$12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'Tamaño Mercado'!$D$2:$D$12</c:f>
              <c:numCache>
                <c:formatCode>General</c:formatCode>
                <c:ptCount val="11"/>
                <c:pt idx="0">
                  <c:v>12.95</c:v>
                </c:pt>
                <c:pt idx="6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4-40E9-A6FA-079FD5E0D01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9274960"/>
        <c:axId val="779292240"/>
      </c:lineChart>
      <c:catAx>
        <c:axId val="7792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292240"/>
        <c:crosses val="autoZero"/>
        <c:auto val="1"/>
        <c:lblAlgn val="ctr"/>
        <c:lblOffset val="100"/>
        <c:noMultiLvlLbl val="0"/>
      </c:catAx>
      <c:valAx>
        <c:axId val="77929224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de la población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2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33337</xdr:rowOff>
    </xdr:from>
    <xdr:to>
      <xdr:col>8</xdr:col>
      <xdr:colOff>628650</xdr:colOff>
      <xdr:row>33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1B45FE-4133-8287-984D-3B0A117C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752474</xdr:colOff>
      <xdr:row>16</xdr:row>
      <xdr:rowOff>61912</xdr:rowOff>
    </xdr:from>
    <xdr:to>
      <xdr:col>20</xdr:col>
      <xdr:colOff>152399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3AF3E0-F5BC-F401-87C0-73AE15B575A1}"/>
            </a:ext>
            <a:ext uri="{147F2762-F138-4A5C-976F-8EAC2B608ADB}">
              <a16:predDERef xmlns:a16="http://schemas.microsoft.com/office/drawing/2014/main" pred="{281B45FE-4133-8287-984D-3B0A117C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593481</xdr:colOff>
      <xdr:row>52</xdr:row>
      <xdr:rowOff>121885</xdr:rowOff>
    </xdr:from>
    <xdr:to>
      <xdr:col>8</xdr:col>
      <xdr:colOff>517281</xdr:colOff>
      <xdr:row>67</xdr:row>
      <xdr:rowOff>20146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F93CD4-EA63-B743-CF1C-BED304C4052A}"/>
            </a:ext>
            <a:ext uri="{147F2762-F138-4A5C-976F-8EAC2B608ADB}">
              <a16:predDERef xmlns:a16="http://schemas.microsoft.com/office/drawing/2014/main" pred="{433AF3E0-F5BC-F401-87C0-73AE15B57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733425</xdr:colOff>
      <xdr:row>34</xdr:row>
      <xdr:rowOff>104775</xdr:rowOff>
    </xdr:from>
    <xdr:to>
      <xdr:col>20</xdr:col>
      <xdr:colOff>142875</xdr:colOff>
      <xdr:row>48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528387-C8A1-4638-B04E-D292D7FD6CDD}"/>
            </a:ext>
            <a:ext uri="{147F2762-F138-4A5C-976F-8EAC2B608ADB}">
              <a16:predDERef xmlns:a16="http://schemas.microsoft.com/office/drawing/2014/main" pred="{FEF93CD4-EA63-B743-CF1C-BED304C4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333374</xdr:colOff>
      <xdr:row>16</xdr:row>
      <xdr:rowOff>29935</xdr:rowOff>
    </xdr:from>
    <xdr:to>
      <xdr:col>25</xdr:col>
      <xdr:colOff>421822</xdr:colOff>
      <xdr:row>33</xdr:row>
      <xdr:rowOff>81643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30BD50-1C69-4486-8933-F723D54D689F}"/>
            </a:ext>
            <a:ext uri="{147F2762-F138-4A5C-976F-8EAC2B608ADB}">
              <a16:predDERef xmlns:a16="http://schemas.microsoft.com/office/drawing/2014/main" pred="{C0528387-C8A1-4638-B04E-D292D7FD6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575687</xdr:colOff>
      <xdr:row>34</xdr:row>
      <xdr:rowOff>10467</xdr:rowOff>
    </xdr:from>
    <xdr:to>
      <xdr:col>8</xdr:col>
      <xdr:colOff>575687</xdr:colOff>
      <xdr:row>51</xdr:row>
      <xdr:rowOff>139055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1FA001-9CDE-4C2F-BC71-83BBF30C330A}"/>
            </a:ext>
            <a:ext uri="{147F2762-F138-4A5C-976F-8EAC2B608ADB}">
              <a16:predDERef xmlns:a16="http://schemas.microsoft.com/office/drawing/2014/main" pred="{8730BD50-1C69-4486-8933-F723D54D6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104775</xdr:rowOff>
    </xdr:from>
    <xdr:to>
      <xdr:col>12</xdr:col>
      <xdr:colOff>600075</xdr:colOff>
      <xdr:row>23</xdr:row>
      <xdr:rowOff>57150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C35B0CC8-770B-1A1E-C762-8FD55D73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1123951</xdr:colOff>
      <xdr:row>13</xdr:row>
      <xdr:rowOff>9525</xdr:rowOff>
    </xdr:from>
    <xdr:to>
      <xdr:col>27</xdr:col>
      <xdr:colOff>836544</xdr:colOff>
      <xdr:row>33</xdr:row>
      <xdr:rowOff>33130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6610DD-3839-4829-B982-A1D6A3AB7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528277</xdr:colOff>
      <xdr:row>24</xdr:row>
      <xdr:rowOff>131589</xdr:rowOff>
    </xdr:from>
    <xdr:to>
      <xdr:col>19</xdr:col>
      <xdr:colOff>136071</xdr:colOff>
      <xdr:row>39</xdr:row>
      <xdr:rowOff>17289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EF1AA-D396-976E-7A78-E8E8A45ED9D1}"/>
            </a:ext>
            <a:ext uri="{147F2762-F138-4A5C-976F-8EAC2B608ADB}">
              <a16:predDERef xmlns:a16="http://schemas.microsoft.com/office/drawing/2014/main" pred="{C66610DD-3839-4829-B982-A1D6A3AB7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11</xdr:row>
      <xdr:rowOff>71437</xdr:rowOff>
    </xdr:from>
    <xdr:to>
      <xdr:col>8</xdr:col>
      <xdr:colOff>752475</xdr:colOff>
      <xdr:row>33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2AC059-716A-20D7-6E04-70B186E2D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12</xdr:row>
      <xdr:rowOff>100012</xdr:rowOff>
    </xdr:from>
    <xdr:to>
      <xdr:col>8</xdr:col>
      <xdr:colOff>485775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B5A7A9-4308-F6B1-580A-C1390BAF6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636156</xdr:colOff>
      <xdr:row>28</xdr:row>
      <xdr:rowOff>144752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344BB6-1C10-4D0C-8C3E-5A1A24724B88}"/>
            </a:ext>
            <a:ext uri="{147F2762-F138-4A5C-976F-8EAC2B608ADB}">
              <a16:predDERef xmlns:a16="http://schemas.microsoft.com/office/drawing/2014/main" pred="{2CB5A7A9-4308-F6B1-580A-C1390BAF6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12</xdr:row>
      <xdr:rowOff>180975</xdr:rowOff>
    </xdr:from>
    <xdr:to>
      <xdr:col>6</xdr:col>
      <xdr:colOff>9525</xdr:colOff>
      <xdr:row>27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E806B-F26F-9140-FD3F-2DF4EEBC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19050</xdr:rowOff>
    </xdr:from>
    <xdr:to>
      <xdr:col>6</xdr:col>
      <xdr:colOff>38100</xdr:colOff>
      <xdr:row>42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61EE94-F89C-A881-0939-DD4D55C55F53}"/>
            </a:ext>
            <a:ext uri="{147F2762-F138-4A5C-976F-8EAC2B608ADB}">
              <a16:predDERef xmlns:a16="http://schemas.microsoft.com/office/drawing/2014/main" pred="{8FBE806B-F26F-9140-FD3F-2DF4EEBC8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169333</xdr:rowOff>
    </xdr:from>
    <xdr:to>
      <xdr:col>3</xdr:col>
      <xdr:colOff>438785</xdr:colOff>
      <xdr:row>31</xdr:row>
      <xdr:rowOff>4233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1E1F39-1783-4DA9-B6E6-F0248CED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712303</xdr:colOff>
      <xdr:row>17</xdr:row>
      <xdr:rowOff>44726</xdr:rowOff>
    </xdr:from>
    <xdr:to>
      <xdr:col>9</xdr:col>
      <xdr:colOff>223629</xdr:colOff>
      <xdr:row>33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D95469-136A-EBFF-E09C-ECE8138A4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16566</xdr:colOff>
      <xdr:row>17</xdr:row>
      <xdr:rowOff>16566</xdr:rowOff>
    </xdr:from>
    <xdr:to>
      <xdr:col>17</xdr:col>
      <xdr:colOff>240196</xdr:colOff>
      <xdr:row>32</xdr:row>
      <xdr:rowOff>26505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BCBF91-A86D-0D07-0C29-33E173F0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redu.sharepoint.com/sites/ControlTabacoFacultadEconomica/Documentos%20compartidos/Monitoreo/Vapeadores_ECV/base_vapeadores.xlsx" TargetMode="External"/><Relationship Id="rId1" Type="http://schemas.openxmlformats.org/officeDocument/2006/relationships/externalLinkPath" Target="Vapeadores_ECV/base_vapea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a dinámica"/>
      <sheetName val="datos"/>
      <sheetName val="Gráficos"/>
      <sheetName val="IHH"/>
    </sheetNames>
    <sheetDataSet>
      <sheetData sheetId="0"/>
      <sheetData sheetId="1"/>
      <sheetData sheetId="2">
        <row r="2">
          <cell r="B2" t="str">
            <v xml:space="preserve">Productos con tabaco (2404110000) </v>
          </cell>
          <cell r="C2" t="str">
            <v>Productos que contengan nicotina (2404120000)</v>
          </cell>
          <cell r="D2" t="str">
            <v>Otros productos (2404190000)</v>
          </cell>
          <cell r="E2" t="str">
            <v>Productos para administración por via oral (2404910000)</v>
          </cell>
        </row>
        <row r="3">
          <cell r="A3">
            <v>2022</v>
          </cell>
          <cell r="B3">
            <v>6591.4369444404983</v>
          </cell>
          <cell r="C3">
            <v>61209.912447067487</v>
          </cell>
          <cell r="D3">
            <v>9048.4557852929993</v>
          </cell>
          <cell r="E3">
            <v>224.27438783999997</v>
          </cell>
        </row>
        <row r="4">
          <cell r="A4">
            <v>2023</v>
          </cell>
          <cell r="B4">
            <v>20236.723411766099</v>
          </cell>
          <cell r="C4">
            <v>43055.644865452101</v>
          </cell>
          <cell r="D4">
            <v>999.45003136740002</v>
          </cell>
          <cell r="E4">
            <v>227.07444587039998</v>
          </cell>
        </row>
        <row r="7">
          <cell r="B7" t="str">
            <v xml:space="preserve">Productos con tabaco (2404110000) </v>
          </cell>
          <cell r="C7" t="str">
            <v>Productos que contengan nicotina (2404120000)</v>
          </cell>
          <cell r="D7" t="str">
            <v>Otros productos (2404190000)</v>
          </cell>
          <cell r="E7" t="str">
            <v>Productos para administración por via oral (2404910000)</v>
          </cell>
        </row>
        <row r="8">
          <cell r="A8">
            <v>2022</v>
          </cell>
          <cell r="B8">
            <v>61747.929999999986</v>
          </cell>
          <cell r="C8">
            <v>175725.62</v>
          </cell>
          <cell r="D8">
            <v>28938.770000000004</v>
          </cell>
          <cell r="E8">
            <v>1042.6499999999999</v>
          </cell>
        </row>
        <row r="9">
          <cell r="A9">
            <v>2023</v>
          </cell>
          <cell r="B9">
            <v>194319.84999999998</v>
          </cell>
          <cell r="C9">
            <v>106972.69000000002</v>
          </cell>
          <cell r="D9">
            <v>4926.8999999999996</v>
          </cell>
          <cell r="E9">
            <v>1029.47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ul Andres Rodriguez Lesmes" id="{8CC2E28D-5BD3-4749-B9DC-FEF21C16D74D}" userId="S::paul.rodriguez@urosario.edu.co::80d01487-a1dc-40d7-bced-aeabbe3003c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5-31T03:49:24.59" personId="{8CC2E28D-5BD3-4749-B9DC-FEF21C16D74D}" id="{FA969830-C42B-49D3-BC48-3841240C60AF}">
    <text>Nos da bien diferente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2792-3B0B-4941-8097-CBF9760F73FE}">
  <dimension ref="A1:AB16"/>
  <sheetViews>
    <sheetView topLeftCell="H1" zoomScale="84" zoomScaleNormal="115" workbookViewId="0">
      <selection activeCell="O10" sqref="O10"/>
    </sheetView>
  </sheetViews>
  <sheetFormatPr baseColWidth="10" defaultColWidth="11.44140625" defaultRowHeight="14.4" x14ac:dyDescent="0.3"/>
  <cols>
    <col min="4" max="5" width="12.5546875" customWidth="1"/>
    <col min="15" max="15" width="14.6640625" customWidth="1"/>
    <col min="16" max="16" width="13.109375" bestFit="1" customWidth="1"/>
    <col min="18" max="18" width="11.88671875" customWidth="1"/>
    <col min="19" max="19" width="12.44140625" bestFit="1" customWidth="1"/>
    <col min="20" max="20" width="12.109375" bestFit="1" customWidth="1"/>
    <col min="22" max="24" width="13.88671875" customWidth="1"/>
    <col min="25" max="27" width="13.6640625" customWidth="1"/>
  </cols>
  <sheetData>
    <row r="1" spans="1:28" ht="72" x14ac:dyDescent="0.3">
      <c r="A1" t="s">
        <v>0</v>
      </c>
      <c r="B1" t="s">
        <v>1</v>
      </c>
      <c r="C1" s="10" t="s">
        <v>2</v>
      </c>
      <c r="D1" s="9" t="s">
        <v>3</v>
      </c>
      <c r="E1" s="9" t="s">
        <v>4</v>
      </c>
      <c r="F1" s="5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t="s">
        <v>27</v>
      </c>
    </row>
    <row r="2" spans="1:28" x14ac:dyDescent="0.3">
      <c r="A2">
        <v>2015</v>
      </c>
      <c r="B2" s="38">
        <v>88.05</v>
      </c>
      <c r="C2" s="1">
        <v>60.73</v>
      </c>
      <c r="D2" s="6">
        <v>2709</v>
      </c>
      <c r="E2" s="6">
        <f>D2/(B2/100)</f>
        <v>3076.6609880749575</v>
      </c>
      <c r="F2" s="6">
        <v>2421</v>
      </c>
      <c r="G2" s="6">
        <f>D2-D2/1.16</f>
        <v>373.65517241379303</v>
      </c>
      <c r="H2" s="6">
        <v>659</v>
      </c>
      <c r="I2" s="6">
        <f t="shared" ref="I2:I10" si="0">F2*0.1</f>
        <v>242.10000000000002</v>
      </c>
      <c r="J2" s="6">
        <f t="shared" ref="J2:J10" si="1">D2-(G2+H2+I2)</f>
        <v>1434.2448275862071</v>
      </c>
      <c r="K2" s="6">
        <f>E2-E2/1.16</f>
        <v>424.36703283792485</v>
      </c>
      <c r="L2" s="6">
        <f>H2/(B2/100)</f>
        <v>748.43838727995467</v>
      </c>
      <c r="M2" s="6">
        <f>F2*0.1</f>
        <v>242.10000000000002</v>
      </c>
      <c r="N2" s="6">
        <f>E2-(K2+L2+M2)</f>
        <v>1661.7555679570778</v>
      </c>
      <c r="O2" s="6">
        <v>17077602.800000001</v>
      </c>
      <c r="P2" s="6">
        <v>644350</v>
      </c>
      <c r="Q2" s="6">
        <v>1276.5</v>
      </c>
      <c r="R2" s="13">
        <f t="shared" ref="R2:R9" si="2">D2/Q2</f>
        <v>2.1222091656874267</v>
      </c>
      <c r="S2">
        <f>IF(R2&lt;2,0,IF(R2&lt;4,1,IF(R2&lt;6,2,IF(R2&lt;8,3,IF(R2&lt;10,4,5)))))</f>
        <v>1</v>
      </c>
      <c r="T2" s="12">
        <v>0.75</v>
      </c>
      <c r="U2" s="8">
        <f t="shared" ref="U2:U10" si="3">(G2+H2+I2)/D2</f>
        <v>0.47056300199844703</v>
      </c>
      <c r="V2" s="8">
        <f t="shared" ref="V2:V10" si="4">(H2+I2)/D2</f>
        <v>0.33263196751568846</v>
      </c>
      <c r="W2">
        <f>IF(U2&lt;0.35,0,IF(U2&lt;0.45,1,IF(U2&lt;0.55,2,IF(U2&lt;0.65,3,IF(U2&lt;0.75,4,5)))))</f>
        <v>2</v>
      </c>
      <c r="X2">
        <f>IF(V2&lt;0.3,0,IF(V2&lt;0.4,1,IF(V2&lt;0.5,2,IF(V2&lt;0.6,3,IF(V2&lt;0.7,4,5)))))</f>
        <v>1</v>
      </c>
      <c r="Y2" s="8">
        <f>2000*(D2/20)/O2</f>
        <v>1.5862882113641851E-2</v>
      </c>
      <c r="Z2" s="8">
        <f>2000*(D2/20)/(P2*12)</f>
        <v>3.5035306898424767E-2</v>
      </c>
      <c r="AA2" s="11">
        <f t="shared" ref="AA2:AA10" si="5">F2/(P2/(48*4*60))</f>
        <v>43.283805385271982</v>
      </c>
    </row>
    <row r="3" spans="1:28" x14ac:dyDescent="0.3">
      <c r="A3">
        <v>2016</v>
      </c>
      <c r="B3" s="38">
        <v>93.11</v>
      </c>
      <c r="C3" s="1">
        <v>65.34</v>
      </c>
      <c r="D3" s="6">
        <v>3105</v>
      </c>
      <c r="E3" s="6">
        <f t="shared" ref="E3:E10" si="6">D3/(B3/100)</f>
        <v>3334.7653313285359</v>
      </c>
      <c r="F3" s="6">
        <f>D2</f>
        <v>2709</v>
      </c>
      <c r="G3" s="6">
        <f>D3-D3/1.16</f>
        <v>428.27586206896513</v>
      </c>
      <c r="H3" s="6">
        <v>701</v>
      </c>
      <c r="I3" s="6">
        <f t="shared" si="0"/>
        <v>270.90000000000003</v>
      </c>
      <c r="J3" s="6">
        <f t="shared" si="1"/>
        <v>1704.8241379310348</v>
      </c>
      <c r="K3" s="6">
        <f t="shared" ref="K3:K10" si="7">E3-E3/1.16</f>
        <v>459.9676319073842</v>
      </c>
      <c r="L3" s="6">
        <f t="shared" ref="L3:L10" si="8">H3/(B3/100)</f>
        <v>752.87294597787559</v>
      </c>
      <c r="M3" s="6">
        <f t="shared" ref="M3:M10" si="9">F3*0.1</f>
        <v>270.90000000000003</v>
      </c>
      <c r="N3" s="6">
        <f t="shared" ref="N3:N10" si="10">E3-(K3+L3+M3)</f>
        <v>1851.024753443276</v>
      </c>
      <c r="O3" s="6">
        <v>18136791.199999999</v>
      </c>
      <c r="P3" s="6">
        <v>689455</v>
      </c>
      <c r="Q3" s="6">
        <v>1298.0999999999999</v>
      </c>
      <c r="R3" s="13">
        <f t="shared" si="2"/>
        <v>2.3919574763115325</v>
      </c>
      <c r="S3">
        <f t="shared" ref="S3:S9" si="11">IF(R3&lt;2,0,IF(R3&lt;4,1,IF(R3&lt;6,2,IF(R3&lt;8,3,IF(R3&lt;10,4,5)))))</f>
        <v>1</v>
      </c>
      <c r="T3" s="12">
        <v>0.75</v>
      </c>
      <c r="U3" s="8">
        <f t="shared" si="3"/>
        <v>0.45094230662446544</v>
      </c>
      <c r="V3" s="8">
        <f t="shared" si="4"/>
        <v>0.31301127214170693</v>
      </c>
      <c r="W3">
        <f t="shared" ref="W3:W10" si="12">IF(U3&lt;0.35,0,IF(U3&lt;0.45,1,IF(U3&lt;0.55,2,IF(U3&lt;0.65,3,IF(U3&lt;0.75,4,5)))))</f>
        <v>2</v>
      </c>
      <c r="X3">
        <f t="shared" ref="X3:X10" si="13">IF(V3&lt;0.3,0,IF(V3&lt;0.4,1,IF(V3&lt;0.5,2,IF(V3&lt;0.6,3,IF(V3&lt;0.7,4,5)))))</f>
        <v>1</v>
      </c>
      <c r="Y3" s="8">
        <f t="shared" ref="Y3:Y10" si="14">2000*(D3/20)/O3</f>
        <v>1.7119897151377031E-2</v>
      </c>
      <c r="Z3" s="8">
        <f t="shared" ref="Z3:Z10" si="15">2000*(D3/20)/(P3*12)</f>
        <v>3.7529642978874615E-2</v>
      </c>
      <c r="AA3" s="11">
        <f t="shared" si="5"/>
        <v>45.264273955515584</v>
      </c>
    </row>
    <row r="4" spans="1:28" x14ac:dyDescent="0.3">
      <c r="A4">
        <v>2017</v>
      </c>
      <c r="B4" s="38">
        <v>96.92</v>
      </c>
      <c r="C4" s="1">
        <v>83.1</v>
      </c>
      <c r="D4" s="6">
        <v>3974</v>
      </c>
      <c r="E4" s="6">
        <f t="shared" si="6"/>
        <v>4100.2888980602556</v>
      </c>
      <c r="F4" s="6">
        <f t="shared" ref="F4:F10" si="16">D3</f>
        <v>3105</v>
      </c>
      <c r="G4" s="6">
        <f t="shared" ref="G4:G10" si="17">D4-D4/1.19</f>
        <v>634.50420168067194</v>
      </c>
      <c r="H4" s="6">
        <v>1400</v>
      </c>
      <c r="I4" s="6">
        <f t="shared" si="0"/>
        <v>310.5</v>
      </c>
      <c r="J4" s="6">
        <f t="shared" si="1"/>
        <v>1628.9957983193281</v>
      </c>
      <c r="K4" s="6">
        <f t="shared" si="7"/>
        <v>565.55708938762109</v>
      </c>
      <c r="L4" s="6">
        <f t="shared" si="8"/>
        <v>1444.4903012794057</v>
      </c>
      <c r="M4" s="6">
        <f t="shared" si="9"/>
        <v>310.5</v>
      </c>
      <c r="N4" s="6">
        <f t="shared" si="10"/>
        <v>1779.7415073932289</v>
      </c>
      <c r="O4" s="6">
        <v>19037004.899999999</v>
      </c>
      <c r="P4" s="6">
        <v>737717</v>
      </c>
      <c r="Q4" s="6">
        <v>1328</v>
      </c>
      <c r="R4" s="13">
        <f t="shared" si="2"/>
        <v>2.9924698795180724</v>
      </c>
      <c r="S4">
        <f t="shared" si="11"/>
        <v>1</v>
      </c>
      <c r="T4" s="12">
        <v>0.75</v>
      </c>
      <c r="U4" s="8">
        <f t="shared" si="3"/>
        <v>0.5900866134073155</v>
      </c>
      <c r="V4" s="8">
        <f t="shared" si="4"/>
        <v>0.43042274786109713</v>
      </c>
      <c r="W4">
        <f t="shared" si="12"/>
        <v>3</v>
      </c>
      <c r="X4">
        <f t="shared" si="13"/>
        <v>2</v>
      </c>
      <c r="Y4" s="8">
        <f t="shared" si="14"/>
        <v>2.0875132516249971E-2</v>
      </c>
      <c r="Z4" s="8">
        <f t="shared" si="15"/>
        <v>4.4890746270814783E-2</v>
      </c>
      <c r="AA4" s="11">
        <f t="shared" si="5"/>
        <v>48.486885892557716</v>
      </c>
    </row>
    <row r="5" spans="1:28" x14ac:dyDescent="0.3">
      <c r="A5">
        <v>2018</v>
      </c>
      <c r="B5" s="38">
        <v>100</v>
      </c>
      <c r="C5" s="1">
        <v>100</v>
      </c>
      <c r="D5" s="6">
        <v>4934</v>
      </c>
      <c r="E5" s="6">
        <f t="shared" si="6"/>
        <v>4934</v>
      </c>
      <c r="F5" s="6">
        <f t="shared" si="16"/>
        <v>3974</v>
      </c>
      <c r="G5" s="6">
        <f t="shared" si="17"/>
        <v>787.78151260504183</v>
      </c>
      <c r="H5" s="6">
        <v>2100</v>
      </c>
      <c r="I5" s="6">
        <f t="shared" si="0"/>
        <v>397.40000000000003</v>
      </c>
      <c r="J5" s="6">
        <f t="shared" si="1"/>
        <v>1648.8184873949581</v>
      </c>
      <c r="K5" s="6">
        <f t="shared" si="7"/>
        <v>680.55172413793116</v>
      </c>
      <c r="L5" s="6">
        <f t="shared" si="8"/>
        <v>2100</v>
      </c>
      <c r="M5" s="6">
        <f t="shared" si="9"/>
        <v>397.40000000000003</v>
      </c>
      <c r="N5" s="6">
        <f t="shared" si="10"/>
        <v>1756.0482758620687</v>
      </c>
      <c r="O5" s="6">
        <v>20045696.399999999</v>
      </c>
      <c r="P5" s="6">
        <v>781242</v>
      </c>
      <c r="Q5" s="6">
        <v>1322.2</v>
      </c>
      <c r="R5" s="13">
        <f t="shared" si="2"/>
        <v>3.731659355619422</v>
      </c>
      <c r="S5">
        <f t="shared" si="11"/>
        <v>1</v>
      </c>
      <c r="T5" s="12">
        <v>0.75</v>
      </c>
      <c r="U5" s="8">
        <f t="shared" si="3"/>
        <v>0.66582519509627924</v>
      </c>
      <c r="V5" s="8">
        <f t="shared" si="4"/>
        <v>0.50616132955006077</v>
      </c>
      <c r="W5">
        <f t="shared" si="12"/>
        <v>4</v>
      </c>
      <c r="X5">
        <f t="shared" si="13"/>
        <v>3</v>
      </c>
      <c r="Y5" s="8">
        <f t="shared" si="14"/>
        <v>2.4613761984342935E-2</v>
      </c>
      <c r="Z5" s="8">
        <f t="shared" si="15"/>
        <v>5.2629872263225311E-2</v>
      </c>
      <c r="AA5" s="11">
        <f t="shared" si="5"/>
        <v>58.599614460052067</v>
      </c>
    </row>
    <row r="6" spans="1:28" x14ac:dyDescent="0.3">
      <c r="A6">
        <v>2019</v>
      </c>
      <c r="B6" s="38">
        <v>103.8</v>
      </c>
      <c r="C6" s="1">
        <v>113.64</v>
      </c>
      <c r="D6" s="6">
        <v>5571</v>
      </c>
      <c r="E6" s="6">
        <f t="shared" si="6"/>
        <v>5367.0520231213868</v>
      </c>
      <c r="F6" s="6">
        <f t="shared" si="16"/>
        <v>4934</v>
      </c>
      <c r="G6" s="6">
        <f t="shared" si="17"/>
        <v>889.48739495798327</v>
      </c>
      <c r="H6" s="6">
        <v>2253</v>
      </c>
      <c r="I6" s="6">
        <f t="shared" si="0"/>
        <v>493.40000000000003</v>
      </c>
      <c r="J6" s="6">
        <f t="shared" si="1"/>
        <v>1935.1126050420166</v>
      </c>
      <c r="K6" s="6">
        <f t="shared" si="7"/>
        <v>740.28303767191483</v>
      </c>
      <c r="L6" s="6">
        <f t="shared" si="8"/>
        <v>2170.5202312138726</v>
      </c>
      <c r="M6" s="6">
        <f t="shared" si="9"/>
        <v>493.40000000000003</v>
      </c>
      <c r="N6" s="6">
        <f t="shared" si="10"/>
        <v>1962.8487542355992</v>
      </c>
      <c r="O6" s="6">
        <v>21122191.5</v>
      </c>
      <c r="P6" s="6">
        <v>828116</v>
      </c>
      <c r="Q6" s="6">
        <v>1312.6</v>
      </c>
      <c r="R6" s="13">
        <f t="shared" si="2"/>
        <v>4.2442480572908732</v>
      </c>
      <c r="S6">
        <f t="shared" si="11"/>
        <v>2</v>
      </c>
      <c r="T6" s="12">
        <v>0.75</v>
      </c>
      <c r="U6" s="8">
        <f t="shared" si="3"/>
        <v>0.65264537694453117</v>
      </c>
      <c r="V6" s="8">
        <f t="shared" si="4"/>
        <v>0.4929815113983127</v>
      </c>
      <c r="W6">
        <f t="shared" si="12"/>
        <v>4</v>
      </c>
      <c r="X6">
        <f t="shared" si="13"/>
        <v>2</v>
      </c>
      <c r="Y6" s="8">
        <f t="shared" si="14"/>
        <v>2.6375104117392363E-2</v>
      </c>
      <c r="Z6" s="8">
        <f t="shared" si="15"/>
        <v>5.606098662506219E-2</v>
      </c>
      <c r="AA6" s="11">
        <f t="shared" si="5"/>
        <v>68.637340662419277</v>
      </c>
      <c r="AB6" t="s">
        <v>28</v>
      </c>
    </row>
    <row r="7" spans="1:28" x14ac:dyDescent="0.3">
      <c r="A7">
        <v>2020</v>
      </c>
      <c r="B7" s="38">
        <v>105.48</v>
      </c>
      <c r="C7" s="1">
        <v>122.83</v>
      </c>
      <c r="D7" s="6">
        <v>6304</v>
      </c>
      <c r="E7" s="6">
        <f t="shared" si="6"/>
        <v>5976.4884338263182</v>
      </c>
      <c r="F7" s="6">
        <f t="shared" si="16"/>
        <v>5571</v>
      </c>
      <c r="G7" s="6">
        <f t="shared" si="17"/>
        <v>1006.5210084033615</v>
      </c>
      <c r="H7" s="6">
        <v>2430</v>
      </c>
      <c r="I7" s="6">
        <f t="shared" si="0"/>
        <v>557.1</v>
      </c>
      <c r="J7" s="6">
        <f t="shared" si="1"/>
        <v>2310.3789915966386</v>
      </c>
      <c r="K7" s="6">
        <f t="shared" si="7"/>
        <v>824.34323225190565</v>
      </c>
      <c r="L7" s="6">
        <f t="shared" si="8"/>
        <v>2303.7542662116043</v>
      </c>
      <c r="M7" s="6">
        <f t="shared" si="9"/>
        <v>557.1</v>
      </c>
      <c r="N7" s="6">
        <f t="shared" si="10"/>
        <v>2291.2909353628083</v>
      </c>
      <c r="O7" s="6">
        <v>19590202.899999999</v>
      </c>
      <c r="P7" s="6">
        <v>877803</v>
      </c>
      <c r="Q7" s="6">
        <v>1270.7</v>
      </c>
      <c r="R7" s="13">
        <f t="shared" si="2"/>
        <v>4.9610450932556853</v>
      </c>
      <c r="S7">
        <f t="shared" si="11"/>
        <v>2</v>
      </c>
      <c r="T7" s="12">
        <v>0.75</v>
      </c>
      <c r="U7" s="8">
        <f t="shared" si="3"/>
        <v>0.63350587062236063</v>
      </c>
      <c r="V7" s="8">
        <f t="shared" si="4"/>
        <v>0.4738420050761421</v>
      </c>
      <c r="W7">
        <f t="shared" si="12"/>
        <v>3</v>
      </c>
      <c r="X7">
        <f t="shared" si="13"/>
        <v>2</v>
      </c>
      <c r="Y7" s="8">
        <f t="shared" si="14"/>
        <v>3.2179350220002061E-2</v>
      </c>
      <c r="Z7" s="8">
        <f t="shared" si="15"/>
        <v>5.9846381629287362E-2</v>
      </c>
      <c r="AA7" s="11">
        <f t="shared" si="5"/>
        <v>73.111985263208254</v>
      </c>
      <c r="AB7" t="s">
        <v>29</v>
      </c>
    </row>
    <row r="8" spans="1:28" x14ac:dyDescent="0.3">
      <c r="A8">
        <v>2021</v>
      </c>
      <c r="B8" s="38">
        <v>111.41</v>
      </c>
      <c r="C8" s="1">
        <v>132.61000000000001</v>
      </c>
      <c r="D8" s="6">
        <v>7138</v>
      </c>
      <c r="E8" s="6">
        <f t="shared" si="6"/>
        <v>6406.9652634413433</v>
      </c>
      <c r="F8" s="6">
        <f t="shared" si="16"/>
        <v>6304</v>
      </c>
      <c r="G8" s="6">
        <f t="shared" si="17"/>
        <v>1139.6806722689071</v>
      </c>
      <c r="H8" s="6">
        <v>2563</v>
      </c>
      <c r="I8" s="6">
        <f t="shared" si="0"/>
        <v>630.40000000000009</v>
      </c>
      <c r="J8" s="6">
        <f t="shared" si="1"/>
        <v>2804.9193277310933</v>
      </c>
      <c r="K8" s="6">
        <f t="shared" si="7"/>
        <v>883.71934668156428</v>
      </c>
      <c r="L8" s="6">
        <f t="shared" si="8"/>
        <v>2300.5116237321608</v>
      </c>
      <c r="M8" s="6">
        <f t="shared" si="9"/>
        <v>630.40000000000009</v>
      </c>
      <c r="N8" s="6">
        <f t="shared" si="10"/>
        <v>2592.3342930276181</v>
      </c>
      <c r="O8" s="6">
        <v>23149565</v>
      </c>
      <c r="P8" s="6">
        <v>908526</v>
      </c>
      <c r="Q8" s="6">
        <v>1316.3</v>
      </c>
      <c r="R8" s="13">
        <f t="shared" si="2"/>
        <v>5.4227759629263845</v>
      </c>
      <c r="S8">
        <f t="shared" si="11"/>
        <v>2</v>
      </c>
      <c r="T8" s="12">
        <v>0.75</v>
      </c>
      <c r="U8" s="8">
        <f t="shared" si="3"/>
        <v>0.60704408409483146</v>
      </c>
      <c r="V8" s="8">
        <f t="shared" si="4"/>
        <v>0.4473802185486131</v>
      </c>
      <c r="W8">
        <f t="shared" si="12"/>
        <v>3</v>
      </c>
      <c r="X8">
        <f t="shared" si="13"/>
        <v>2</v>
      </c>
      <c r="Y8" s="8">
        <f t="shared" si="14"/>
        <v>3.0834272695836832E-2</v>
      </c>
      <c r="Z8" s="8">
        <f t="shared" si="15"/>
        <v>6.5472351185693459E-2</v>
      </c>
      <c r="AA8" s="11">
        <f t="shared" si="5"/>
        <v>79.933958962099041</v>
      </c>
      <c r="AB8" t="s">
        <v>30</v>
      </c>
    </row>
    <row r="9" spans="1:28" x14ac:dyDescent="0.3">
      <c r="A9">
        <v>2022</v>
      </c>
      <c r="B9" s="38">
        <v>126.03</v>
      </c>
      <c r="C9" s="1">
        <v>140.86000000000001</v>
      </c>
      <c r="D9" s="6">
        <v>7626</v>
      </c>
      <c r="E9" s="6">
        <f t="shared" si="6"/>
        <v>6050.9402523208764</v>
      </c>
      <c r="F9" s="6">
        <f t="shared" si="16"/>
        <v>7138</v>
      </c>
      <c r="G9" s="6">
        <f t="shared" si="17"/>
        <v>1217.5966386554619</v>
      </c>
      <c r="H9" s="6">
        <v>2800</v>
      </c>
      <c r="I9" s="6">
        <f t="shared" si="0"/>
        <v>713.80000000000007</v>
      </c>
      <c r="J9" s="6">
        <f t="shared" si="1"/>
        <v>2894.6033613445379</v>
      </c>
      <c r="K9" s="6">
        <f t="shared" si="7"/>
        <v>834.61244859598264</v>
      </c>
      <c r="L9" s="6">
        <f t="shared" si="8"/>
        <v>2221.6932476394509</v>
      </c>
      <c r="M9" s="6">
        <f t="shared" si="9"/>
        <v>713.80000000000007</v>
      </c>
      <c r="N9" s="6">
        <f t="shared" si="10"/>
        <v>2280.8345560854427</v>
      </c>
      <c r="O9" s="6">
        <v>28193734.100000001</v>
      </c>
      <c r="P9" s="6">
        <v>1000000</v>
      </c>
      <c r="Q9" s="6">
        <v>1345.7</v>
      </c>
      <c r="R9" s="13">
        <f t="shared" si="2"/>
        <v>5.6669391394813102</v>
      </c>
      <c r="S9">
        <f t="shared" si="11"/>
        <v>2</v>
      </c>
      <c r="T9" s="12">
        <v>0.75</v>
      </c>
      <c r="U9" s="8">
        <f t="shared" si="3"/>
        <v>0.62042966675261768</v>
      </c>
      <c r="V9" s="8">
        <f t="shared" si="4"/>
        <v>0.46076580120639921</v>
      </c>
      <c r="W9">
        <f t="shared" si="12"/>
        <v>3</v>
      </c>
      <c r="X9">
        <f t="shared" si="13"/>
        <v>2</v>
      </c>
      <c r="Y9" s="8">
        <f t="shared" si="14"/>
        <v>2.7048563247959411E-2</v>
      </c>
      <c r="Z9" s="8">
        <f t="shared" si="15"/>
        <v>6.3549999999999995E-2</v>
      </c>
      <c r="AA9" s="11">
        <f t="shared" si="5"/>
        <v>82.229759999999999</v>
      </c>
    </row>
    <row r="10" spans="1:28" x14ac:dyDescent="0.3">
      <c r="A10">
        <v>2023</v>
      </c>
      <c r="B10" s="39">
        <v>137.72</v>
      </c>
      <c r="C10" s="1">
        <v>158.83000000000001</v>
      </c>
      <c r="D10" s="16">
        <f>D9*(1+(C10-C9)/C9)</f>
        <v>8598.8753372142564</v>
      </c>
      <c r="E10" s="6">
        <f t="shared" si="6"/>
        <v>6243.7375379133437</v>
      </c>
      <c r="F10" s="6">
        <f t="shared" si="16"/>
        <v>7626</v>
      </c>
      <c r="G10" s="6">
        <f t="shared" si="17"/>
        <v>1372.9296756896711</v>
      </c>
      <c r="H10" s="6">
        <v>3263</v>
      </c>
      <c r="I10" s="6">
        <f t="shared" si="0"/>
        <v>762.6</v>
      </c>
      <c r="J10" s="6">
        <f t="shared" si="1"/>
        <v>3200.345661524585</v>
      </c>
      <c r="K10" s="6">
        <f t="shared" si="7"/>
        <v>861.20517764321903</v>
      </c>
      <c r="L10" s="6">
        <f t="shared" si="8"/>
        <v>2369.3000290444379</v>
      </c>
      <c r="M10" s="6">
        <f t="shared" si="9"/>
        <v>762.6</v>
      </c>
      <c r="N10" s="6">
        <f t="shared" si="10"/>
        <v>2250.6323312256868</v>
      </c>
      <c r="O10" s="16">
        <f>T14</f>
        <v>29840204.803587191</v>
      </c>
      <c r="P10" s="6">
        <v>1160000</v>
      </c>
      <c r="Q10" s="6"/>
      <c r="R10" s="7"/>
      <c r="T10" s="12">
        <v>0.75</v>
      </c>
      <c r="U10" s="8">
        <f t="shared" si="3"/>
        <v>0.62781811155301759</v>
      </c>
      <c r="V10" s="8">
        <f t="shared" si="4"/>
        <v>0.468154246006799</v>
      </c>
      <c r="W10">
        <f t="shared" si="12"/>
        <v>3</v>
      </c>
      <c r="X10">
        <f t="shared" si="13"/>
        <v>2</v>
      </c>
      <c r="Y10" s="8">
        <f t="shared" si="14"/>
        <v>2.8816408579677565E-2</v>
      </c>
      <c r="Z10" s="8">
        <f t="shared" si="15"/>
        <v>6.1773529721366779E-2</v>
      </c>
      <c r="AA10" s="11">
        <f t="shared" si="5"/>
        <v>75.734068965517238</v>
      </c>
      <c r="AB10" t="s">
        <v>31</v>
      </c>
    </row>
    <row r="11" spans="1:28" x14ac:dyDescent="0.3">
      <c r="Y11" s="8"/>
    </row>
    <row r="12" spans="1:28" x14ac:dyDescent="0.3">
      <c r="C12" t="s">
        <v>32</v>
      </c>
    </row>
    <row r="13" spans="1:28" ht="15" thickBot="1" x14ac:dyDescent="0.35">
      <c r="C13" t="s">
        <v>33</v>
      </c>
    </row>
    <row r="14" spans="1:28" x14ac:dyDescent="0.3">
      <c r="C14" t="s">
        <v>34</v>
      </c>
      <c r="R14" s="23" t="s">
        <v>35</v>
      </c>
      <c r="S14" s="18">
        <v>1572458000000000</v>
      </c>
      <c r="T14" s="24">
        <f>S14/S15</f>
        <v>29840204.803587191</v>
      </c>
      <c r="V14" s="17"/>
      <c r="X14" s="8"/>
    </row>
    <row r="15" spans="1:28" ht="15" thickBot="1" x14ac:dyDescent="0.35">
      <c r="R15" s="25" t="s">
        <v>36</v>
      </c>
      <c r="S15" s="19">
        <v>52695952</v>
      </c>
      <c r="T15" s="20"/>
      <c r="U15" s="21"/>
      <c r="Y15" s="32">
        <f>(Y10-Y2)/Y2</f>
        <v>0.81659350257012042</v>
      </c>
    </row>
    <row r="16" spans="1:28" x14ac:dyDescent="0.3">
      <c r="G16">
        <f>G10/I10</f>
        <v>1.8003274005896552</v>
      </c>
      <c r="H16">
        <f>G10/H10</f>
        <v>0.42075687272132117</v>
      </c>
      <c r="R16" s="2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871C-B8A6-42A6-AC29-544238A3510D}">
  <dimension ref="A1:G305"/>
  <sheetViews>
    <sheetView workbookViewId="0">
      <selection activeCell="D1" sqref="D1"/>
    </sheetView>
  </sheetViews>
  <sheetFormatPr baseColWidth="10" defaultColWidth="11.44140625" defaultRowHeight="14.4" x14ac:dyDescent="0.3"/>
  <cols>
    <col min="1" max="4" width="9.109375" customWidth="1"/>
    <col min="5" max="5" width="16.88671875" customWidth="1"/>
  </cols>
  <sheetData>
    <row r="1" spans="1:7" x14ac:dyDescent="0.3">
      <c r="A1" t="s">
        <v>0</v>
      </c>
      <c r="B1" t="s">
        <v>37</v>
      </c>
      <c r="C1" t="s">
        <v>38</v>
      </c>
      <c r="D1" t="s">
        <v>39</v>
      </c>
      <c r="E1" t="s">
        <v>40</v>
      </c>
    </row>
    <row r="2" spans="1:7" x14ac:dyDescent="0.3">
      <c r="A2" t="s">
        <v>41</v>
      </c>
      <c r="B2" t="s">
        <v>42</v>
      </c>
      <c r="C2" t="s">
        <v>43</v>
      </c>
      <c r="D2" t="str">
        <f>_xlfn.CONCAT(A2," ",B2)</f>
        <v>1999 Ene</v>
      </c>
      <c r="E2" s="1">
        <v>18.97</v>
      </c>
      <c r="G2" t="s">
        <v>44</v>
      </c>
    </row>
    <row r="3" spans="1:7" x14ac:dyDescent="0.3">
      <c r="A3" t="s">
        <v>41</v>
      </c>
      <c r="B3" t="s">
        <v>45</v>
      </c>
      <c r="C3" t="s">
        <v>43</v>
      </c>
      <c r="D3" t="str">
        <f t="shared" ref="D3:D66" si="0">_xlfn.CONCAT(A3," ",B3)</f>
        <v>1999 Feb</v>
      </c>
      <c r="E3" s="1">
        <v>19.37</v>
      </c>
      <c r="G3" t="s">
        <v>46</v>
      </c>
    </row>
    <row r="4" spans="1:7" x14ac:dyDescent="0.3">
      <c r="A4" t="s">
        <v>41</v>
      </c>
      <c r="B4" t="s">
        <v>47</v>
      </c>
      <c r="C4" t="s">
        <v>43</v>
      </c>
      <c r="D4" t="str">
        <f t="shared" si="0"/>
        <v>1999 Mar</v>
      </c>
      <c r="E4" s="1">
        <v>20.28</v>
      </c>
      <c r="G4" t="s">
        <v>48</v>
      </c>
    </row>
    <row r="5" spans="1:7" x14ac:dyDescent="0.3">
      <c r="A5" t="s">
        <v>41</v>
      </c>
      <c r="B5" t="s">
        <v>49</v>
      </c>
      <c r="C5" t="s">
        <v>43</v>
      </c>
      <c r="D5" t="str">
        <f t="shared" si="0"/>
        <v>1999 Abr</v>
      </c>
      <c r="E5" s="1">
        <v>20.64</v>
      </c>
    </row>
    <row r="6" spans="1:7" x14ac:dyDescent="0.3">
      <c r="A6" t="s">
        <v>41</v>
      </c>
      <c r="B6" t="s">
        <v>50</v>
      </c>
      <c r="C6" t="s">
        <v>43</v>
      </c>
      <c r="D6" t="str">
        <f t="shared" si="0"/>
        <v>1999 May</v>
      </c>
      <c r="E6" s="1">
        <v>20.71</v>
      </c>
    </row>
    <row r="7" spans="1:7" x14ac:dyDescent="0.3">
      <c r="A7" t="s">
        <v>41</v>
      </c>
      <c r="B7" t="s">
        <v>51</v>
      </c>
      <c r="C7" t="s">
        <v>43</v>
      </c>
      <c r="D7" t="str">
        <f t="shared" si="0"/>
        <v>1999 Jun</v>
      </c>
      <c r="E7" s="1">
        <v>20.75</v>
      </c>
    </row>
    <row r="8" spans="1:7" x14ac:dyDescent="0.3">
      <c r="A8" t="s">
        <v>41</v>
      </c>
      <c r="B8" t="s">
        <v>52</v>
      </c>
      <c r="C8" t="s">
        <v>43</v>
      </c>
      <c r="D8" t="str">
        <f t="shared" si="0"/>
        <v>1999 Jul</v>
      </c>
      <c r="E8" s="1">
        <v>20.92</v>
      </c>
    </row>
    <row r="9" spans="1:7" x14ac:dyDescent="0.3">
      <c r="A9" t="s">
        <v>41</v>
      </c>
      <c r="B9" t="s">
        <v>53</v>
      </c>
      <c r="C9" t="s">
        <v>43</v>
      </c>
      <c r="D9" t="str">
        <f t="shared" si="0"/>
        <v>1999 Ago</v>
      </c>
      <c r="E9" s="1">
        <v>21.18</v>
      </c>
    </row>
    <row r="10" spans="1:7" x14ac:dyDescent="0.3">
      <c r="A10" t="s">
        <v>41</v>
      </c>
      <c r="B10" t="s">
        <v>54</v>
      </c>
      <c r="C10" t="s">
        <v>43</v>
      </c>
      <c r="D10" t="str">
        <f t="shared" si="0"/>
        <v>1999 Sep</v>
      </c>
      <c r="E10" s="1">
        <v>22.03</v>
      </c>
    </row>
    <row r="11" spans="1:7" x14ac:dyDescent="0.3">
      <c r="A11" t="s">
        <v>41</v>
      </c>
      <c r="B11" t="s">
        <v>55</v>
      </c>
      <c r="C11" t="s">
        <v>43</v>
      </c>
      <c r="D11" t="str">
        <f t="shared" si="0"/>
        <v>1999 Oct</v>
      </c>
      <c r="E11" s="1">
        <v>22.62</v>
      </c>
    </row>
    <row r="12" spans="1:7" x14ac:dyDescent="0.3">
      <c r="A12" t="s">
        <v>41</v>
      </c>
      <c r="B12" t="s">
        <v>56</v>
      </c>
      <c r="C12" t="s">
        <v>43</v>
      </c>
      <c r="D12" t="str">
        <f t="shared" si="0"/>
        <v>1999 Nov</v>
      </c>
      <c r="E12" s="1">
        <v>22.94</v>
      </c>
    </row>
    <row r="13" spans="1:7" x14ac:dyDescent="0.3">
      <c r="A13" t="s">
        <v>41</v>
      </c>
      <c r="B13" t="s">
        <v>57</v>
      </c>
      <c r="C13" t="s">
        <v>43</v>
      </c>
      <c r="D13" t="str">
        <f t="shared" si="0"/>
        <v>1999 Dic</v>
      </c>
      <c r="E13" s="1">
        <v>23.05</v>
      </c>
    </row>
    <row r="14" spans="1:7" x14ac:dyDescent="0.3">
      <c r="A14" t="s">
        <v>58</v>
      </c>
      <c r="B14" t="s">
        <v>42</v>
      </c>
      <c r="C14" t="s">
        <v>43</v>
      </c>
      <c r="D14" t="str">
        <f t="shared" si="0"/>
        <v>2000 Ene</v>
      </c>
      <c r="E14" s="1">
        <v>23.4</v>
      </c>
    </row>
    <row r="15" spans="1:7" x14ac:dyDescent="0.3">
      <c r="A15" t="s">
        <v>58</v>
      </c>
      <c r="B15" t="s">
        <v>45</v>
      </c>
      <c r="C15" t="s">
        <v>43</v>
      </c>
      <c r="D15" t="str">
        <f t="shared" si="0"/>
        <v>2000 Feb</v>
      </c>
      <c r="E15" s="1">
        <v>24.41</v>
      </c>
    </row>
    <row r="16" spans="1:7" x14ac:dyDescent="0.3">
      <c r="A16" t="s">
        <v>58</v>
      </c>
      <c r="B16" t="s">
        <v>47</v>
      </c>
      <c r="C16" t="s">
        <v>43</v>
      </c>
      <c r="D16" t="str">
        <f t="shared" si="0"/>
        <v>2000 Mar</v>
      </c>
      <c r="E16" s="1">
        <v>25.79</v>
      </c>
    </row>
    <row r="17" spans="1:5" x14ac:dyDescent="0.3">
      <c r="A17" t="s">
        <v>58</v>
      </c>
      <c r="B17" t="s">
        <v>49</v>
      </c>
      <c r="C17" t="s">
        <v>43</v>
      </c>
      <c r="D17" t="str">
        <f t="shared" si="0"/>
        <v>2000 Abr</v>
      </c>
      <c r="E17" s="1">
        <v>26.01</v>
      </c>
    </row>
    <row r="18" spans="1:5" x14ac:dyDescent="0.3">
      <c r="A18" t="s">
        <v>58</v>
      </c>
      <c r="B18" t="s">
        <v>50</v>
      </c>
      <c r="C18" t="s">
        <v>43</v>
      </c>
      <c r="D18" t="str">
        <f t="shared" si="0"/>
        <v>2000 May</v>
      </c>
      <c r="E18" s="1">
        <v>26.03</v>
      </c>
    </row>
    <row r="19" spans="1:5" x14ac:dyDescent="0.3">
      <c r="A19" t="s">
        <v>58</v>
      </c>
      <c r="B19" t="s">
        <v>51</v>
      </c>
      <c r="C19" t="s">
        <v>43</v>
      </c>
      <c r="D19" t="str">
        <f t="shared" si="0"/>
        <v>2000 Jun</v>
      </c>
      <c r="E19" s="1">
        <v>26.1</v>
      </c>
    </row>
    <row r="20" spans="1:5" x14ac:dyDescent="0.3">
      <c r="A20" t="s">
        <v>58</v>
      </c>
      <c r="B20" t="s">
        <v>52</v>
      </c>
      <c r="C20" t="s">
        <v>43</v>
      </c>
      <c r="D20" t="str">
        <f t="shared" si="0"/>
        <v>2000 Jul</v>
      </c>
      <c r="E20" s="1">
        <v>25.69</v>
      </c>
    </row>
    <row r="21" spans="1:5" x14ac:dyDescent="0.3">
      <c r="A21" t="s">
        <v>58</v>
      </c>
      <c r="B21" t="s">
        <v>53</v>
      </c>
      <c r="C21" t="s">
        <v>43</v>
      </c>
      <c r="D21" t="str">
        <f t="shared" si="0"/>
        <v>2000 Ago</v>
      </c>
      <c r="E21" s="1">
        <v>25.28</v>
      </c>
    </row>
    <row r="22" spans="1:5" x14ac:dyDescent="0.3">
      <c r="A22" t="s">
        <v>58</v>
      </c>
      <c r="B22" t="s">
        <v>54</v>
      </c>
      <c r="C22" t="s">
        <v>43</v>
      </c>
      <c r="D22" t="str">
        <f t="shared" si="0"/>
        <v>2000 Sep</v>
      </c>
      <c r="E22" s="1">
        <v>25.18</v>
      </c>
    </row>
    <row r="23" spans="1:5" x14ac:dyDescent="0.3">
      <c r="A23" t="s">
        <v>58</v>
      </c>
      <c r="B23" t="s">
        <v>55</v>
      </c>
      <c r="C23" t="s">
        <v>43</v>
      </c>
      <c r="D23" t="str">
        <f t="shared" si="0"/>
        <v>2000 Oct</v>
      </c>
      <c r="E23" s="1">
        <v>25.15</v>
      </c>
    </row>
    <row r="24" spans="1:5" x14ac:dyDescent="0.3">
      <c r="A24" t="s">
        <v>58</v>
      </c>
      <c r="B24" t="s">
        <v>56</v>
      </c>
      <c r="C24" t="s">
        <v>43</v>
      </c>
      <c r="D24" t="str">
        <f t="shared" si="0"/>
        <v>2000 Nov</v>
      </c>
      <c r="E24" s="1">
        <v>25.23</v>
      </c>
    </row>
    <row r="25" spans="1:5" x14ac:dyDescent="0.3">
      <c r="A25" t="s">
        <v>58</v>
      </c>
      <c r="B25" t="s">
        <v>57</v>
      </c>
      <c r="C25" t="s">
        <v>43</v>
      </c>
      <c r="D25" t="str">
        <f t="shared" si="0"/>
        <v>2000 Dic</v>
      </c>
      <c r="E25" s="1">
        <v>25.87</v>
      </c>
    </row>
    <row r="26" spans="1:5" x14ac:dyDescent="0.3">
      <c r="A26" t="s">
        <v>59</v>
      </c>
      <c r="B26" t="s">
        <v>42</v>
      </c>
      <c r="C26" t="s">
        <v>43</v>
      </c>
      <c r="D26" t="str">
        <f t="shared" si="0"/>
        <v>2001 Ene</v>
      </c>
      <c r="E26" s="1">
        <v>27.41</v>
      </c>
    </row>
    <row r="27" spans="1:5" x14ac:dyDescent="0.3">
      <c r="A27" t="s">
        <v>59</v>
      </c>
      <c r="B27" t="s">
        <v>45</v>
      </c>
      <c r="C27" t="s">
        <v>43</v>
      </c>
      <c r="D27" t="str">
        <f t="shared" si="0"/>
        <v>2001 Feb</v>
      </c>
      <c r="E27" s="1">
        <v>28.66</v>
      </c>
    </row>
    <row r="28" spans="1:5" x14ac:dyDescent="0.3">
      <c r="A28" t="s">
        <v>59</v>
      </c>
      <c r="B28" t="s">
        <v>47</v>
      </c>
      <c r="C28" t="s">
        <v>43</v>
      </c>
      <c r="D28" t="str">
        <f t="shared" si="0"/>
        <v>2001 Mar</v>
      </c>
      <c r="E28" s="1">
        <v>29.67</v>
      </c>
    </row>
    <row r="29" spans="1:5" x14ac:dyDescent="0.3">
      <c r="A29" t="s">
        <v>59</v>
      </c>
      <c r="B29" t="s">
        <v>49</v>
      </c>
      <c r="C29" t="s">
        <v>43</v>
      </c>
      <c r="D29" t="str">
        <f t="shared" si="0"/>
        <v>2001 Abr</v>
      </c>
      <c r="E29" s="1">
        <v>29.81</v>
      </c>
    </row>
    <row r="30" spans="1:5" x14ac:dyDescent="0.3">
      <c r="A30" t="s">
        <v>59</v>
      </c>
      <c r="B30" t="s">
        <v>50</v>
      </c>
      <c r="C30" t="s">
        <v>43</v>
      </c>
      <c r="D30" t="str">
        <f t="shared" si="0"/>
        <v>2001 May</v>
      </c>
      <c r="E30" s="1">
        <v>29.62</v>
      </c>
    </row>
    <row r="31" spans="1:5" x14ac:dyDescent="0.3">
      <c r="A31" t="s">
        <v>59</v>
      </c>
      <c r="B31" t="s">
        <v>51</v>
      </c>
      <c r="C31" t="s">
        <v>43</v>
      </c>
      <c r="D31" t="str">
        <f t="shared" si="0"/>
        <v>2001 Jun</v>
      </c>
      <c r="E31" s="1">
        <v>29.73</v>
      </c>
    </row>
    <row r="32" spans="1:5" x14ac:dyDescent="0.3">
      <c r="A32" t="s">
        <v>59</v>
      </c>
      <c r="B32" t="s">
        <v>52</v>
      </c>
      <c r="C32" t="s">
        <v>43</v>
      </c>
      <c r="D32" t="str">
        <f t="shared" si="0"/>
        <v>2001 Jul</v>
      </c>
      <c r="E32" s="1">
        <v>30.04</v>
      </c>
    </row>
    <row r="33" spans="1:5" x14ac:dyDescent="0.3">
      <c r="A33" t="s">
        <v>59</v>
      </c>
      <c r="B33" t="s">
        <v>53</v>
      </c>
      <c r="C33" t="s">
        <v>43</v>
      </c>
      <c r="D33" t="str">
        <f t="shared" si="0"/>
        <v>2001 Ago</v>
      </c>
      <c r="E33" s="1">
        <v>30.23</v>
      </c>
    </row>
    <row r="34" spans="1:5" x14ac:dyDescent="0.3">
      <c r="A34" t="s">
        <v>59</v>
      </c>
      <c r="B34" t="s">
        <v>54</v>
      </c>
      <c r="C34" t="s">
        <v>43</v>
      </c>
      <c r="D34" t="str">
        <f t="shared" si="0"/>
        <v>2001 Sep</v>
      </c>
      <c r="E34" s="1">
        <v>30.34</v>
      </c>
    </row>
    <row r="35" spans="1:5" x14ac:dyDescent="0.3">
      <c r="A35" t="s">
        <v>59</v>
      </c>
      <c r="B35" t="s">
        <v>55</v>
      </c>
      <c r="C35" t="s">
        <v>43</v>
      </c>
      <c r="D35" t="str">
        <f t="shared" si="0"/>
        <v>2001 Oct</v>
      </c>
      <c r="E35" s="1">
        <v>30.55</v>
      </c>
    </row>
    <row r="36" spans="1:5" x14ac:dyDescent="0.3">
      <c r="A36" t="s">
        <v>59</v>
      </c>
      <c r="B36" t="s">
        <v>56</v>
      </c>
      <c r="C36" t="s">
        <v>43</v>
      </c>
      <c r="D36" t="str">
        <f t="shared" si="0"/>
        <v>2001 Nov</v>
      </c>
      <c r="E36" s="1">
        <v>30.84</v>
      </c>
    </row>
    <row r="37" spans="1:5" x14ac:dyDescent="0.3">
      <c r="A37" t="s">
        <v>59</v>
      </c>
      <c r="B37" t="s">
        <v>57</v>
      </c>
      <c r="C37" t="s">
        <v>43</v>
      </c>
      <c r="D37" t="str">
        <f t="shared" si="0"/>
        <v>2001 Dic</v>
      </c>
      <c r="E37" s="1">
        <v>30.89</v>
      </c>
    </row>
    <row r="38" spans="1:5" x14ac:dyDescent="0.3">
      <c r="A38" t="s">
        <v>60</v>
      </c>
      <c r="B38" t="s">
        <v>42</v>
      </c>
      <c r="C38" t="s">
        <v>43</v>
      </c>
      <c r="D38" t="str">
        <f t="shared" si="0"/>
        <v>2002 Ene</v>
      </c>
      <c r="E38" s="1">
        <v>30.96</v>
      </c>
    </row>
    <row r="39" spans="1:5" x14ac:dyDescent="0.3">
      <c r="A39" t="s">
        <v>60</v>
      </c>
      <c r="B39" t="s">
        <v>45</v>
      </c>
      <c r="C39" t="s">
        <v>43</v>
      </c>
      <c r="D39" t="str">
        <f t="shared" si="0"/>
        <v>2002 Feb</v>
      </c>
      <c r="E39" s="1">
        <v>31.07</v>
      </c>
    </row>
    <row r="40" spans="1:5" x14ac:dyDescent="0.3">
      <c r="A40" t="s">
        <v>60</v>
      </c>
      <c r="B40" t="s">
        <v>47</v>
      </c>
      <c r="C40" t="s">
        <v>43</v>
      </c>
      <c r="D40" t="str">
        <f t="shared" si="0"/>
        <v>2002 Mar</v>
      </c>
      <c r="E40" s="1">
        <v>31.04</v>
      </c>
    </row>
    <row r="41" spans="1:5" x14ac:dyDescent="0.3">
      <c r="A41" t="s">
        <v>60</v>
      </c>
      <c r="B41" t="s">
        <v>49</v>
      </c>
      <c r="C41" t="s">
        <v>43</v>
      </c>
      <c r="D41" t="str">
        <f t="shared" si="0"/>
        <v>2002 Abr</v>
      </c>
      <c r="E41" s="1">
        <v>31.03</v>
      </c>
    </row>
    <row r="42" spans="1:5" x14ac:dyDescent="0.3">
      <c r="A42" t="s">
        <v>60</v>
      </c>
      <c r="B42" t="s">
        <v>50</v>
      </c>
      <c r="C42" t="s">
        <v>43</v>
      </c>
      <c r="D42" t="str">
        <f t="shared" si="0"/>
        <v>2002 May</v>
      </c>
      <c r="E42" s="1">
        <v>30.97</v>
      </c>
    </row>
    <row r="43" spans="1:5" x14ac:dyDescent="0.3">
      <c r="A43" t="s">
        <v>60</v>
      </c>
      <c r="B43" t="s">
        <v>51</v>
      </c>
      <c r="C43" t="s">
        <v>43</v>
      </c>
      <c r="D43" t="str">
        <f t="shared" si="0"/>
        <v>2002 Jun</v>
      </c>
      <c r="E43" s="1">
        <v>31.06</v>
      </c>
    </row>
    <row r="44" spans="1:5" x14ac:dyDescent="0.3">
      <c r="A44" t="s">
        <v>60</v>
      </c>
      <c r="B44" t="s">
        <v>52</v>
      </c>
      <c r="C44" t="s">
        <v>43</v>
      </c>
      <c r="D44" t="str">
        <f t="shared" si="0"/>
        <v>2002 Jul</v>
      </c>
      <c r="E44" s="1">
        <v>31.76</v>
      </c>
    </row>
    <row r="45" spans="1:5" x14ac:dyDescent="0.3">
      <c r="A45" t="s">
        <v>60</v>
      </c>
      <c r="B45" t="s">
        <v>53</v>
      </c>
      <c r="C45" t="s">
        <v>43</v>
      </c>
      <c r="D45" t="str">
        <f t="shared" si="0"/>
        <v>2002 Ago</v>
      </c>
      <c r="E45" s="1">
        <v>32.21</v>
      </c>
    </row>
    <row r="46" spans="1:5" x14ac:dyDescent="0.3">
      <c r="A46" t="s">
        <v>60</v>
      </c>
      <c r="B46" t="s">
        <v>54</v>
      </c>
      <c r="C46" t="s">
        <v>43</v>
      </c>
      <c r="D46" t="str">
        <f t="shared" si="0"/>
        <v>2002 Sep</v>
      </c>
      <c r="E46" s="1">
        <v>32.03</v>
      </c>
    </row>
    <row r="47" spans="1:5" x14ac:dyDescent="0.3">
      <c r="A47" t="s">
        <v>60</v>
      </c>
      <c r="B47" t="s">
        <v>55</v>
      </c>
      <c r="C47" t="s">
        <v>43</v>
      </c>
      <c r="D47" t="str">
        <f t="shared" si="0"/>
        <v>2002 Oct</v>
      </c>
      <c r="E47" s="1">
        <v>32.08</v>
      </c>
    </row>
    <row r="48" spans="1:5" x14ac:dyDescent="0.3">
      <c r="A48" t="s">
        <v>60</v>
      </c>
      <c r="B48" t="s">
        <v>56</v>
      </c>
      <c r="C48" t="s">
        <v>43</v>
      </c>
      <c r="D48" t="str">
        <f t="shared" si="0"/>
        <v>2002 Nov</v>
      </c>
      <c r="E48" s="1">
        <v>32.159999999999997</v>
      </c>
    </row>
    <row r="49" spans="1:5" x14ac:dyDescent="0.3">
      <c r="A49" t="s">
        <v>60</v>
      </c>
      <c r="B49" t="s">
        <v>57</v>
      </c>
      <c r="C49" t="s">
        <v>43</v>
      </c>
      <c r="D49" t="str">
        <f t="shared" si="0"/>
        <v>2002 Dic</v>
      </c>
      <c r="E49" s="1">
        <v>32.04</v>
      </c>
    </row>
    <row r="50" spans="1:5" x14ac:dyDescent="0.3">
      <c r="A50" t="s">
        <v>61</v>
      </c>
      <c r="B50" t="s">
        <v>42</v>
      </c>
      <c r="C50" t="s">
        <v>43</v>
      </c>
      <c r="D50" t="str">
        <f t="shared" si="0"/>
        <v>2003 Ene</v>
      </c>
      <c r="E50" s="1">
        <v>32.08</v>
      </c>
    </row>
    <row r="51" spans="1:5" x14ac:dyDescent="0.3">
      <c r="A51" t="s">
        <v>61</v>
      </c>
      <c r="B51" t="s">
        <v>45</v>
      </c>
      <c r="C51" t="s">
        <v>43</v>
      </c>
      <c r="D51" t="str">
        <f t="shared" si="0"/>
        <v>2003 Feb</v>
      </c>
      <c r="E51" s="1">
        <v>32.26</v>
      </c>
    </row>
    <row r="52" spans="1:5" x14ac:dyDescent="0.3">
      <c r="A52" t="s">
        <v>61</v>
      </c>
      <c r="B52" t="s">
        <v>47</v>
      </c>
      <c r="C52" t="s">
        <v>43</v>
      </c>
      <c r="D52" t="str">
        <f t="shared" si="0"/>
        <v>2003 Mar</v>
      </c>
      <c r="E52" s="1">
        <v>32.19</v>
      </c>
    </row>
    <row r="53" spans="1:5" x14ac:dyDescent="0.3">
      <c r="A53" t="s">
        <v>61</v>
      </c>
      <c r="B53" t="s">
        <v>49</v>
      </c>
      <c r="C53" t="s">
        <v>43</v>
      </c>
      <c r="D53" t="str">
        <f t="shared" si="0"/>
        <v>2003 Abr</v>
      </c>
      <c r="E53" s="1">
        <v>32.159999999999997</v>
      </c>
    </row>
    <row r="54" spans="1:5" x14ac:dyDescent="0.3">
      <c r="A54" t="s">
        <v>61</v>
      </c>
      <c r="B54" t="s">
        <v>50</v>
      </c>
      <c r="C54" t="s">
        <v>43</v>
      </c>
      <c r="D54" t="str">
        <f t="shared" si="0"/>
        <v>2003 May</v>
      </c>
      <c r="E54" s="1">
        <v>32.56</v>
      </c>
    </row>
    <row r="55" spans="1:5" x14ac:dyDescent="0.3">
      <c r="A55" t="s">
        <v>61</v>
      </c>
      <c r="B55" t="s">
        <v>51</v>
      </c>
      <c r="C55" t="s">
        <v>43</v>
      </c>
      <c r="D55" t="str">
        <f t="shared" si="0"/>
        <v>2003 Jun</v>
      </c>
      <c r="E55" s="1">
        <v>33.51</v>
      </c>
    </row>
    <row r="56" spans="1:5" x14ac:dyDescent="0.3">
      <c r="A56" t="s">
        <v>61</v>
      </c>
      <c r="B56" t="s">
        <v>52</v>
      </c>
      <c r="C56" t="s">
        <v>43</v>
      </c>
      <c r="D56" t="str">
        <f t="shared" si="0"/>
        <v>2003 Jul</v>
      </c>
      <c r="E56" s="1">
        <v>34.409999999999997</v>
      </c>
    </row>
    <row r="57" spans="1:5" x14ac:dyDescent="0.3">
      <c r="A57" t="s">
        <v>61</v>
      </c>
      <c r="B57" t="s">
        <v>53</v>
      </c>
      <c r="C57" t="s">
        <v>43</v>
      </c>
      <c r="D57" t="str">
        <f t="shared" si="0"/>
        <v>2003 Ago</v>
      </c>
      <c r="E57" s="1">
        <v>34.71</v>
      </c>
    </row>
    <row r="58" spans="1:5" x14ac:dyDescent="0.3">
      <c r="A58" t="s">
        <v>61</v>
      </c>
      <c r="B58" t="s">
        <v>54</v>
      </c>
      <c r="C58" t="s">
        <v>43</v>
      </c>
      <c r="D58" t="str">
        <f t="shared" si="0"/>
        <v>2003 Sep</v>
      </c>
      <c r="E58" s="1">
        <v>34.86</v>
      </c>
    </row>
    <row r="59" spans="1:5" x14ac:dyDescent="0.3">
      <c r="A59" t="s">
        <v>61</v>
      </c>
      <c r="B59" t="s">
        <v>55</v>
      </c>
      <c r="C59" t="s">
        <v>43</v>
      </c>
      <c r="D59" t="str">
        <f t="shared" si="0"/>
        <v>2003 Oct</v>
      </c>
      <c r="E59" s="1">
        <v>34.86</v>
      </c>
    </row>
    <row r="60" spans="1:5" x14ac:dyDescent="0.3">
      <c r="A60" t="s">
        <v>61</v>
      </c>
      <c r="B60" t="s">
        <v>56</v>
      </c>
      <c r="C60" t="s">
        <v>43</v>
      </c>
      <c r="D60" t="str">
        <f t="shared" si="0"/>
        <v>2003 Nov</v>
      </c>
      <c r="E60" s="1">
        <v>34.869999999999997</v>
      </c>
    </row>
    <row r="61" spans="1:5" x14ac:dyDescent="0.3">
      <c r="A61" t="s">
        <v>61</v>
      </c>
      <c r="B61" t="s">
        <v>57</v>
      </c>
      <c r="C61" t="s">
        <v>43</v>
      </c>
      <c r="D61" t="str">
        <f t="shared" si="0"/>
        <v>2003 Dic</v>
      </c>
      <c r="E61" s="1">
        <v>34.770000000000003</v>
      </c>
    </row>
    <row r="62" spans="1:5" x14ac:dyDescent="0.3">
      <c r="A62" t="s">
        <v>62</v>
      </c>
      <c r="B62" t="s">
        <v>42</v>
      </c>
      <c r="C62" t="s">
        <v>43</v>
      </c>
      <c r="D62" t="str">
        <f t="shared" si="0"/>
        <v>2004 Ene</v>
      </c>
      <c r="E62" s="1">
        <v>34.92</v>
      </c>
    </row>
    <row r="63" spans="1:5" x14ac:dyDescent="0.3">
      <c r="A63" t="s">
        <v>62</v>
      </c>
      <c r="B63" t="s">
        <v>45</v>
      </c>
      <c r="C63" t="s">
        <v>43</v>
      </c>
      <c r="D63" t="str">
        <f t="shared" si="0"/>
        <v>2004 Feb</v>
      </c>
      <c r="E63" s="1">
        <v>35.130000000000003</v>
      </c>
    </row>
    <row r="64" spans="1:5" x14ac:dyDescent="0.3">
      <c r="A64" t="s">
        <v>62</v>
      </c>
      <c r="B64" t="s">
        <v>47</v>
      </c>
      <c r="C64" t="s">
        <v>43</v>
      </c>
      <c r="D64" t="str">
        <f t="shared" si="0"/>
        <v>2004 Mar</v>
      </c>
      <c r="E64" s="1">
        <v>35.18</v>
      </c>
    </row>
    <row r="65" spans="1:5" x14ac:dyDescent="0.3">
      <c r="A65" t="s">
        <v>62</v>
      </c>
      <c r="B65" t="s">
        <v>49</v>
      </c>
      <c r="C65" t="s">
        <v>43</v>
      </c>
      <c r="D65" t="str">
        <f t="shared" si="0"/>
        <v>2004 Abr</v>
      </c>
      <c r="E65" s="1">
        <v>35.22</v>
      </c>
    </row>
    <row r="66" spans="1:5" x14ac:dyDescent="0.3">
      <c r="A66" t="s">
        <v>62</v>
      </c>
      <c r="B66" t="s">
        <v>50</v>
      </c>
      <c r="C66" t="s">
        <v>43</v>
      </c>
      <c r="D66" t="str">
        <f t="shared" si="0"/>
        <v>2004 May</v>
      </c>
      <c r="E66" s="1">
        <v>35.049999999999997</v>
      </c>
    </row>
    <row r="67" spans="1:5" x14ac:dyDescent="0.3">
      <c r="A67" t="s">
        <v>62</v>
      </c>
      <c r="B67" t="s">
        <v>51</v>
      </c>
      <c r="C67" t="s">
        <v>43</v>
      </c>
      <c r="D67" t="str">
        <f t="shared" ref="D67:D130" si="1">_xlfn.CONCAT(A67," ",B67)</f>
        <v>2004 Jun</v>
      </c>
      <c r="E67" s="1">
        <v>35.25</v>
      </c>
    </row>
    <row r="68" spans="1:5" x14ac:dyDescent="0.3">
      <c r="A68" t="s">
        <v>62</v>
      </c>
      <c r="B68" t="s">
        <v>52</v>
      </c>
      <c r="C68" t="s">
        <v>43</v>
      </c>
      <c r="D68" t="str">
        <f t="shared" si="1"/>
        <v>2004 Jul</v>
      </c>
      <c r="E68" s="1">
        <v>35.770000000000003</v>
      </c>
    </row>
    <row r="69" spans="1:5" x14ac:dyDescent="0.3">
      <c r="A69" t="s">
        <v>62</v>
      </c>
      <c r="B69" t="s">
        <v>53</v>
      </c>
      <c r="C69" t="s">
        <v>43</v>
      </c>
      <c r="D69" t="str">
        <f t="shared" si="1"/>
        <v>2004 Ago</v>
      </c>
      <c r="E69" s="1">
        <v>35.94</v>
      </c>
    </row>
    <row r="70" spans="1:5" x14ac:dyDescent="0.3">
      <c r="A70" t="s">
        <v>62</v>
      </c>
      <c r="B70" t="s">
        <v>54</v>
      </c>
      <c r="C70" t="s">
        <v>43</v>
      </c>
      <c r="D70" t="str">
        <f t="shared" si="1"/>
        <v>2004 Sep</v>
      </c>
      <c r="E70" s="1">
        <v>36.44</v>
      </c>
    </row>
    <row r="71" spans="1:5" x14ac:dyDescent="0.3">
      <c r="A71" t="s">
        <v>62</v>
      </c>
      <c r="B71" t="s">
        <v>55</v>
      </c>
      <c r="C71" t="s">
        <v>43</v>
      </c>
      <c r="D71" t="str">
        <f t="shared" si="1"/>
        <v>2004 Oct</v>
      </c>
      <c r="E71" s="1">
        <v>36.979999999999997</v>
      </c>
    </row>
    <row r="72" spans="1:5" x14ac:dyDescent="0.3">
      <c r="A72" t="s">
        <v>62</v>
      </c>
      <c r="B72" t="s">
        <v>56</v>
      </c>
      <c r="C72" t="s">
        <v>43</v>
      </c>
      <c r="D72" t="str">
        <f t="shared" si="1"/>
        <v>2004 Nov</v>
      </c>
      <c r="E72" s="1">
        <v>37.020000000000003</v>
      </c>
    </row>
    <row r="73" spans="1:5" x14ac:dyDescent="0.3">
      <c r="A73" t="s">
        <v>62</v>
      </c>
      <c r="B73" t="s">
        <v>57</v>
      </c>
      <c r="C73" t="s">
        <v>43</v>
      </c>
      <c r="D73" t="str">
        <f t="shared" si="1"/>
        <v>2004 Dic</v>
      </c>
      <c r="E73" s="1">
        <v>36.9</v>
      </c>
    </row>
    <row r="74" spans="1:5" x14ac:dyDescent="0.3">
      <c r="A74" t="s">
        <v>63</v>
      </c>
      <c r="B74" t="s">
        <v>42</v>
      </c>
      <c r="C74" t="s">
        <v>43</v>
      </c>
      <c r="D74" t="str">
        <f t="shared" si="1"/>
        <v>2005 Ene</v>
      </c>
      <c r="E74" s="1">
        <v>36.81</v>
      </c>
    </row>
    <row r="75" spans="1:5" x14ac:dyDescent="0.3">
      <c r="A75" t="s">
        <v>63</v>
      </c>
      <c r="B75" t="s">
        <v>45</v>
      </c>
      <c r="C75" t="s">
        <v>43</v>
      </c>
      <c r="D75" t="str">
        <f t="shared" si="1"/>
        <v>2005 Feb</v>
      </c>
      <c r="E75" s="1">
        <v>36.96</v>
      </c>
    </row>
    <row r="76" spans="1:5" x14ac:dyDescent="0.3">
      <c r="A76" t="s">
        <v>63</v>
      </c>
      <c r="B76" t="s">
        <v>47</v>
      </c>
      <c r="C76" t="s">
        <v>43</v>
      </c>
      <c r="D76" t="str">
        <f t="shared" si="1"/>
        <v>2005 Mar</v>
      </c>
      <c r="E76" s="1">
        <v>37</v>
      </c>
    </row>
    <row r="77" spans="1:5" x14ac:dyDescent="0.3">
      <c r="A77" t="s">
        <v>63</v>
      </c>
      <c r="B77" t="s">
        <v>49</v>
      </c>
      <c r="C77" t="s">
        <v>43</v>
      </c>
      <c r="D77" t="str">
        <f t="shared" si="1"/>
        <v>2005 Abr</v>
      </c>
      <c r="E77" s="1">
        <v>37.07</v>
      </c>
    </row>
    <row r="78" spans="1:5" x14ac:dyDescent="0.3">
      <c r="A78" t="s">
        <v>63</v>
      </c>
      <c r="B78" t="s">
        <v>50</v>
      </c>
      <c r="C78" t="s">
        <v>43</v>
      </c>
      <c r="D78" t="str">
        <f t="shared" si="1"/>
        <v>2005 May</v>
      </c>
      <c r="E78" s="1">
        <v>37.200000000000003</v>
      </c>
    </row>
    <row r="79" spans="1:5" x14ac:dyDescent="0.3">
      <c r="A79" t="s">
        <v>63</v>
      </c>
      <c r="B79" t="s">
        <v>51</v>
      </c>
      <c r="C79" t="s">
        <v>43</v>
      </c>
      <c r="D79" t="str">
        <f t="shared" si="1"/>
        <v>2005 Jun</v>
      </c>
      <c r="E79" s="1">
        <v>37.4</v>
      </c>
    </row>
    <row r="80" spans="1:5" x14ac:dyDescent="0.3">
      <c r="A80" t="s">
        <v>63</v>
      </c>
      <c r="B80" t="s">
        <v>52</v>
      </c>
      <c r="C80" t="s">
        <v>43</v>
      </c>
      <c r="D80" t="str">
        <f t="shared" si="1"/>
        <v>2005 Jul</v>
      </c>
      <c r="E80" s="1">
        <v>37.450000000000003</v>
      </c>
    </row>
    <row r="81" spans="1:5" x14ac:dyDescent="0.3">
      <c r="A81" t="s">
        <v>63</v>
      </c>
      <c r="B81" t="s">
        <v>53</v>
      </c>
      <c r="C81" t="s">
        <v>43</v>
      </c>
      <c r="D81" t="str">
        <f t="shared" si="1"/>
        <v>2005 Ago</v>
      </c>
      <c r="E81" s="1">
        <v>37.29</v>
      </c>
    </row>
    <row r="82" spans="1:5" x14ac:dyDescent="0.3">
      <c r="A82" t="s">
        <v>63</v>
      </c>
      <c r="B82" t="s">
        <v>54</v>
      </c>
      <c r="C82" t="s">
        <v>43</v>
      </c>
      <c r="D82" t="str">
        <f t="shared" si="1"/>
        <v>2005 Sep</v>
      </c>
      <c r="E82" s="1">
        <v>37.26</v>
      </c>
    </row>
    <row r="83" spans="1:5" x14ac:dyDescent="0.3">
      <c r="A83" t="s">
        <v>63</v>
      </c>
      <c r="B83" t="s">
        <v>55</v>
      </c>
      <c r="C83" t="s">
        <v>43</v>
      </c>
      <c r="D83" t="str">
        <f t="shared" si="1"/>
        <v>2005 Oct</v>
      </c>
      <c r="E83" s="1">
        <v>37.159999999999997</v>
      </c>
    </row>
    <row r="84" spans="1:5" x14ac:dyDescent="0.3">
      <c r="A84" t="s">
        <v>63</v>
      </c>
      <c r="B84" t="s">
        <v>56</v>
      </c>
      <c r="C84" t="s">
        <v>43</v>
      </c>
      <c r="D84" t="str">
        <f t="shared" si="1"/>
        <v>2005 Nov</v>
      </c>
      <c r="E84" s="1">
        <v>37.15</v>
      </c>
    </row>
    <row r="85" spans="1:5" x14ac:dyDescent="0.3">
      <c r="A85" t="s">
        <v>63</v>
      </c>
      <c r="B85" t="s">
        <v>57</v>
      </c>
      <c r="C85" t="s">
        <v>43</v>
      </c>
      <c r="D85" t="str">
        <f t="shared" si="1"/>
        <v>2005 Dic</v>
      </c>
      <c r="E85" s="1">
        <v>37.31</v>
      </c>
    </row>
    <row r="86" spans="1:5" x14ac:dyDescent="0.3">
      <c r="A86" t="s">
        <v>64</v>
      </c>
      <c r="B86" t="s">
        <v>42</v>
      </c>
      <c r="C86" t="s">
        <v>43</v>
      </c>
      <c r="D86" t="str">
        <f t="shared" si="1"/>
        <v>2006 Ene</v>
      </c>
      <c r="E86" s="1">
        <v>37.46</v>
      </c>
    </row>
    <row r="87" spans="1:5" x14ac:dyDescent="0.3">
      <c r="A87" t="s">
        <v>64</v>
      </c>
      <c r="B87" t="s">
        <v>45</v>
      </c>
      <c r="C87" t="s">
        <v>43</v>
      </c>
      <c r="D87" t="str">
        <f t="shared" si="1"/>
        <v>2006 Feb</v>
      </c>
      <c r="E87" s="1">
        <v>37.53</v>
      </c>
    </row>
    <row r="88" spans="1:5" x14ac:dyDescent="0.3">
      <c r="A88" t="s">
        <v>64</v>
      </c>
      <c r="B88" t="s">
        <v>47</v>
      </c>
      <c r="C88" t="s">
        <v>43</v>
      </c>
      <c r="D88" t="str">
        <f t="shared" si="1"/>
        <v>2006 Mar</v>
      </c>
      <c r="E88" s="1">
        <v>37.68</v>
      </c>
    </row>
    <row r="89" spans="1:5" x14ac:dyDescent="0.3">
      <c r="A89" t="s">
        <v>64</v>
      </c>
      <c r="B89" t="s">
        <v>49</v>
      </c>
      <c r="C89" t="s">
        <v>43</v>
      </c>
      <c r="D89" t="str">
        <f t="shared" si="1"/>
        <v>2006 Abr</v>
      </c>
      <c r="E89" s="1">
        <v>37.68</v>
      </c>
    </row>
    <row r="90" spans="1:5" x14ac:dyDescent="0.3">
      <c r="A90" t="s">
        <v>64</v>
      </c>
      <c r="B90" t="s">
        <v>50</v>
      </c>
      <c r="C90" t="s">
        <v>43</v>
      </c>
      <c r="D90" t="str">
        <f t="shared" si="1"/>
        <v>2006 May</v>
      </c>
      <c r="E90" s="1">
        <v>37.880000000000003</v>
      </c>
    </row>
    <row r="91" spans="1:5" x14ac:dyDescent="0.3">
      <c r="A91" t="s">
        <v>64</v>
      </c>
      <c r="B91" t="s">
        <v>51</v>
      </c>
      <c r="C91" t="s">
        <v>43</v>
      </c>
      <c r="D91" t="str">
        <f t="shared" si="1"/>
        <v>2006 Jun</v>
      </c>
      <c r="E91" s="1">
        <v>37.96</v>
      </c>
    </row>
    <row r="92" spans="1:5" x14ac:dyDescent="0.3">
      <c r="A92" t="s">
        <v>64</v>
      </c>
      <c r="B92" t="s">
        <v>52</v>
      </c>
      <c r="C92" t="s">
        <v>43</v>
      </c>
      <c r="D92" t="str">
        <f t="shared" si="1"/>
        <v>2006 Jul</v>
      </c>
      <c r="E92" s="1">
        <v>38.28</v>
      </c>
    </row>
    <row r="93" spans="1:5" x14ac:dyDescent="0.3">
      <c r="A93" t="s">
        <v>64</v>
      </c>
      <c r="B93" t="s">
        <v>53</v>
      </c>
      <c r="C93" t="s">
        <v>43</v>
      </c>
      <c r="D93" t="str">
        <f t="shared" si="1"/>
        <v>2006 Ago</v>
      </c>
      <c r="E93" s="1">
        <v>38.409999999999997</v>
      </c>
    </row>
    <row r="94" spans="1:5" x14ac:dyDescent="0.3">
      <c r="A94" t="s">
        <v>64</v>
      </c>
      <c r="B94" t="s">
        <v>54</v>
      </c>
      <c r="C94" t="s">
        <v>43</v>
      </c>
      <c r="D94" t="str">
        <f t="shared" si="1"/>
        <v>2006 Sep</v>
      </c>
      <c r="E94" s="1">
        <v>38.49</v>
      </c>
    </row>
    <row r="95" spans="1:5" x14ac:dyDescent="0.3">
      <c r="A95" t="s">
        <v>64</v>
      </c>
      <c r="B95" t="s">
        <v>55</v>
      </c>
      <c r="C95" t="s">
        <v>43</v>
      </c>
      <c r="D95" t="str">
        <f t="shared" si="1"/>
        <v>2006 Oct</v>
      </c>
      <c r="E95" s="1">
        <v>38.799999999999997</v>
      </c>
    </row>
    <row r="96" spans="1:5" x14ac:dyDescent="0.3">
      <c r="A96" t="s">
        <v>64</v>
      </c>
      <c r="B96" t="s">
        <v>56</v>
      </c>
      <c r="C96" t="s">
        <v>43</v>
      </c>
      <c r="D96" t="str">
        <f t="shared" si="1"/>
        <v>2006 Nov</v>
      </c>
      <c r="E96" s="1">
        <v>39</v>
      </c>
    </row>
    <row r="97" spans="1:5" x14ac:dyDescent="0.3">
      <c r="A97" t="s">
        <v>64</v>
      </c>
      <c r="B97" t="s">
        <v>57</v>
      </c>
      <c r="C97" t="s">
        <v>43</v>
      </c>
      <c r="D97" t="str">
        <f t="shared" si="1"/>
        <v>2006 Dic</v>
      </c>
      <c r="E97" s="1">
        <v>39.090000000000003</v>
      </c>
    </row>
    <row r="98" spans="1:5" x14ac:dyDescent="0.3">
      <c r="A98" t="s">
        <v>65</v>
      </c>
      <c r="B98" t="s">
        <v>42</v>
      </c>
      <c r="C98" t="s">
        <v>43</v>
      </c>
      <c r="D98" t="str">
        <f t="shared" si="1"/>
        <v>2007 Ene</v>
      </c>
      <c r="E98" s="1">
        <v>39.270000000000003</v>
      </c>
    </row>
    <row r="99" spans="1:5" x14ac:dyDescent="0.3">
      <c r="A99" t="s">
        <v>65</v>
      </c>
      <c r="B99" t="s">
        <v>45</v>
      </c>
      <c r="C99" t="s">
        <v>43</v>
      </c>
      <c r="D99" t="str">
        <f t="shared" si="1"/>
        <v>2007 Feb</v>
      </c>
      <c r="E99" s="1">
        <v>39.79</v>
      </c>
    </row>
    <row r="100" spans="1:5" x14ac:dyDescent="0.3">
      <c r="A100" t="s">
        <v>65</v>
      </c>
      <c r="B100" t="s">
        <v>47</v>
      </c>
      <c r="C100" t="s">
        <v>43</v>
      </c>
      <c r="D100" t="str">
        <f t="shared" si="1"/>
        <v>2007 Mar</v>
      </c>
      <c r="E100" s="1">
        <v>39.880000000000003</v>
      </c>
    </row>
    <row r="101" spans="1:5" x14ac:dyDescent="0.3">
      <c r="A101" t="s">
        <v>65</v>
      </c>
      <c r="B101" t="s">
        <v>49</v>
      </c>
      <c r="C101" t="s">
        <v>43</v>
      </c>
      <c r="D101" t="str">
        <f t="shared" si="1"/>
        <v>2007 Abr</v>
      </c>
      <c r="E101" s="1">
        <v>39.520000000000003</v>
      </c>
    </row>
    <row r="102" spans="1:5" x14ac:dyDescent="0.3">
      <c r="A102" t="s">
        <v>65</v>
      </c>
      <c r="B102" t="s">
        <v>50</v>
      </c>
      <c r="C102" t="s">
        <v>43</v>
      </c>
      <c r="D102" t="str">
        <f t="shared" si="1"/>
        <v>2007 May</v>
      </c>
      <c r="E102" s="1">
        <v>39.39</v>
      </c>
    </row>
    <row r="103" spans="1:5" x14ac:dyDescent="0.3">
      <c r="A103" t="s">
        <v>65</v>
      </c>
      <c r="B103" t="s">
        <v>51</v>
      </c>
      <c r="C103" t="s">
        <v>43</v>
      </c>
      <c r="D103" t="str">
        <f t="shared" si="1"/>
        <v>2007 Jun</v>
      </c>
      <c r="E103" s="1">
        <v>39.42</v>
      </c>
    </row>
    <row r="104" spans="1:5" x14ac:dyDescent="0.3">
      <c r="A104" t="s">
        <v>65</v>
      </c>
      <c r="B104" t="s">
        <v>52</v>
      </c>
      <c r="C104" t="s">
        <v>43</v>
      </c>
      <c r="D104" t="str">
        <f t="shared" si="1"/>
        <v>2007 Jul</v>
      </c>
      <c r="E104" s="1">
        <v>39.520000000000003</v>
      </c>
    </row>
    <row r="105" spans="1:5" x14ac:dyDescent="0.3">
      <c r="A105" t="s">
        <v>65</v>
      </c>
      <c r="B105" t="s">
        <v>53</v>
      </c>
      <c r="C105" t="s">
        <v>43</v>
      </c>
      <c r="D105" t="str">
        <f t="shared" si="1"/>
        <v>2007 Ago</v>
      </c>
      <c r="E105" s="1">
        <v>39.479999999999997</v>
      </c>
    </row>
    <row r="106" spans="1:5" x14ac:dyDescent="0.3">
      <c r="A106" t="s">
        <v>65</v>
      </c>
      <c r="B106" t="s">
        <v>54</v>
      </c>
      <c r="C106" t="s">
        <v>43</v>
      </c>
      <c r="D106" t="str">
        <f t="shared" si="1"/>
        <v>2007 Sep</v>
      </c>
      <c r="E106" s="1">
        <v>39.450000000000003</v>
      </c>
    </row>
    <row r="107" spans="1:5" x14ac:dyDescent="0.3">
      <c r="A107" t="s">
        <v>65</v>
      </c>
      <c r="B107" t="s">
        <v>55</v>
      </c>
      <c r="C107" t="s">
        <v>43</v>
      </c>
      <c r="D107" t="str">
        <f t="shared" si="1"/>
        <v>2007 Oct</v>
      </c>
      <c r="E107" s="1">
        <v>39.54</v>
      </c>
    </row>
    <row r="108" spans="1:5" x14ac:dyDescent="0.3">
      <c r="A108" t="s">
        <v>65</v>
      </c>
      <c r="B108" t="s">
        <v>56</v>
      </c>
      <c r="C108" t="s">
        <v>43</v>
      </c>
      <c r="D108" t="str">
        <f t="shared" si="1"/>
        <v>2007 Nov</v>
      </c>
      <c r="E108" s="1">
        <v>39.75</v>
      </c>
    </row>
    <row r="109" spans="1:5" x14ac:dyDescent="0.3">
      <c r="A109" t="s">
        <v>65</v>
      </c>
      <c r="B109" t="s">
        <v>57</v>
      </c>
      <c r="C109" t="s">
        <v>43</v>
      </c>
      <c r="D109" t="str">
        <f t="shared" si="1"/>
        <v>2007 Dic</v>
      </c>
      <c r="E109" s="1">
        <v>39.909999999999997</v>
      </c>
    </row>
    <row r="110" spans="1:5" x14ac:dyDescent="0.3">
      <c r="A110" t="s">
        <v>66</v>
      </c>
      <c r="B110" t="s">
        <v>42</v>
      </c>
      <c r="C110" t="s">
        <v>43</v>
      </c>
      <c r="D110" t="str">
        <f t="shared" si="1"/>
        <v>2008 Ene</v>
      </c>
      <c r="E110" s="1">
        <v>40.24</v>
      </c>
    </row>
    <row r="111" spans="1:5" x14ac:dyDescent="0.3">
      <c r="A111" t="s">
        <v>66</v>
      </c>
      <c r="B111" t="s">
        <v>45</v>
      </c>
      <c r="C111" t="s">
        <v>43</v>
      </c>
      <c r="D111" t="str">
        <f t="shared" si="1"/>
        <v>2008 Feb</v>
      </c>
      <c r="E111" s="1">
        <v>40.69</v>
      </c>
    </row>
    <row r="112" spans="1:5" x14ac:dyDescent="0.3">
      <c r="A112" t="s">
        <v>66</v>
      </c>
      <c r="B112" t="s">
        <v>47</v>
      </c>
      <c r="C112" t="s">
        <v>43</v>
      </c>
      <c r="D112" t="str">
        <f t="shared" si="1"/>
        <v>2008 Mar</v>
      </c>
      <c r="E112" s="1">
        <v>41.13</v>
      </c>
    </row>
    <row r="113" spans="1:5" x14ac:dyDescent="0.3">
      <c r="A113" t="s">
        <v>66</v>
      </c>
      <c r="B113" t="s">
        <v>49</v>
      </c>
      <c r="C113" t="s">
        <v>43</v>
      </c>
      <c r="D113" t="str">
        <f t="shared" si="1"/>
        <v>2008 Abr</v>
      </c>
      <c r="E113" s="1">
        <v>41.23</v>
      </c>
    </row>
    <row r="114" spans="1:5" x14ac:dyDescent="0.3">
      <c r="A114" t="s">
        <v>66</v>
      </c>
      <c r="B114" t="s">
        <v>50</v>
      </c>
      <c r="C114" t="s">
        <v>43</v>
      </c>
      <c r="D114" t="str">
        <f t="shared" si="1"/>
        <v>2008 May</v>
      </c>
      <c r="E114" s="1">
        <v>41.26</v>
      </c>
    </row>
    <row r="115" spans="1:5" x14ac:dyDescent="0.3">
      <c r="A115" t="s">
        <v>66</v>
      </c>
      <c r="B115" t="s">
        <v>51</v>
      </c>
      <c r="C115" t="s">
        <v>43</v>
      </c>
      <c r="D115" t="str">
        <f t="shared" si="1"/>
        <v>2008 Jun</v>
      </c>
      <c r="E115" s="1">
        <v>41.41</v>
      </c>
    </row>
    <row r="116" spans="1:5" x14ac:dyDescent="0.3">
      <c r="A116" t="s">
        <v>66</v>
      </c>
      <c r="B116" t="s">
        <v>52</v>
      </c>
      <c r="C116" t="s">
        <v>43</v>
      </c>
      <c r="D116" t="str">
        <f t="shared" si="1"/>
        <v>2008 Jul</v>
      </c>
      <c r="E116" s="1">
        <v>41.39</v>
      </c>
    </row>
    <row r="117" spans="1:5" x14ac:dyDescent="0.3">
      <c r="A117" t="s">
        <v>66</v>
      </c>
      <c r="B117" t="s">
        <v>53</v>
      </c>
      <c r="C117" t="s">
        <v>43</v>
      </c>
      <c r="D117" t="str">
        <f t="shared" si="1"/>
        <v>2008 Ago</v>
      </c>
      <c r="E117" s="1">
        <v>41.34</v>
      </c>
    </row>
    <row r="118" spans="1:5" x14ac:dyDescent="0.3">
      <c r="A118" t="s">
        <v>66</v>
      </c>
      <c r="B118" t="s">
        <v>54</v>
      </c>
      <c r="C118" t="s">
        <v>43</v>
      </c>
      <c r="D118" t="str">
        <f t="shared" si="1"/>
        <v>2008 Sep</v>
      </c>
      <c r="E118" s="1">
        <v>41.27</v>
      </c>
    </row>
    <row r="119" spans="1:5" x14ac:dyDescent="0.3">
      <c r="A119" t="s">
        <v>66</v>
      </c>
      <c r="B119" t="s">
        <v>55</v>
      </c>
      <c r="C119" t="s">
        <v>43</v>
      </c>
      <c r="D119" t="str">
        <f t="shared" si="1"/>
        <v>2008 Oct</v>
      </c>
      <c r="E119" s="1">
        <v>41.35</v>
      </c>
    </row>
    <row r="120" spans="1:5" x14ac:dyDescent="0.3">
      <c r="A120" t="s">
        <v>66</v>
      </c>
      <c r="B120" t="s">
        <v>56</v>
      </c>
      <c r="C120" t="s">
        <v>43</v>
      </c>
      <c r="D120" t="str">
        <f t="shared" si="1"/>
        <v>2008 Nov</v>
      </c>
      <c r="E120" s="1">
        <v>41.57</v>
      </c>
    </row>
    <row r="121" spans="1:5" x14ac:dyDescent="0.3">
      <c r="A121" t="s">
        <v>66</v>
      </c>
      <c r="B121" t="s">
        <v>57</v>
      </c>
      <c r="C121" t="s">
        <v>43</v>
      </c>
      <c r="D121" t="str">
        <f t="shared" si="1"/>
        <v>2008 Dic</v>
      </c>
      <c r="E121" s="1">
        <v>41.67</v>
      </c>
    </row>
    <row r="122" spans="1:5" x14ac:dyDescent="0.3">
      <c r="A122" t="s">
        <v>67</v>
      </c>
      <c r="B122" t="s">
        <v>42</v>
      </c>
      <c r="C122" t="s">
        <v>43</v>
      </c>
      <c r="D122" t="str">
        <f t="shared" si="1"/>
        <v>2009 Ene</v>
      </c>
      <c r="E122" s="1">
        <v>41.9</v>
      </c>
    </row>
    <row r="123" spans="1:5" x14ac:dyDescent="0.3">
      <c r="A123" t="s">
        <v>67</v>
      </c>
      <c r="B123" t="s">
        <v>45</v>
      </c>
      <c r="C123" t="s">
        <v>43</v>
      </c>
      <c r="D123" t="str">
        <f t="shared" si="1"/>
        <v>2009 Feb</v>
      </c>
      <c r="E123" s="1">
        <v>42.19</v>
      </c>
    </row>
    <row r="124" spans="1:5" x14ac:dyDescent="0.3">
      <c r="A124" t="s">
        <v>67</v>
      </c>
      <c r="B124" t="s">
        <v>47</v>
      </c>
      <c r="C124" t="s">
        <v>43</v>
      </c>
      <c r="D124" t="str">
        <f t="shared" si="1"/>
        <v>2009 Mar</v>
      </c>
      <c r="E124" s="1">
        <v>42.51</v>
      </c>
    </row>
    <row r="125" spans="1:5" x14ac:dyDescent="0.3">
      <c r="A125" t="s">
        <v>67</v>
      </c>
      <c r="B125" t="s">
        <v>49</v>
      </c>
      <c r="C125" t="s">
        <v>43</v>
      </c>
      <c r="D125" t="str">
        <f t="shared" si="1"/>
        <v>2009 Abr</v>
      </c>
      <c r="E125" s="1">
        <v>42.67</v>
      </c>
    </row>
    <row r="126" spans="1:5" x14ac:dyDescent="0.3">
      <c r="A126" t="s">
        <v>67</v>
      </c>
      <c r="B126" t="s">
        <v>50</v>
      </c>
      <c r="C126" t="s">
        <v>43</v>
      </c>
      <c r="D126" t="str">
        <f t="shared" si="1"/>
        <v>2009 May</v>
      </c>
      <c r="E126" s="1">
        <v>42.83</v>
      </c>
    </row>
    <row r="127" spans="1:5" x14ac:dyDescent="0.3">
      <c r="A127" t="s">
        <v>67</v>
      </c>
      <c r="B127" t="s">
        <v>51</v>
      </c>
      <c r="C127" t="s">
        <v>43</v>
      </c>
      <c r="D127" t="str">
        <f t="shared" si="1"/>
        <v>2009 Jun</v>
      </c>
      <c r="E127" s="1">
        <v>43.04</v>
      </c>
    </row>
    <row r="128" spans="1:5" x14ac:dyDescent="0.3">
      <c r="A128" t="s">
        <v>67</v>
      </c>
      <c r="B128" t="s">
        <v>52</v>
      </c>
      <c r="C128" t="s">
        <v>43</v>
      </c>
      <c r="D128" t="str">
        <f t="shared" si="1"/>
        <v>2009 Jul</v>
      </c>
      <c r="E128" s="1">
        <v>43.16</v>
      </c>
    </row>
    <row r="129" spans="1:5" x14ac:dyDescent="0.3">
      <c r="A129" t="s">
        <v>67</v>
      </c>
      <c r="B129" t="s">
        <v>53</v>
      </c>
      <c r="C129" t="s">
        <v>43</v>
      </c>
      <c r="D129" t="str">
        <f t="shared" si="1"/>
        <v>2009 Ago</v>
      </c>
      <c r="E129" s="1">
        <v>43.3</v>
      </c>
    </row>
    <row r="130" spans="1:5" x14ac:dyDescent="0.3">
      <c r="A130" t="s">
        <v>67</v>
      </c>
      <c r="B130" t="s">
        <v>54</v>
      </c>
      <c r="C130" t="s">
        <v>43</v>
      </c>
      <c r="D130" t="str">
        <f t="shared" si="1"/>
        <v>2009 Sep</v>
      </c>
      <c r="E130" s="1">
        <v>43.32</v>
      </c>
    </row>
    <row r="131" spans="1:5" x14ac:dyDescent="0.3">
      <c r="A131" t="s">
        <v>67</v>
      </c>
      <c r="B131" t="s">
        <v>55</v>
      </c>
      <c r="C131" t="s">
        <v>43</v>
      </c>
      <c r="D131" t="str">
        <f t="shared" ref="D131:D194" si="2">_xlfn.CONCAT(A131," ",B131)</f>
        <v>2009 Oct</v>
      </c>
      <c r="E131" s="1">
        <v>43.32</v>
      </c>
    </row>
    <row r="132" spans="1:5" x14ac:dyDescent="0.3">
      <c r="A132" t="s">
        <v>67</v>
      </c>
      <c r="B132" t="s">
        <v>56</v>
      </c>
      <c r="C132" t="s">
        <v>43</v>
      </c>
      <c r="D132" t="str">
        <f t="shared" si="2"/>
        <v>2009 Nov</v>
      </c>
      <c r="E132" s="1">
        <v>43.42</v>
      </c>
    </row>
    <row r="133" spans="1:5" x14ac:dyDescent="0.3">
      <c r="A133" t="s">
        <v>67</v>
      </c>
      <c r="B133" t="s">
        <v>57</v>
      </c>
      <c r="C133" t="s">
        <v>43</v>
      </c>
      <c r="D133" t="str">
        <f t="shared" si="2"/>
        <v>2009 Dic</v>
      </c>
      <c r="E133" s="1">
        <v>43.48</v>
      </c>
    </row>
    <row r="134" spans="1:5" x14ac:dyDescent="0.3">
      <c r="A134" t="s">
        <v>68</v>
      </c>
      <c r="B134" t="s">
        <v>42</v>
      </c>
      <c r="C134" t="s">
        <v>43</v>
      </c>
      <c r="D134" t="str">
        <f t="shared" si="2"/>
        <v>2010 Ene</v>
      </c>
      <c r="E134" s="1">
        <v>43.72</v>
      </c>
    </row>
    <row r="135" spans="1:5" x14ac:dyDescent="0.3">
      <c r="A135" t="s">
        <v>68</v>
      </c>
      <c r="B135" t="s">
        <v>45</v>
      </c>
      <c r="C135" t="s">
        <v>43</v>
      </c>
      <c r="D135" t="str">
        <f t="shared" si="2"/>
        <v>2010 Feb</v>
      </c>
      <c r="E135" s="1">
        <v>44.25</v>
      </c>
    </row>
    <row r="136" spans="1:5" x14ac:dyDescent="0.3">
      <c r="A136" t="s">
        <v>68</v>
      </c>
      <c r="B136" t="s">
        <v>47</v>
      </c>
      <c r="C136" t="s">
        <v>43</v>
      </c>
      <c r="D136" t="str">
        <f t="shared" si="2"/>
        <v>2010 Mar</v>
      </c>
      <c r="E136" s="1">
        <v>45.1</v>
      </c>
    </row>
    <row r="137" spans="1:5" x14ac:dyDescent="0.3">
      <c r="A137" t="s">
        <v>68</v>
      </c>
      <c r="B137" t="s">
        <v>49</v>
      </c>
      <c r="C137" t="s">
        <v>43</v>
      </c>
      <c r="D137" t="str">
        <f t="shared" si="2"/>
        <v>2010 Abr</v>
      </c>
      <c r="E137" s="1">
        <v>45.69</v>
      </c>
    </row>
    <row r="138" spans="1:5" x14ac:dyDescent="0.3">
      <c r="A138" t="s">
        <v>68</v>
      </c>
      <c r="B138" t="s">
        <v>50</v>
      </c>
      <c r="C138" t="s">
        <v>43</v>
      </c>
      <c r="D138" t="str">
        <f t="shared" si="2"/>
        <v>2010 May</v>
      </c>
      <c r="E138" s="1">
        <v>46.03</v>
      </c>
    </row>
    <row r="139" spans="1:5" x14ac:dyDescent="0.3">
      <c r="A139" t="s">
        <v>68</v>
      </c>
      <c r="B139" t="s">
        <v>51</v>
      </c>
      <c r="C139" t="s">
        <v>43</v>
      </c>
      <c r="D139" t="str">
        <f t="shared" si="2"/>
        <v>2010 Jun</v>
      </c>
      <c r="E139" s="1">
        <v>46.15</v>
      </c>
    </row>
    <row r="140" spans="1:5" x14ac:dyDescent="0.3">
      <c r="A140" t="s">
        <v>68</v>
      </c>
      <c r="B140" t="s">
        <v>52</v>
      </c>
      <c r="C140" t="s">
        <v>43</v>
      </c>
      <c r="D140" t="str">
        <f t="shared" si="2"/>
        <v>2010 Jul</v>
      </c>
      <c r="E140" s="1">
        <v>46.25</v>
      </c>
    </row>
    <row r="141" spans="1:5" x14ac:dyDescent="0.3">
      <c r="A141" t="s">
        <v>68</v>
      </c>
      <c r="B141" t="s">
        <v>53</v>
      </c>
      <c r="C141" t="s">
        <v>43</v>
      </c>
      <c r="D141" t="str">
        <f t="shared" si="2"/>
        <v>2010 Ago</v>
      </c>
      <c r="E141" s="1">
        <v>46.91</v>
      </c>
    </row>
    <row r="142" spans="1:5" x14ac:dyDescent="0.3">
      <c r="A142" t="s">
        <v>68</v>
      </c>
      <c r="B142" t="s">
        <v>54</v>
      </c>
      <c r="C142" t="s">
        <v>43</v>
      </c>
      <c r="D142" t="str">
        <f t="shared" si="2"/>
        <v>2010 Sep</v>
      </c>
      <c r="E142" s="1">
        <v>48.57</v>
      </c>
    </row>
    <row r="143" spans="1:5" x14ac:dyDescent="0.3">
      <c r="A143" t="s">
        <v>68</v>
      </c>
      <c r="B143" t="s">
        <v>55</v>
      </c>
      <c r="C143" t="s">
        <v>43</v>
      </c>
      <c r="D143" t="str">
        <f t="shared" si="2"/>
        <v>2010 Oct</v>
      </c>
      <c r="E143" s="1">
        <v>49.19</v>
      </c>
    </row>
    <row r="144" spans="1:5" x14ac:dyDescent="0.3">
      <c r="A144" t="s">
        <v>68</v>
      </c>
      <c r="B144" t="s">
        <v>56</v>
      </c>
      <c r="C144" t="s">
        <v>43</v>
      </c>
      <c r="D144" t="str">
        <f t="shared" si="2"/>
        <v>2010 Nov</v>
      </c>
      <c r="E144" s="1">
        <v>49.33</v>
      </c>
    </row>
    <row r="145" spans="1:5" x14ac:dyDescent="0.3">
      <c r="A145" t="s">
        <v>68</v>
      </c>
      <c r="B145" t="s">
        <v>57</v>
      </c>
      <c r="C145" t="s">
        <v>43</v>
      </c>
      <c r="D145" t="str">
        <f t="shared" si="2"/>
        <v>2010 Dic</v>
      </c>
      <c r="E145" s="1">
        <v>49.99</v>
      </c>
    </row>
    <row r="146" spans="1:5" x14ac:dyDescent="0.3">
      <c r="A146" t="s">
        <v>69</v>
      </c>
      <c r="B146" t="s">
        <v>42</v>
      </c>
      <c r="C146" t="s">
        <v>43</v>
      </c>
      <c r="D146" t="str">
        <f t="shared" si="2"/>
        <v>2011 Ene</v>
      </c>
      <c r="E146" s="1">
        <v>50.57</v>
      </c>
    </row>
    <row r="147" spans="1:5" x14ac:dyDescent="0.3">
      <c r="A147" t="s">
        <v>69</v>
      </c>
      <c r="B147" t="s">
        <v>45</v>
      </c>
      <c r="C147" t="s">
        <v>43</v>
      </c>
      <c r="D147" t="str">
        <f t="shared" si="2"/>
        <v>2011 Feb</v>
      </c>
      <c r="E147" s="1">
        <v>50.62</v>
      </c>
    </row>
    <row r="148" spans="1:5" x14ac:dyDescent="0.3">
      <c r="A148" t="s">
        <v>69</v>
      </c>
      <c r="B148" t="s">
        <v>47</v>
      </c>
      <c r="C148" t="s">
        <v>43</v>
      </c>
      <c r="D148" t="str">
        <f t="shared" si="2"/>
        <v>2011 Mar</v>
      </c>
      <c r="E148" s="1">
        <v>50.74</v>
      </c>
    </row>
    <row r="149" spans="1:5" x14ac:dyDescent="0.3">
      <c r="A149" t="s">
        <v>69</v>
      </c>
      <c r="B149" t="s">
        <v>49</v>
      </c>
      <c r="C149" t="s">
        <v>43</v>
      </c>
      <c r="D149" t="str">
        <f t="shared" si="2"/>
        <v>2011 Abr</v>
      </c>
      <c r="E149" s="1">
        <v>50.84</v>
      </c>
    </row>
    <row r="150" spans="1:5" x14ac:dyDescent="0.3">
      <c r="A150" t="s">
        <v>69</v>
      </c>
      <c r="B150" t="s">
        <v>50</v>
      </c>
      <c r="C150" t="s">
        <v>43</v>
      </c>
      <c r="D150" t="str">
        <f t="shared" si="2"/>
        <v>2011 May</v>
      </c>
      <c r="E150" s="1">
        <v>51.04</v>
      </c>
    </row>
    <row r="151" spans="1:5" x14ac:dyDescent="0.3">
      <c r="A151" t="s">
        <v>69</v>
      </c>
      <c r="B151" t="s">
        <v>51</v>
      </c>
      <c r="C151" t="s">
        <v>43</v>
      </c>
      <c r="D151" t="str">
        <f t="shared" si="2"/>
        <v>2011 Jun</v>
      </c>
      <c r="E151" s="1">
        <v>51.06</v>
      </c>
    </row>
    <row r="152" spans="1:5" x14ac:dyDescent="0.3">
      <c r="A152" t="s">
        <v>69</v>
      </c>
      <c r="B152" t="s">
        <v>52</v>
      </c>
      <c r="C152" t="s">
        <v>43</v>
      </c>
      <c r="D152" t="str">
        <f t="shared" si="2"/>
        <v>2011 Jul</v>
      </c>
      <c r="E152" s="1">
        <v>50.97</v>
      </c>
    </row>
    <row r="153" spans="1:5" x14ac:dyDescent="0.3">
      <c r="A153" t="s">
        <v>69</v>
      </c>
      <c r="B153" t="s">
        <v>53</v>
      </c>
      <c r="C153" t="s">
        <v>43</v>
      </c>
      <c r="D153" t="str">
        <f t="shared" si="2"/>
        <v>2011 Ago</v>
      </c>
      <c r="E153" s="1">
        <v>50.99</v>
      </c>
    </row>
    <row r="154" spans="1:5" x14ac:dyDescent="0.3">
      <c r="A154" t="s">
        <v>69</v>
      </c>
      <c r="B154" t="s">
        <v>54</v>
      </c>
      <c r="C154" t="s">
        <v>43</v>
      </c>
      <c r="D154" t="str">
        <f t="shared" si="2"/>
        <v>2011 Sep</v>
      </c>
      <c r="E154" s="1">
        <v>51.11</v>
      </c>
    </row>
    <row r="155" spans="1:5" x14ac:dyDescent="0.3">
      <c r="A155" t="s">
        <v>69</v>
      </c>
      <c r="B155" t="s">
        <v>55</v>
      </c>
      <c r="C155" t="s">
        <v>43</v>
      </c>
      <c r="D155" t="str">
        <f t="shared" si="2"/>
        <v>2011 Oct</v>
      </c>
      <c r="E155" s="1">
        <v>51.11</v>
      </c>
    </row>
    <row r="156" spans="1:5" x14ac:dyDescent="0.3">
      <c r="A156" t="s">
        <v>69</v>
      </c>
      <c r="B156" t="s">
        <v>56</v>
      </c>
      <c r="C156" t="s">
        <v>43</v>
      </c>
      <c r="D156" t="str">
        <f t="shared" si="2"/>
        <v>2011 Nov</v>
      </c>
      <c r="E156" s="1">
        <v>51.16</v>
      </c>
    </row>
    <row r="157" spans="1:5" x14ac:dyDescent="0.3">
      <c r="A157" t="s">
        <v>69</v>
      </c>
      <c r="B157" t="s">
        <v>57</v>
      </c>
      <c r="C157" t="s">
        <v>43</v>
      </c>
      <c r="D157" t="str">
        <f t="shared" si="2"/>
        <v>2011 Dic</v>
      </c>
      <c r="E157" s="1">
        <v>51.1</v>
      </c>
    </row>
    <row r="158" spans="1:5" x14ac:dyDescent="0.3">
      <c r="A158" t="s">
        <v>70</v>
      </c>
      <c r="B158" t="s">
        <v>42</v>
      </c>
      <c r="C158" t="s">
        <v>43</v>
      </c>
      <c r="D158" t="str">
        <f t="shared" si="2"/>
        <v>2012 Ene</v>
      </c>
      <c r="E158" s="1">
        <v>51.31</v>
      </c>
    </row>
    <row r="159" spans="1:5" x14ac:dyDescent="0.3">
      <c r="A159" t="s">
        <v>70</v>
      </c>
      <c r="B159" t="s">
        <v>45</v>
      </c>
      <c r="C159" t="s">
        <v>43</v>
      </c>
      <c r="D159" t="str">
        <f t="shared" si="2"/>
        <v>2012 Feb</v>
      </c>
      <c r="E159" s="1">
        <v>51.69</v>
      </c>
    </row>
    <row r="160" spans="1:5" x14ac:dyDescent="0.3">
      <c r="A160" t="s">
        <v>70</v>
      </c>
      <c r="B160" t="s">
        <v>47</v>
      </c>
      <c r="C160" t="s">
        <v>43</v>
      </c>
      <c r="D160" t="str">
        <f t="shared" si="2"/>
        <v>2012 Mar</v>
      </c>
      <c r="E160" s="1">
        <v>51.96</v>
      </c>
    </row>
    <row r="161" spans="1:5" x14ac:dyDescent="0.3">
      <c r="A161" t="s">
        <v>70</v>
      </c>
      <c r="B161" t="s">
        <v>49</v>
      </c>
      <c r="C161" t="s">
        <v>43</v>
      </c>
      <c r="D161" t="str">
        <f t="shared" si="2"/>
        <v>2012 Abr</v>
      </c>
      <c r="E161" s="1">
        <v>52.1</v>
      </c>
    </row>
    <row r="162" spans="1:5" x14ac:dyDescent="0.3">
      <c r="A162" t="s">
        <v>70</v>
      </c>
      <c r="B162" t="s">
        <v>50</v>
      </c>
      <c r="C162" t="s">
        <v>43</v>
      </c>
      <c r="D162" t="str">
        <f t="shared" si="2"/>
        <v>2012 May</v>
      </c>
      <c r="E162" s="1">
        <v>52.53</v>
      </c>
    </row>
    <row r="163" spans="1:5" x14ac:dyDescent="0.3">
      <c r="A163" t="s">
        <v>70</v>
      </c>
      <c r="B163" t="s">
        <v>51</v>
      </c>
      <c r="C163" t="s">
        <v>43</v>
      </c>
      <c r="D163" t="str">
        <f t="shared" si="2"/>
        <v>2012 Jun</v>
      </c>
      <c r="E163" s="1">
        <v>52.71</v>
      </c>
    </row>
    <row r="164" spans="1:5" x14ac:dyDescent="0.3">
      <c r="A164" t="s">
        <v>70</v>
      </c>
      <c r="B164" t="s">
        <v>52</v>
      </c>
      <c r="C164" t="s">
        <v>43</v>
      </c>
      <c r="D164" t="str">
        <f t="shared" si="2"/>
        <v>2012 Jul</v>
      </c>
      <c r="E164" s="1">
        <v>52.76</v>
      </c>
    </row>
    <row r="165" spans="1:5" x14ac:dyDescent="0.3">
      <c r="A165" t="s">
        <v>70</v>
      </c>
      <c r="B165" t="s">
        <v>53</v>
      </c>
      <c r="C165" t="s">
        <v>43</v>
      </c>
      <c r="D165" t="str">
        <f t="shared" si="2"/>
        <v>2012 Ago</v>
      </c>
      <c r="E165" s="1">
        <v>52.81</v>
      </c>
    </row>
    <row r="166" spans="1:5" x14ac:dyDescent="0.3">
      <c r="A166" t="s">
        <v>70</v>
      </c>
      <c r="B166" t="s">
        <v>54</v>
      </c>
      <c r="C166" t="s">
        <v>43</v>
      </c>
      <c r="D166" t="str">
        <f t="shared" si="2"/>
        <v>2012 Sep</v>
      </c>
      <c r="E166" s="1">
        <v>52.9</v>
      </c>
    </row>
    <row r="167" spans="1:5" x14ac:dyDescent="0.3">
      <c r="A167" t="s">
        <v>70</v>
      </c>
      <c r="B167" t="s">
        <v>55</v>
      </c>
      <c r="C167" t="s">
        <v>43</v>
      </c>
      <c r="D167" t="str">
        <f t="shared" si="2"/>
        <v>2012 Oct</v>
      </c>
      <c r="E167" s="1">
        <v>52.92</v>
      </c>
    </row>
    <row r="168" spans="1:5" x14ac:dyDescent="0.3">
      <c r="A168" t="s">
        <v>70</v>
      </c>
      <c r="B168" t="s">
        <v>56</v>
      </c>
      <c r="C168" t="s">
        <v>43</v>
      </c>
      <c r="D168" t="str">
        <f t="shared" si="2"/>
        <v>2012 Nov</v>
      </c>
      <c r="E168" s="1">
        <v>52.97</v>
      </c>
    </row>
    <row r="169" spans="1:5" x14ac:dyDescent="0.3">
      <c r="A169" t="s">
        <v>70</v>
      </c>
      <c r="B169" t="s">
        <v>57</v>
      </c>
      <c r="C169" t="s">
        <v>43</v>
      </c>
      <c r="D169" t="str">
        <f t="shared" si="2"/>
        <v>2012 Dic</v>
      </c>
      <c r="E169" s="1">
        <v>52.99</v>
      </c>
    </row>
    <row r="170" spans="1:5" x14ac:dyDescent="0.3">
      <c r="A170" t="s">
        <v>71</v>
      </c>
      <c r="B170" t="s">
        <v>42</v>
      </c>
      <c r="C170" t="s">
        <v>43</v>
      </c>
      <c r="D170" t="str">
        <f t="shared" si="2"/>
        <v>2013 Ene</v>
      </c>
      <c r="E170" s="1">
        <v>53.09</v>
      </c>
    </row>
    <row r="171" spans="1:5" x14ac:dyDescent="0.3">
      <c r="A171" t="s">
        <v>71</v>
      </c>
      <c r="B171" t="s">
        <v>45</v>
      </c>
      <c r="C171" t="s">
        <v>43</v>
      </c>
      <c r="D171" t="str">
        <f t="shared" si="2"/>
        <v>2013 Feb</v>
      </c>
      <c r="E171" s="1">
        <v>53.6</v>
      </c>
    </row>
    <row r="172" spans="1:5" x14ac:dyDescent="0.3">
      <c r="A172" t="s">
        <v>71</v>
      </c>
      <c r="B172" t="s">
        <v>47</v>
      </c>
      <c r="C172" t="s">
        <v>43</v>
      </c>
      <c r="D172" t="str">
        <f t="shared" si="2"/>
        <v>2013 Mar</v>
      </c>
      <c r="E172" s="1">
        <v>54.33</v>
      </c>
    </row>
    <row r="173" spans="1:5" x14ac:dyDescent="0.3">
      <c r="A173" t="s">
        <v>71</v>
      </c>
      <c r="B173" t="s">
        <v>49</v>
      </c>
      <c r="C173" t="s">
        <v>43</v>
      </c>
      <c r="D173" t="str">
        <f t="shared" si="2"/>
        <v>2013 Abr</v>
      </c>
      <c r="E173" s="1">
        <v>54.54</v>
      </c>
    </row>
    <row r="174" spans="1:5" x14ac:dyDescent="0.3">
      <c r="A174" t="s">
        <v>71</v>
      </c>
      <c r="B174" t="s">
        <v>50</v>
      </c>
      <c r="C174" t="s">
        <v>43</v>
      </c>
      <c r="D174" t="str">
        <f t="shared" si="2"/>
        <v>2013 May</v>
      </c>
      <c r="E174" s="1">
        <v>54.87</v>
      </c>
    </row>
    <row r="175" spans="1:5" x14ac:dyDescent="0.3">
      <c r="A175" t="s">
        <v>71</v>
      </c>
      <c r="B175" t="s">
        <v>51</v>
      </c>
      <c r="C175" t="s">
        <v>43</v>
      </c>
      <c r="D175" t="str">
        <f t="shared" si="2"/>
        <v>2013 Jun</v>
      </c>
      <c r="E175" s="1">
        <v>55.1</v>
      </c>
    </row>
    <row r="176" spans="1:5" x14ac:dyDescent="0.3">
      <c r="A176" t="s">
        <v>71</v>
      </c>
      <c r="B176" t="s">
        <v>52</v>
      </c>
      <c r="C176" t="s">
        <v>43</v>
      </c>
      <c r="D176" t="str">
        <f t="shared" si="2"/>
        <v>2013 Jul</v>
      </c>
      <c r="E176" s="1">
        <v>55.19</v>
      </c>
    </row>
    <row r="177" spans="1:5" x14ac:dyDescent="0.3">
      <c r="A177" t="s">
        <v>71</v>
      </c>
      <c r="B177" t="s">
        <v>53</v>
      </c>
      <c r="C177" t="s">
        <v>43</v>
      </c>
      <c r="D177" t="str">
        <f t="shared" si="2"/>
        <v>2013 Ago</v>
      </c>
      <c r="E177" s="1">
        <v>55.18</v>
      </c>
    </row>
    <row r="178" spans="1:5" x14ac:dyDescent="0.3">
      <c r="A178" t="s">
        <v>71</v>
      </c>
      <c r="B178" t="s">
        <v>54</v>
      </c>
      <c r="C178" t="s">
        <v>43</v>
      </c>
      <c r="D178" t="str">
        <f t="shared" si="2"/>
        <v>2013 Sep</v>
      </c>
      <c r="E178" s="1">
        <v>55.13</v>
      </c>
    </row>
    <row r="179" spans="1:5" x14ac:dyDescent="0.3">
      <c r="A179" t="s">
        <v>71</v>
      </c>
      <c r="B179" t="s">
        <v>55</v>
      </c>
      <c r="C179" t="s">
        <v>43</v>
      </c>
      <c r="D179" t="str">
        <f t="shared" si="2"/>
        <v>2013 Oct</v>
      </c>
      <c r="E179" s="1">
        <v>55.16</v>
      </c>
    </row>
    <row r="180" spans="1:5" x14ac:dyDescent="0.3">
      <c r="A180" t="s">
        <v>71</v>
      </c>
      <c r="B180" t="s">
        <v>56</v>
      </c>
      <c r="C180" t="s">
        <v>43</v>
      </c>
      <c r="D180" t="str">
        <f t="shared" si="2"/>
        <v>2013 Nov</v>
      </c>
      <c r="E180" s="1">
        <v>55.25</v>
      </c>
    </row>
    <row r="181" spans="1:5" x14ac:dyDescent="0.3">
      <c r="A181" t="s">
        <v>71</v>
      </c>
      <c r="B181" t="s">
        <v>57</v>
      </c>
      <c r="C181" t="s">
        <v>43</v>
      </c>
      <c r="D181" t="str">
        <f t="shared" si="2"/>
        <v>2013 Dic</v>
      </c>
      <c r="E181" s="1">
        <v>55.37</v>
      </c>
    </row>
    <row r="182" spans="1:5" x14ac:dyDescent="0.3">
      <c r="A182" t="s">
        <v>72</v>
      </c>
      <c r="B182" t="s">
        <v>42</v>
      </c>
      <c r="C182" t="s">
        <v>43</v>
      </c>
      <c r="D182" t="str">
        <f t="shared" si="2"/>
        <v>2014 Ene</v>
      </c>
      <c r="E182" s="1">
        <v>55.47</v>
      </c>
    </row>
    <row r="183" spans="1:5" x14ac:dyDescent="0.3">
      <c r="A183" t="s">
        <v>72</v>
      </c>
      <c r="B183" t="s">
        <v>45</v>
      </c>
      <c r="C183" t="s">
        <v>43</v>
      </c>
      <c r="D183" t="str">
        <f t="shared" si="2"/>
        <v>2014 Feb</v>
      </c>
      <c r="E183" s="1">
        <v>55.72</v>
      </c>
    </row>
    <row r="184" spans="1:5" x14ac:dyDescent="0.3">
      <c r="A184" t="s">
        <v>72</v>
      </c>
      <c r="B184" t="s">
        <v>47</v>
      </c>
      <c r="C184" t="s">
        <v>43</v>
      </c>
      <c r="D184" t="str">
        <f t="shared" si="2"/>
        <v>2014 Mar</v>
      </c>
      <c r="E184" s="1">
        <v>56.24</v>
      </c>
    </row>
    <row r="185" spans="1:5" x14ac:dyDescent="0.3">
      <c r="A185" t="s">
        <v>72</v>
      </c>
      <c r="B185" t="s">
        <v>49</v>
      </c>
      <c r="C185" t="s">
        <v>43</v>
      </c>
      <c r="D185" t="str">
        <f t="shared" si="2"/>
        <v>2014 Abr</v>
      </c>
      <c r="E185" s="1">
        <v>56.52</v>
      </c>
    </row>
    <row r="186" spans="1:5" x14ac:dyDescent="0.3">
      <c r="A186" t="s">
        <v>72</v>
      </c>
      <c r="B186" t="s">
        <v>50</v>
      </c>
      <c r="C186" t="s">
        <v>43</v>
      </c>
      <c r="D186" t="str">
        <f t="shared" si="2"/>
        <v>2014 May</v>
      </c>
      <c r="E186" s="1">
        <v>56.87</v>
      </c>
    </row>
    <row r="187" spans="1:5" x14ac:dyDescent="0.3">
      <c r="A187" t="s">
        <v>72</v>
      </c>
      <c r="B187" t="s">
        <v>51</v>
      </c>
      <c r="C187" t="s">
        <v>43</v>
      </c>
      <c r="D187" t="str">
        <f t="shared" si="2"/>
        <v>2014 Jun</v>
      </c>
      <c r="E187" s="1">
        <v>57.02</v>
      </c>
    </row>
    <row r="188" spans="1:5" x14ac:dyDescent="0.3">
      <c r="A188" t="s">
        <v>72</v>
      </c>
      <c r="B188" t="s">
        <v>52</v>
      </c>
      <c r="C188" t="s">
        <v>43</v>
      </c>
      <c r="D188" t="str">
        <f t="shared" si="2"/>
        <v>2014 Jul</v>
      </c>
      <c r="E188" s="1">
        <v>57.05</v>
      </c>
    </row>
    <row r="189" spans="1:5" x14ac:dyDescent="0.3">
      <c r="A189" t="s">
        <v>72</v>
      </c>
      <c r="B189" t="s">
        <v>53</v>
      </c>
      <c r="C189" t="s">
        <v>43</v>
      </c>
      <c r="D189" t="str">
        <f t="shared" si="2"/>
        <v>2014 Ago</v>
      </c>
      <c r="E189" s="1">
        <v>57.08</v>
      </c>
    </row>
    <row r="190" spans="1:5" x14ac:dyDescent="0.3">
      <c r="A190" t="s">
        <v>72</v>
      </c>
      <c r="B190" t="s">
        <v>54</v>
      </c>
      <c r="C190" t="s">
        <v>43</v>
      </c>
      <c r="D190" t="str">
        <f t="shared" si="2"/>
        <v>2014 Sep</v>
      </c>
      <c r="E190" s="1">
        <v>57.12</v>
      </c>
    </row>
    <row r="191" spans="1:5" x14ac:dyDescent="0.3">
      <c r="A191" t="s">
        <v>72</v>
      </c>
      <c r="B191" t="s">
        <v>55</v>
      </c>
      <c r="C191" t="s">
        <v>43</v>
      </c>
      <c r="D191" t="str">
        <f t="shared" si="2"/>
        <v>2014 Oct</v>
      </c>
      <c r="E191" s="1">
        <v>57.19</v>
      </c>
    </row>
    <row r="192" spans="1:5" x14ac:dyDescent="0.3">
      <c r="A192" t="s">
        <v>72</v>
      </c>
      <c r="B192" t="s">
        <v>56</v>
      </c>
      <c r="C192" t="s">
        <v>43</v>
      </c>
      <c r="D192" t="str">
        <f t="shared" si="2"/>
        <v>2014 Nov</v>
      </c>
      <c r="E192" s="1">
        <v>57.25</v>
      </c>
    </row>
    <row r="193" spans="1:5" x14ac:dyDescent="0.3">
      <c r="A193" t="s">
        <v>72</v>
      </c>
      <c r="B193" t="s">
        <v>57</v>
      </c>
      <c r="C193" t="s">
        <v>43</v>
      </c>
      <c r="D193" t="str">
        <f t="shared" si="2"/>
        <v>2014 Dic</v>
      </c>
      <c r="E193" s="1">
        <v>57.33</v>
      </c>
    </row>
    <row r="194" spans="1:5" x14ac:dyDescent="0.3">
      <c r="A194" t="s">
        <v>73</v>
      </c>
      <c r="B194" t="s">
        <v>42</v>
      </c>
      <c r="C194" t="s">
        <v>43</v>
      </c>
      <c r="D194" t="str">
        <f t="shared" si="2"/>
        <v>2015 Ene</v>
      </c>
      <c r="E194" s="1">
        <v>57.6</v>
      </c>
    </row>
    <row r="195" spans="1:5" x14ac:dyDescent="0.3">
      <c r="A195" t="s">
        <v>73</v>
      </c>
      <c r="B195" t="s">
        <v>45</v>
      </c>
      <c r="C195" t="s">
        <v>43</v>
      </c>
      <c r="D195" t="str">
        <f t="shared" ref="D195:D258" si="3">_xlfn.CONCAT(A195," ",B195)</f>
        <v>2015 Feb</v>
      </c>
      <c r="E195" s="1">
        <v>58.09</v>
      </c>
    </row>
    <row r="196" spans="1:5" x14ac:dyDescent="0.3">
      <c r="A196" t="s">
        <v>73</v>
      </c>
      <c r="B196" t="s">
        <v>47</v>
      </c>
      <c r="C196" t="s">
        <v>43</v>
      </c>
      <c r="D196" t="str">
        <f t="shared" si="3"/>
        <v>2015 Mar</v>
      </c>
      <c r="E196" s="1">
        <v>58.63</v>
      </c>
    </row>
    <row r="197" spans="1:5" x14ac:dyDescent="0.3">
      <c r="A197" t="s">
        <v>73</v>
      </c>
      <c r="B197" t="s">
        <v>49</v>
      </c>
      <c r="C197" t="s">
        <v>43</v>
      </c>
      <c r="D197" t="str">
        <f t="shared" si="3"/>
        <v>2015 Abr</v>
      </c>
      <c r="E197" s="1">
        <v>59.36</v>
      </c>
    </row>
    <row r="198" spans="1:5" x14ac:dyDescent="0.3">
      <c r="A198" t="s">
        <v>73</v>
      </c>
      <c r="B198" t="s">
        <v>50</v>
      </c>
      <c r="C198" t="s">
        <v>43</v>
      </c>
      <c r="D198" t="str">
        <f t="shared" si="3"/>
        <v>2015 May</v>
      </c>
      <c r="E198" s="1">
        <v>60.3</v>
      </c>
    </row>
    <row r="199" spans="1:5" x14ac:dyDescent="0.3">
      <c r="A199" t="s">
        <v>73</v>
      </c>
      <c r="B199" t="s">
        <v>51</v>
      </c>
      <c r="C199" t="s">
        <v>43</v>
      </c>
      <c r="D199" t="str">
        <f t="shared" si="3"/>
        <v>2015 Jun</v>
      </c>
      <c r="E199" s="1">
        <v>60.57</v>
      </c>
    </row>
    <row r="200" spans="1:5" x14ac:dyDescent="0.3">
      <c r="A200" t="s">
        <v>73</v>
      </c>
      <c r="B200" t="s">
        <v>52</v>
      </c>
      <c r="C200" t="s">
        <v>43</v>
      </c>
      <c r="D200" t="str">
        <f t="shared" si="3"/>
        <v>2015 Jul</v>
      </c>
      <c r="E200" s="1">
        <v>60.8</v>
      </c>
    </row>
    <row r="201" spans="1:5" x14ac:dyDescent="0.3">
      <c r="A201" t="s">
        <v>73</v>
      </c>
      <c r="B201" t="s">
        <v>53</v>
      </c>
      <c r="C201" t="s">
        <v>43</v>
      </c>
      <c r="D201" t="str">
        <f t="shared" si="3"/>
        <v>2015 Ago</v>
      </c>
      <c r="E201" s="1">
        <v>60.84</v>
      </c>
    </row>
    <row r="202" spans="1:5" x14ac:dyDescent="0.3">
      <c r="A202" t="s">
        <v>73</v>
      </c>
      <c r="B202" t="s">
        <v>54</v>
      </c>
      <c r="C202" t="s">
        <v>43</v>
      </c>
      <c r="D202" t="str">
        <f t="shared" si="3"/>
        <v>2015 Sep</v>
      </c>
      <c r="E202" s="1">
        <v>60.84</v>
      </c>
    </row>
    <row r="203" spans="1:5" x14ac:dyDescent="0.3">
      <c r="A203" t="s">
        <v>73</v>
      </c>
      <c r="B203" t="s">
        <v>55</v>
      </c>
      <c r="C203" t="s">
        <v>43</v>
      </c>
      <c r="D203" t="str">
        <f t="shared" si="3"/>
        <v>2015 Oct</v>
      </c>
      <c r="E203" s="1">
        <v>60.85</v>
      </c>
    </row>
    <row r="204" spans="1:5" x14ac:dyDescent="0.3">
      <c r="A204" t="s">
        <v>73</v>
      </c>
      <c r="B204" t="s">
        <v>56</v>
      </c>
      <c r="C204" t="s">
        <v>43</v>
      </c>
      <c r="D204" t="str">
        <f t="shared" si="3"/>
        <v>2015 Nov</v>
      </c>
      <c r="E204" s="1">
        <v>60.65</v>
      </c>
    </row>
    <row r="205" spans="1:5" x14ac:dyDescent="0.3">
      <c r="A205" t="s">
        <v>73</v>
      </c>
      <c r="B205" t="s">
        <v>57</v>
      </c>
      <c r="C205" t="s">
        <v>43</v>
      </c>
      <c r="D205" t="str">
        <f t="shared" si="3"/>
        <v>2015 Dic</v>
      </c>
      <c r="E205" s="1">
        <v>60.73</v>
      </c>
    </row>
    <row r="206" spans="1:5" x14ac:dyDescent="0.3">
      <c r="A206" t="s">
        <v>74</v>
      </c>
      <c r="B206" t="s">
        <v>42</v>
      </c>
      <c r="C206" t="s">
        <v>43</v>
      </c>
      <c r="D206" t="str">
        <f t="shared" si="3"/>
        <v>2016 Ene</v>
      </c>
      <c r="E206" s="1">
        <v>61.07</v>
      </c>
    </row>
    <row r="207" spans="1:5" x14ac:dyDescent="0.3">
      <c r="A207" t="s">
        <v>74</v>
      </c>
      <c r="B207" t="s">
        <v>45</v>
      </c>
      <c r="C207" t="s">
        <v>43</v>
      </c>
      <c r="D207" t="str">
        <f t="shared" si="3"/>
        <v>2016 Feb</v>
      </c>
      <c r="E207" s="1">
        <v>62.08</v>
      </c>
    </row>
    <row r="208" spans="1:5" x14ac:dyDescent="0.3">
      <c r="A208" t="s">
        <v>74</v>
      </c>
      <c r="B208" t="s">
        <v>47</v>
      </c>
      <c r="C208" t="s">
        <v>43</v>
      </c>
      <c r="D208" t="str">
        <f t="shared" si="3"/>
        <v>2016 Mar</v>
      </c>
      <c r="E208" s="1">
        <v>63.61</v>
      </c>
    </row>
    <row r="209" spans="1:5" x14ac:dyDescent="0.3">
      <c r="A209" t="s">
        <v>74</v>
      </c>
      <c r="B209" t="s">
        <v>49</v>
      </c>
      <c r="C209" t="s">
        <v>43</v>
      </c>
      <c r="D209" t="str">
        <f t="shared" si="3"/>
        <v>2016 Abr</v>
      </c>
      <c r="E209" s="1">
        <v>64.06</v>
      </c>
    </row>
    <row r="210" spans="1:5" x14ac:dyDescent="0.3">
      <c r="A210" t="s">
        <v>74</v>
      </c>
      <c r="B210" t="s">
        <v>50</v>
      </c>
      <c r="C210" t="s">
        <v>43</v>
      </c>
      <c r="D210" t="str">
        <f t="shared" si="3"/>
        <v>2016 May</v>
      </c>
      <c r="E210" s="1">
        <v>64.52</v>
      </c>
    </row>
    <row r="211" spans="1:5" x14ac:dyDescent="0.3">
      <c r="A211" t="s">
        <v>74</v>
      </c>
      <c r="B211" t="s">
        <v>51</v>
      </c>
      <c r="C211" t="s">
        <v>43</v>
      </c>
      <c r="D211" t="str">
        <f t="shared" si="3"/>
        <v>2016 Jun</v>
      </c>
      <c r="E211" s="1">
        <v>64.73</v>
      </c>
    </row>
    <row r="212" spans="1:5" x14ac:dyDescent="0.3">
      <c r="A212" t="s">
        <v>74</v>
      </c>
      <c r="B212" t="s">
        <v>52</v>
      </c>
      <c r="C212" t="s">
        <v>43</v>
      </c>
      <c r="D212" t="str">
        <f t="shared" si="3"/>
        <v>2016 Jul</v>
      </c>
      <c r="E212" s="1">
        <v>64.92</v>
      </c>
    </row>
    <row r="213" spans="1:5" x14ac:dyDescent="0.3">
      <c r="A213" t="s">
        <v>74</v>
      </c>
      <c r="B213" t="s">
        <v>53</v>
      </c>
      <c r="C213" t="s">
        <v>43</v>
      </c>
      <c r="D213" t="str">
        <f t="shared" si="3"/>
        <v>2016 Ago</v>
      </c>
      <c r="E213" s="1">
        <v>64.94</v>
      </c>
    </row>
    <row r="214" spans="1:5" x14ac:dyDescent="0.3">
      <c r="A214" t="s">
        <v>74</v>
      </c>
      <c r="B214" t="s">
        <v>54</v>
      </c>
      <c r="C214" t="s">
        <v>43</v>
      </c>
      <c r="D214" t="str">
        <f t="shared" si="3"/>
        <v>2016 Sep</v>
      </c>
      <c r="E214" s="1">
        <v>64.88</v>
      </c>
    </row>
    <row r="215" spans="1:5" x14ac:dyDescent="0.3">
      <c r="A215" t="s">
        <v>74</v>
      </c>
      <c r="B215" t="s">
        <v>55</v>
      </c>
      <c r="C215" t="s">
        <v>43</v>
      </c>
      <c r="D215" t="str">
        <f t="shared" si="3"/>
        <v>2016 Oct</v>
      </c>
      <c r="E215" s="1">
        <v>64.959999999999994</v>
      </c>
    </row>
    <row r="216" spans="1:5" x14ac:dyDescent="0.3">
      <c r="A216" t="s">
        <v>74</v>
      </c>
      <c r="B216" t="s">
        <v>56</v>
      </c>
      <c r="C216" t="s">
        <v>43</v>
      </c>
      <c r="D216" t="str">
        <f t="shared" si="3"/>
        <v>2016 Nov</v>
      </c>
      <c r="E216" s="1">
        <v>65.05</v>
      </c>
    </row>
    <row r="217" spans="1:5" x14ac:dyDescent="0.3">
      <c r="A217" t="s">
        <v>74</v>
      </c>
      <c r="B217" t="s">
        <v>57</v>
      </c>
      <c r="C217" t="s">
        <v>43</v>
      </c>
      <c r="D217" t="str">
        <f t="shared" si="3"/>
        <v>2016 Dic</v>
      </c>
      <c r="E217" s="1">
        <v>65.34</v>
      </c>
    </row>
    <row r="218" spans="1:5" x14ac:dyDescent="0.3">
      <c r="A218" t="s">
        <v>75</v>
      </c>
      <c r="B218" t="s">
        <v>42</v>
      </c>
      <c r="C218" t="s">
        <v>43</v>
      </c>
      <c r="D218" t="str">
        <f t="shared" si="3"/>
        <v>2017 Ene</v>
      </c>
      <c r="E218" s="1">
        <v>68.819999999999993</v>
      </c>
    </row>
    <row r="219" spans="1:5" x14ac:dyDescent="0.3">
      <c r="A219" t="s">
        <v>75</v>
      </c>
      <c r="B219" t="s">
        <v>45</v>
      </c>
      <c r="C219" t="s">
        <v>43</v>
      </c>
      <c r="D219" t="str">
        <f t="shared" si="3"/>
        <v>2017 Feb</v>
      </c>
      <c r="E219" s="1">
        <v>74.48</v>
      </c>
    </row>
    <row r="220" spans="1:5" x14ac:dyDescent="0.3">
      <c r="A220" t="s">
        <v>75</v>
      </c>
      <c r="B220" t="s">
        <v>47</v>
      </c>
      <c r="C220" t="s">
        <v>43</v>
      </c>
      <c r="D220" t="str">
        <f t="shared" si="3"/>
        <v>2017 Mar</v>
      </c>
      <c r="E220" s="1">
        <v>78.94</v>
      </c>
    </row>
    <row r="221" spans="1:5" x14ac:dyDescent="0.3">
      <c r="A221" t="s">
        <v>75</v>
      </c>
      <c r="B221" t="s">
        <v>49</v>
      </c>
      <c r="C221" t="s">
        <v>43</v>
      </c>
      <c r="D221" t="str">
        <f t="shared" si="3"/>
        <v>2017 Abr</v>
      </c>
      <c r="E221" s="1">
        <v>80.22</v>
      </c>
    </row>
    <row r="222" spans="1:5" x14ac:dyDescent="0.3">
      <c r="A222" t="s">
        <v>75</v>
      </c>
      <c r="B222" t="s">
        <v>50</v>
      </c>
      <c r="C222" t="s">
        <v>43</v>
      </c>
      <c r="D222" t="str">
        <f t="shared" si="3"/>
        <v>2017 May</v>
      </c>
      <c r="E222" s="1">
        <v>80.66</v>
      </c>
    </row>
    <row r="223" spans="1:5" x14ac:dyDescent="0.3">
      <c r="A223" t="s">
        <v>75</v>
      </c>
      <c r="B223" t="s">
        <v>51</v>
      </c>
      <c r="C223" t="s">
        <v>43</v>
      </c>
      <c r="D223" t="str">
        <f t="shared" si="3"/>
        <v>2017 Jun</v>
      </c>
      <c r="E223" s="1">
        <v>81.459999999999994</v>
      </c>
    </row>
    <row r="224" spans="1:5" x14ac:dyDescent="0.3">
      <c r="A224" t="s">
        <v>75</v>
      </c>
      <c r="B224" t="s">
        <v>52</v>
      </c>
      <c r="C224" t="s">
        <v>43</v>
      </c>
      <c r="D224" t="str">
        <f t="shared" si="3"/>
        <v>2017 Jul</v>
      </c>
      <c r="E224" s="1">
        <v>81.88</v>
      </c>
    </row>
    <row r="225" spans="1:5" x14ac:dyDescent="0.3">
      <c r="A225" t="s">
        <v>75</v>
      </c>
      <c r="B225" t="s">
        <v>53</v>
      </c>
      <c r="C225" t="s">
        <v>43</v>
      </c>
      <c r="D225" t="str">
        <f t="shared" si="3"/>
        <v>2017 Ago</v>
      </c>
      <c r="E225" s="1">
        <v>82.14</v>
      </c>
    </row>
    <row r="226" spans="1:5" x14ac:dyDescent="0.3">
      <c r="A226" t="s">
        <v>75</v>
      </c>
      <c r="B226" t="s">
        <v>54</v>
      </c>
      <c r="C226" t="s">
        <v>43</v>
      </c>
      <c r="D226" t="str">
        <f t="shared" si="3"/>
        <v>2017 Sep</v>
      </c>
      <c r="E226" s="1">
        <v>82.08</v>
      </c>
    </row>
    <row r="227" spans="1:5" x14ac:dyDescent="0.3">
      <c r="A227" t="s">
        <v>75</v>
      </c>
      <c r="B227" t="s">
        <v>55</v>
      </c>
      <c r="C227" t="s">
        <v>43</v>
      </c>
      <c r="D227" t="str">
        <f t="shared" si="3"/>
        <v>2017 Oct</v>
      </c>
      <c r="E227" s="1">
        <v>82.24</v>
      </c>
    </row>
    <row r="228" spans="1:5" x14ac:dyDescent="0.3">
      <c r="A228" t="s">
        <v>75</v>
      </c>
      <c r="B228" t="s">
        <v>56</v>
      </c>
      <c r="C228" t="s">
        <v>43</v>
      </c>
      <c r="D228" t="str">
        <f t="shared" si="3"/>
        <v>2017 Nov</v>
      </c>
      <c r="E228" s="1">
        <v>82.33</v>
      </c>
    </row>
    <row r="229" spans="1:5" x14ac:dyDescent="0.3">
      <c r="A229" t="s">
        <v>75</v>
      </c>
      <c r="B229" t="s">
        <v>57</v>
      </c>
      <c r="C229" t="s">
        <v>43</v>
      </c>
      <c r="D229" t="str">
        <f t="shared" si="3"/>
        <v>2017 Dic</v>
      </c>
      <c r="E229" s="1">
        <v>83.1</v>
      </c>
    </row>
    <row r="230" spans="1:5" x14ac:dyDescent="0.3">
      <c r="A230" t="s">
        <v>76</v>
      </c>
      <c r="B230" t="s">
        <v>42</v>
      </c>
      <c r="C230" t="s">
        <v>43</v>
      </c>
      <c r="D230" t="str">
        <f t="shared" si="3"/>
        <v>2018 Ene</v>
      </c>
      <c r="E230" s="1">
        <v>86.84</v>
      </c>
    </row>
    <row r="231" spans="1:5" x14ac:dyDescent="0.3">
      <c r="A231" t="s">
        <v>76</v>
      </c>
      <c r="B231" t="s">
        <v>45</v>
      </c>
      <c r="C231" t="s">
        <v>43</v>
      </c>
      <c r="D231" t="str">
        <f t="shared" si="3"/>
        <v>2018 Feb</v>
      </c>
      <c r="E231" s="1">
        <v>91.96</v>
      </c>
    </row>
    <row r="232" spans="1:5" x14ac:dyDescent="0.3">
      <c r="A232" t="s">
        <v>76</v>
      </c>
      <c r="B232" t="s">
        <v>47</v>
      </c>
      <c r="C232" t="s">
        <v>43</v>
      </c>
      <c r="D232" t="str">
        <f t="shared" si="3"/>
        <v>2018 Mar</v>
      </c>
      <c r="E232" s="1">
        <v>95.34</v>
      </c>
    </row>
    <row r="233" spans="1:5" x14ac:dyDescent="0.3">
      <c r="A233" t="s">
        <v>76</v>
      </c>
      <c r="B233" t="s">
        <v>49</v>
      </c>
      <c r="C233" t="s">
        <v>43</v>
      </c>
      <c r="D233" t="str">
        <f t="shared" si="3"/>
        <v>2018 Abr</v>
      </c>
      <c r="E233" s="1">
        <v>96.42</v>
      </c>
    </row>
    <row r="234" spans="1:5" x14ac:dyDescent="0.3">
      <c r="A234" t="s">
        <v>76</v>
      </c>
      <c r="B234" t="s">
        <v>50</v>
      </c>
      <c r="C234" t="s">
        <v>43</v>
      </c>
      <c r="D234" t="str">
        <f t="shared" si="3"/>
        <v>2018 May</v>
      </c>
      <c r="E234" s="1">
        <v>97.04</v>
      </c>
    </row>
    <row r="235" spans="1:5" x14ac:dyDescent="0.3">
      <c r="A235" t="s">
        <v>76</v>
      </c>
      <c r="B235" t="s">
        <v>51</v>
      </c>
      <c r="C235" t="s">
        <v>43</v>
      </c>
      <c r="D235" t="str">
        <f t="shared" si="3"/>
        <v>2018 Jun</v>
      </c>
      <c r="E235" s="1">
        <v>97.43</v>
      </c>
    </row>
    <row r="236" spans="1:5" x14ac:dyDescent="0.3">
      <c r="A236" t="s">
        <v>76</v>
      </c>
      <c r="B236" t="s">
        <v>52</v>
      </c>
      <c r="C236" t="s">
        <v>43</v>
      </c>
      <c r="D236" t="str">
        <f t="shared" si="3"/>
        <v>2018 Jul</v>
      </c>
      <c r="E236" s="1">
        <v>97.93</v>
      </c>
    </row>
    <row r="237" spans="1:5" x14ac:dyDescent="0.3">
      <c r="A237" t="s">
        <v>76</v>
      </c>
      <c r="B237" t="s">
        <v>53</v>
      </c>
      <c r="C237" t="s">
        <v>43</v>
      </c>
      <c r="D237" t="str">
        <f t="shared" si="3"/>
        <v>2018 Ago</v>
      </c>
      <c r="E237" s="1">
        <v>98.21</v>
      </c>
    </row>
    <row r="238" spans="1:5" x14ac:dyDescent="0.3">
      <c r="A238" t="s">
        <v>76</v>
      </c>
      <c r="B238" t="s">
        <v>54</v>
      </c>
      <c r="C238" t="s">
        <v>43</v>
      </c>
      <c r="D238" t="str">
        <f t="shared" si="3"/>
        <v>2018 Sep</v>
      </c>
      <c r="E238" s="1">
        <v>98.7</v>
      </c>
    </row>
    <row r="239" spans="1:5" x14ac:dyDescent="0.3">
      <c r="A239" t="s">
        <v>76</v>
      </c>
      <c r="B239" t="s">
        <v>55</v>
      </c>
      <c r="C239" t="s">
        <v>43</v>
      </c>
      <c r="D239" t="str">
        <f t="shared" si="3"/>
        <v>2018 Oct</v>
      </c>
      <c r="E239" s="1">
        <v>98.82</v>
      </c>
    </row>
    <row r="240" spans="1:5" x14ac:dyDescent="0.3">
      <c r="A240" t="s">
        <v>76</v>
      </c>
      <c r="B240" t="s">
        <v>56</v>
      </c>
      <c r="C240" t="s">
        <v>43</v>
      </c>
      <c r="D240" t="str">
        <f t="shared" si="3"/>
        <v>2018 Nov</v>
      </c>
      <c r="E240" s="1">
        <v>99.21</v>
      </c>
    </row>
    <row r="241" spans="1:5" x14ac:dyDescent="0.3">
      <c r="A241" t="s">
        <v>76</v>
      </c>
      <c r="B241" t="s">
        <v>57</v>
      </c>
      <c r="C241" t="s">
        <v>43</v>
      </c>
      <c r="D241" t="str">
        <f t="shared" si="3"/>
        <v>2018 Dic</v>
      </c>
      <c r="E241" s="1">
        <v>100</v>
      </c>
    </row>
    <row r="242" spans="1:5" x14ac:dyDescent="0.3">
      <c r="A242" t="s">
        <v>77</v>
      </c>
      <c r="B242" t="s">
        <v>42</v>
      </c>
      <c r="C242" t="s">
        <v>43</v>
      </c>
      <c r="D242" t="str">
        <f t="shared" si="3"/>
        <v>2019 Ene</v>
      </c>
      <c r="E242" s="1">
        <v>101.98</v>
      </c>
    </row>
    <row r="243" spans="1:5" x14ac:dyDescent="0.3">
      <c r="A243" t="s">
        <v>77</v>
      </c>
      <c r="B243" t="s">
        <v>45</v>
      </c>
      <c r="C243" t="s">
        <v>43</v>
      </c>
      <c r="D243" t="str">
        <f t="shared" si="3"/>
        <v>2019 Feb</v>
      </c>
      <c r="E243" s="1">
        <v>105.9</v>
      </c>
    </row>
    <row r="244" spans="1:5" x14ac:dyDescent="0.3">
      <c r="A244" t="s">
        <v>77</v>
      </c>
      <c r="B244" t="s">
        <v>47</v>
      </c>
      <c r="C244" t="s">
        <v>43</v>
      </c>
      <c r="D244" t="str">
        <f t="shared" si="3"/>
        <v>2019 Mar</v>
      </c>
      <c r="E244" s="1">
        <v>108.82</v>
      </c>
    </row>
    <row r="245" spans="1:5" x14ac:dyDescent="0.3">
      <c r="A245" t="s">
        <v>77</v>
      </c>
      <c r="B245" t="s">
        <v>49</v>
      </c>
      <c r="C245" t="s">
        <v>43</v>
      </c>
      <c r="D245" t="str">
        <f t="shared" si="3"/>
        <v>2019 Abr</v>
      </c>
      <c r="E245" s="1">
        <v>110.44</v>
      </c>
    </row>
    <row r="246" spans="1:5" x14ac:dyDescent="0.3">
      <c r="A246" t="s">
        <v>77</v>
      </c>
      <c r="B246" t="s">
        <v>50</v>
      </c>
      <c r="C246" t="s">
        <v>43</v>
      </c>
      <c r="D246" t="str">
        <f t="shared" si="3"/>
        <v>2019 May</v>
      </c>
      <c r="E246" s="1">
        <v>111.73</v>
      </c>
    </row>
    <row r="247" spans="1:5" x14ac:dyDescent="0.3">
      <c r="A247" t="s">
        <v>77</v>
      </c>
      <c r="B247" t="s">
        <v>51</v>
      </c>
      <c r="C247" t="s">
        <v>43</v>
      </c>
      <c r="D247" t="str">
        <f t="shared" si="3"/>
        <v>2019 Jun</v>
      </c>
      <c r="E247" s="1">
        <v>112.17</v>
      </c>
    </row>
    <row r="248" spans="1:5" x14ac:dyDescent="0.3">
      <c r="A248" t="s">
        <v>77</v>
      </c>
      <c r="B248" t="s">
        <v>52</v>
      </c>
      <c r="C248" t="s">
        <v>43</v>
      </c>
      <c r="D248" t="str">
        <f t="shared" si="3"/>
        <v>2019 Jul</v>
      </c>
      <c r="E248" s="1">
        <v>112.47</v>
      </c>
    </row>
    <row r="249" spans="1:5" x14ac:dyDescent="0.3">
      <c r="A249" t="s">
        <v>77</v>
      </c>
      <c r="B249" t="s">
        <v>53</v>
      </c>
      <c r="C249" t="s">
        <v>43</v>
      </c>
      <c r="D249" t="str">
        <f t="shared" si="3"/>
        <v>2019 Ago</v>
      </c>
      <c r="E249" s="1">
        <v>112.71</v>
      </c>
    </row>
    <row r="250" spans="1:5" x14ac:dyDescent="0.3">
      <c r="A250" t="s">
        <v>77</v>
      </c>
      <c r="B250" t="s">
        <v>54</v>
      </c>
      <c r="C250" t="s">
        <v>43</v>
      </c>
      <c r="D250" t="str">
        <f t="shared" si="3"/>
        <v>2019 Sep</v>
      </c>
      <c r="E250" s="1">
        <v>112.74</v>
      </c>
    </row>
    <row r="251" spans="1:5" x14ac:dyDescent="0.3">
      <c r="A251" t="s">
        <v>77</v>
      </c>
      <c r="B251" t="s">
        <v>55</v>
      </c>
      <c r="C251" t="s">
        <v>43</v>
      </c>
      <c r="D251" t="str">
        <f t="shared" si="3"/>
        <v>2019 Oct</v>
      </c>
      <c r="E251" s="1">
        <v>112.97</v>
      </c>
    </row>
    <row r="252" spans="1:5" x14ac:dyDescent="0.3">
      <c r="A252" t="s">
        <v>77</v>
      </c>
      <c r="B252" t="s">
        <v>56</v>
      </c>
      <c r="C252" t="s">
        <v>43</v>
      </c>
      <c r="D252" t="str">
        <f t="shared" si="3"/>
        <v>2019 Nov</v>
      </c>
      <c r="E252" s="1">
        <v>113.32</v>
      </c>
    </row>
    <row r="253" spans="1:5" x14ac:dyDescent="0.3">
      <c r="A253" t="s">
        <v>77</v>
      </c>
      <c r="B253" t="s">
        <v>57</v>
      </c>
      <c r="C253" t="s">
        <v>43</v>
      </c>
      <c r="D253" t="str">
        <f t="shared" si="3"/>
        <v>2019 Dic</v>
      </c>
      <c r="E253" s="1">
        <v>113.64</v>
      </c>
    </row>
    <row r="254" spans="1:5" x14ac:dyDescent="0.3">
      <c r="A254" t="s">
        <v>78</v>
      </c>
      <c r="B254" t="s">
        <v>42</v>
      </c>
      <c r="C254" t="s">
        <v>43</v>
      </c>
      <c r="D254" t="str">
        <f t="shared" si="3"/>
        <v>2020 Ene</v>
      </c>
      <c r="E254" s="1">
        <v>115.18</v>
      </c>
    </row>
    <row r="255" spans="1:5" x14ac:dyDescent="0.3">
      <c r="A255" t="s">
        <v>78</v>
      </c>
      <c r="B255" t="s">
        <v>45</v>
      </c>
      <c r="C255" t="s">
        <v>43</v>
      </c>
      <c r="D255" t="str">
        <f t="shared" si="3"/>
        <v>2020 Feb</v>
      </c>
      <c r="E255" s="1">
        <v>117.49</v>
      </c>
    </row>
    <row r="256" spans="1:5" x14ac:dyDescent="0.3">
      <c r="A256" t="s">
        <v>78</v>
      </c>
      <c r="B256" t="s">
        <v>47</v>
      </c>
      <c r="C256" t="s">
        <v>43</v>
      </c>
      <c r="D256" t="str">
        <f t="shared" si="3"/>
        <v>2020 Mar</v>
      </c>
      <c r="E256" s="1">
        <v>119.18</v>
      </c>
    </row>
    <row r="257" spans="1:5" x14ac:dyDescent="0.3">
      <c r="A257" t="s">
        <v>78</v>
      </c>
      <c r="B257" t="s">
        <v>49</v>
      </c>
      <c r="C257" t="s">
        <v>43</v>
      </c>
      <c r="D257" t="str">
        <f t="shared" si="3"/>
        <v>2020 Abr</v>
      </c>
      <c r="E257" s="1">
        <v>119.95</v>
      </c>
    </row>
    <row r="258" spans="1:5" x14ac:dyDescent="0.3">
      <c r="A258" t="s">
        <v>78</v>
      </c>
      <c r="B258" t="s">
        <v>50</v>
      </c>
      <c r="C258" t="s">
        <v>43</v>
      </c>
      <c r="D258" t="str">
        <f t="shared" si="3"/>
        <v>2020 May</v>
      </c>
      <c r="E258" s="1">
        <v>120.84</v>
      </c>
    </row>
    <row r="259" spans="1:5" x14ac:dyDescent="0.3">
      <c r="A259" t="s">
        <v>78</v>
      </c>
      <c r="B259" t="s">
        <v>51</v>
      </c>
      <c r="C259" t="s">
        <v>43</v>
      </c>
      <c r="D259" t="str">
        <f t="shared" ref="D259:D305" si="4">_xlfn.CONCAT(A259," ",B259)</f>
        <v>2020 Jun</v>
      </c>
      <c r="E259" s="1">
        <v>121.16</v>
      </c>
    </row>
    <row r="260" spans="1:5" x14ac:dyDescent="0.3">
      <c r="A260" t="s">
        <v>78</v>
      </c>
      <c r="B260" t="s">
        <v>52</v>
      </c>
      <c r="C260" t="s">
        <v>43</v>
      </c>
      <c r="D260" t="str">
        <f t="shared" si="4"/>
        <v>2020 Jul</v>
      </c>
      <c r="E260" s="1">
        <v>121.7</v>
      </c>
    </row>
    <row r="261" spans="1:5" x14ac:dyDescent="0.3">
      <c r="A261" t="s">
        <v>78</v>
      </c>
      <c r="B261" t="s">
        <v>53</v>
      </c>
      <c r="C261" t="s">
        <v>43</v>
      </c>
      <c r="D261" t="str">
        <f t="shared" si="4"/>
        <v>2020 Ago</v>
      </c>
      <c r="E261" s="1">
        <v>122.2</v>
      </c>
    </row>
    <row r="262" spans="1:5" x14ac:dyDescent="0.3">
      <c r="A262" t="s">
        <v>78</v>
      </c>
      <c r="B262" t="s">
        <v>54</v>
      </c>
      <c r="C262" t="s">
        <v>43</v>
      </c>
      <c r="D262" t="str">
        <f t="shared" si="4"/>
        <v>2020 Sep</v>
      </c>
      <c r="E262" s="1">
        <v>122.49</v>
      </c>
    </row>
    <row r="263" spans="1:5" x14ac:dyDescent="0.3">
      <c r="A263" t="s">
        <v>78</v>
      </c>
      <c r="B263" t="s">
        <v>55</v>
      </c>
      <c r="C263" t="s">
        <v>43</v>
      </c>
      <c r="D263" t="str">
        <f t="shared" si="4"/>
        <v>2020 Oct</v>
      </c>
      <c r="E263" s="1">
        <v>122.63</v>
      </c>
    </row>
    <row r="264" spans="1:5" x14ac:dyDescent="0.3">
      <c r="A264" t="s">
        <v>78</v>
      </c>
      <c r="B264" t="s">
        <v>56</v>
      </c>
      <c r="C264" t="s">
        <v>43</v>
      </c>
      <c r="D264" t="str">
        <f t="shared" si="4"/>
        <v>2020 Nov</v>
      </c>
      <c r="E264" s="1">
        <v>122.69</v>
      </c>
    </row>
    <row r="265" spans="1:5" x14ac:dyDescent="0.3">
      <c r="A265" t="s">
        <v>78</v>
      </c>
      <c r="B265" t="s">
        <v>57</v>
      </c>
      <c r="C265" t="s">
        <v>43</v>
      </c>
      <c r="D265" t="str">
        <f t="shared" si="4"/>
        <v>2020 Dic</v>
      </c>
      <c r="E265" s="1">
        <v>122.83</v>
      </c>
    </row>
    <row r="266" spans="1:5" x14ac:dyDescent="0.3">
      <c r="A266" t="s">
        <v>79</v>
      </c>
      <c r="B266" t="s">
        <v>42</v>
      </c>
      <c r="C266" t="s">
        <v>43</v>
      </c>
      <c r="D266" t="str">
        <f t="shared" si="4"/>
        <v>2021 Ene</v>
      </c>
      <c r="E266" s="1">
        <v>123.61</v>
      </c>
    </row>
    <row r="267" spans="1:5" x14ac:dyDescent="0.3">
      <c r="A267" t="s">
        <v>79</v>
      </c>
      <c r="B267" t="s">
        <v>45</v>
      </c>
      <c r="C267" t="s">
        <v>43</v>
      </c>
      <c r="D267" t="str">
        <f t="shared" si="4"/>
        <v>2021 Feb</v>
      </c>
      <c r="E267" s="1">
        <v>125.43</v>
      </c>
    </row>
    <row r="268" spans="1:5" x14ac:dyDescent="0.3">
      <c r="A268" t="s">
        <v>79</v>
      </c>
      <c r="B268" t="s">
        <v>47</v>
      </c>
      <c r="C268" t="s">
        <v>43</v>
      </c>
      <c r="D268" t="str">
        <f t="shared" si="4"/>
        <v>2021 Mar</v>
      </c>
      <c r="E268" s="1">
        <v>127.74</v>
      </c>
    </row>
    <row r="269" spans="1:5" x14ac:dyDescent="0.3">
      <c r="A269" t="s">
        <v>79</v>
      </c>
      <c r="B269" t="s">
        <v>49</v>
      </c>
      <c r="C269" t="s">
        <v>43</v>
      </c>
      <c r="D269" t="str">
        <f t="shared" si="4"/>
        <v>2021 Abr</v>
      </c>
      <c r="E269" s="1">
        <v>128.97999999999999</v>
      </c>
    </row>
    <row r="270" spans="1:5" x14ac:dyDescent="0.3">
      <c r="A270" t="s">
        <v>79</v>
      </c>
      <c r="B270" t="s">
        <v>50</v>
      </c>
      <c r="C270" t="s">
        <v>43</v>
      </c>
      <c r="D270" t="str">
        <f t="shared" si="4"/>
        <v>2021 May</v>
      </c>
      <c r="E270" s="1">
        <v>129.63</v>
      </c>
    </row>
    <row r="271" spans="1:5" x14ac:dyDescent="0.3">
      <c r="A271" t="s">
        <v>79</v>
      </c>
      <c r="B271" t="s">
        <v>51</v>
      </c>
      <c r="C271" t="s">
        <v>43</v>
      </c>
      <c r="D271" t="str">
        <f t="shared" si="4"/>
        <v>2021 Jun</v>
      </c>
      <c r="E271" s="1">
        <v>130.13999999999999</v>
      </c>
    </row>
    <row r="272" spans="1:5" x14ac:dyDescent="0.3">
      <c r="A272" t="s">
        <v>79</v>
      </c>
      <c r="B272" t="s">
        <v>52</v>
      </c>
      <c r="C272" t="s">
        <v>43</v>
      </c>
      <c r="D272" t="str">
        <f t="shared" si="4"/>
        <v>2021 Jul</v>
      </c>
      <c r="E272" s="1">
        <v>130.46</v>
      </c>
    </row>
    <row r="273" spans="1:5" x14ac:dyDescent="0.3">
      <c r="A273" t="s">
        <v>79</v>
      </c>
      <c r="B273" t="s">
        <v>53</v>
      </c>
      <c r="C273" t="s">
        <v>43</v>
      </c>
      <c r="D273" t="str">
        <f t="shared" si="4"/>
        <v>2021 Ago</v>
      </c>
      <c r="E273" s="1">
        <v>131.16999999999999</v>
      </c>
    </row>
    <row r="274" spans="1:5" x14ac:dyDescent="0.3">
      <c r="A274" t="s">
        <v>79</v>
      </c>
      <c r="B274" t="s">
        <v>54</v>
      </c>
      <c r="C274" t="s">
        <v>43</v>
      </c>
      <c r="D274" t="str">
        <f t="shared" si="4"/>
        <v>2021 Sep</v>
      </c>
      <c r="E274" s="1">
        <v>131.33000000000001</v>
      </c>
    </row>
    <row r="275" spans="1:5" x14ac:dyDescent="0.3">
      <c r="A275" t="s">
        <v>79</v>
      </c>
      <c r="B275" t="s">
        <v>55</v>
      </c>
      <c r="C275" t="s">
        <v>43</v>
      </c>
      <c r="D275" t="str">
        <f t="shared" si="4"/>
        <v>2021 Oct</v>
      </c>
      <c r="E275" s="1">
        <v>131.88</v>
      </c>
    </row>
    <row r="276" spans="1:5" x14ac:dyDescent="0.3">
      <c r="A276" t="s">
        <v>79</v>
      </c>
      <c r="B276" t="s">
        <v>56</v>
      </c>
      <c r="C276" t="s">
        <v>43</v>
      </c>
      <c r="D276" t="str">
        <f t="shared" si="4"/>
        <v>2021 Nov</v>
      </c>
      <c r="E276" s="1">
        <v>132.21</v>
      </c>
    </row>
    <row r="277" spans="1:5" x14ac:dyDescent="0.3">
      <c r="A277" t="s">
        <v>79</v>
      </c>
      <c r="B277" t="s">
        <v>57</v>
      </c>
      <c r="C277" t="s">
        <v>43</v>
      </c>
      <c r="D277" t="str">
        <f t="shared" si="4"/>
        <v>2021 Dic</v>
      </c>
      <c r="E277" s="1">
        <v>132.61000000000001</v>
      </c>
    </row>
    <row r="278" spans="1:5" x14ac:dyDescent="0.3">
      <c r="A278" t="s">
        <v>80</v>
      </c>
      <c r="B278" t="s">
        <v>42</v>
      </c>
      <c r="C278" t="s">
        <v>43</v>
      </c>
      <c r="D278" t="str">
        <f t="shared" si="4"/>
        <v>2022 Ene</v>
      </c>
      <c r="E278" s="1">
        <v>133.24</v>
      </c>
    </row>
    <row r="279" spans="1:5" x14ac:dyDescent="0.3">
      <c r="A279" t="s">
        <v>80</v>
      </c>
      <c r="B279" t="s">
        <v>45</v>
      </c>
      <c r="C279" t="s">
        <v>43</v>
      </c>
      <c r="D279" t="str">
        <f t="shared" si="4"/>
        <v>2022 Feb</v>
      </c>
      <c r="E279" s="1">
        <v>134.61000000000001</v>
      </c>
    </row>
    <row r="280" spans="1:5" x14ac:dyDescent="0.3">
      <c r="A280" t="s">
        <v>80</v>
      </c>
      <c r="B280" t="s">
        <v>47</v>
      </c>
      <c r="C280" t="s">
        <v>43</v>
      </c>
      <c r="D280" t="str">
        <f t="shared" si="4"/>
        <v>2022 Mar</v>
      </c>
      <c r="E280" s="1">
        <v>136.08000000000001</v>
      </c>
    </row>
    <row r="281" spans="1:5" x14ac:dyDescent="0.3">
      <c r="A281" t="s">
        <v>80</v>
      </c>
      <c r="B281" t="s">
        <v>49</v>
      </c>
      <c r="C281" t="s">
        <v>43</v>
      </c>
      <c r="D281" t="str">
        <f t="shared" si="4"/>
        <v>2022 Abr</v>
      </c>
      <c r="E281" s="1">
        <v>137.63</v>
      </c>
    </row>
    <row r="282" spans="1:5" x14ac:dyDescent="0.3">
      <c r="A282" t="s">
        <v>80</v>
      </c>
      <c r="B282" t="s">
        <v>50</v>
      </c>
      <c r="C282" t="s">
        <v>43</v>
      </c>
      <c r="D282" t="str">
        <f t="shared" si="4"/>
        <v>2022 May</v>
      </c>
      <c r="E282" s="1">
        <v>138.62</v>
      </c>
    </row>
    <row r="283" spans="1:5" x14ac:dyDescent="0.3">
      <c r="A283" t="s">
        <v>80</v>
      </c>
      <c r="B283" t="s">
        <v>51</v>
      </c>
      <c r="C283" t="s">
        <v>43</v>
      </c>
      <c r="D283" t="str">
        <f t="shared" si="4"/>
        <v>2022 Jun</v>
      </c>
      <c r="E283" s="1">
        <v>139.16999999999999</v>
      </c>
    </row>
    <row r="284" spans="1:5" x14ac:dyDescent="0.3">
      <c r="A284" t="s">
        <v>80</v>
      </c>
      <c r="B284" t="s">
        <v>52</v>
      </c>
      <c r="C284" t="s">
        <v>43</v>
      </c>
      <c r="D284" t="str">
        <f t="shared" si="4"/>
        <v>2022 Jul</v>
      </c>
      <c r="E284" s="1">
        <v>140.26</v>
      </c>
    </row>
    <row r="285" spans="1:5" x14ac:dyDescent="0.3">
      <c r="A285" t="s">
        <v>80</v>
      </c>
      <c r="B285" t="s">
        <v>53</v>
      </c>
      <c r="C285" t="s">
        <v>43</v>
      </c>
      <c r="D285" t="str">
        <f t="shared" si="4"/>
        <v>2022 Ago</v>
      </c>
      <c r="E285" s="1">
        <v>140.69</v>
      </c>
    </row>
    <row r="286" spans="1:5" x14ac:dyDescent="0.3">
      <c r="A286" t="s">
        <v>80</v>
      </c>
      <c r="B286" t="s">
        <v>54</v>
      </c>
      <c r="C286" t="s">
        <v>43</v>
      </c>
      <c r="D286" t="str">
        <f t="shared" si="4"/>
        <v>2022 Sep</v>
      </c>
      <c r="E286" s="1">
        <v>140.72</v>
      </c>
    </row>
    <row r="287" spans="1:5" x14ac:dyDescent="0.3">
      <c r="A287" t="s">
        <v>80</v>
      </c>
      <c r="B287" t="s">
        <v>55</v>
      </c>
      <c r="C287" t="s">
        <v>43</v>
      </c>
      <c r="D287" t="str">
        <f t="shared" si="4"/>
        <v>2022 Oct</v>
      </c>
      <c r="E287" s="1">
        <v>140.85</v>
      </c>
    </row>
    <row r="288" spans="1:5" x14ac:dyDescent="0.3">
      <c r="A288" t="s">
        <v>80</v>
      </c>
      <c r="B288" t="s">
        <v>56</v>
      </c>
      <c r="C288" t="s">
        <v>43</v>
      </c>
      <c r="D288" t="str">
        <f t="shared" si="4"/>
        <v>2022 Nov</v>
      </c>
      <c r="E288" s="1">
        <v>140.63</v>
      </c>
    </row>
    <row r="289" spans="1:5" x14ac:dyDescent="0.3">
      <c r="A289" t="s">
        <v>80</v>
      </c>
      <c r="B289" t="s">
        <v>57</v>
      </c>
      <c r="C289" t="s">
        <v>43</v>
      </c>
      <c r="D289" t="str">
        <f t="shared" si="4"/>
        <v>2022 Dic</v>
      </c>
      <c r="E289" s="1">
        <v>140.86000000000001</v>
      </c>
    </row>
    <row r="290" spans="1:5" x14ac:dyDescent="0.3">
      <c r="A290" t="s">
        <v>81</v>
      </c>
      <c r="B290" t="s">
        <v>42</v>
      </c>
      <c r="C290" t="s">
        <v>43</v>
      </c>
      <c r="D290" t="str">
        <f t="shared" si="4"/>
        <v>2023 Ene</v>
      </c>
      <c r="E290" s="1">
        <v>141.88999999999999</v>
      </c>
    </row>
    <row r="291" spans="1:5" x14ac:dyDescent="0.3">
      <c r="A291" t="s">
        <v>81</v>
      </c>
      <c r="B291" t="s">
        <v>45</v>
      </c>
      <c r="C291" t="s">
        <v>43</v>
      </c>
      <c r="D291" t="str">
        <f t="shared" si="4"/>
        <v>2023 Feb</v>
      </c>
      <c r="E291" s="1">
        <v>144.35</v>
      </c>
    </row>
    <row r="292" spans="1:5" x14ac:dyDescent="0.3">
      <c r="A292" t="s">
        <v>81</v>
      </c>
      <c r="B292" t="s">
        <v>47</v>
      </c>
      <c r="C292" t="s">
        <v>43</v>
      </c>
      <c r="D292" t="str">
        <f t="shared" si="4"/>
        <v>2023 Mar</v>
      </c>
      <c r="E292" s="1">
        <v>148.13</v>
      </c>
    </row>
    <row r="293" spans="1:5" x14ac:dyDescent="0.3">
      <c r="A293" t="s">
        <v>81</v>
      </c>
      <c r="B293" t="s">
        <v>49</v>
      </c>
      <c r="C293" t="s">
        <v>43</v>
      </c>
      <c r="D293" t="str">
        <f t="shared" si="4"/>
        <v>2023 Abr</v>
      </c>
      <c r="E293" s="1">
        <v>151.80000000000001</v>
      </c>
    </row>
    <row r="294" spans="1:5" x14ac:dyDescent="0.3">
      <c r="A294" t="s">
        <v>81</v>
      </c>
      <c r="B294" t="s">
        <v>50</v>
      </c>
      <c r="C294" t="s">
        <v>43</v>
      </c>
      <c r="D294" t="str">
        <f t="shared" si="4"/>
        <v>2023 May</v>
      </c>
      <c r="E294" s="1">
        <v>153.94</v>
      </c>
    </row>
    <row r="295" spans="1:5" x14ac:dyDescent="0.3">
      <c r="A295" t="s">
        <v>81</v>
      </c>
      <c r="B295" t="s">
        <v>51</v>
      </c>
      <c r="C295" t="s">
        <v>43</v>
      </c>
      <c r="D295" t="str">
        <f t="shared" si="4"/>
        <v>2023 Jun</v>
      </c>
      <c r="E295" s="1">
        <v>155.15</v>
      </c>
    </row>
    <row r="296" spans="1:5" x14ac:dyDescent="0.3">
      <c r="A296" t="s">
        <v>81</v>
      </c>
      <c r="B296" t="s">
        <v>52</v>
      </c>
      <c r="C296" t="s">
        <v>43</v>
      </c>
      <c r="D296" t="str">
        <f t="shared" si="4"/>
        <v>2023 Jul</v>
      </c>
      <c r="E296" s="1">
        <v>156.13999999999999</v>
      </c>
    </row>
    <row r="297" spans="1:5" x14ac:dyDescent="0.3">
      <c r="A297" t="s">
        <v>81</v>
      </c>
      <c r="B297" t="s">
        <v>53</v>
      </c>
      <c r="C297" t="s">
        <v>43</v>
      </c>
      <c r="D297" t="str">
        <f t="shared" si="4"/>
        <v>2023 Ago</v>
      </c>
      <c r="E297" s="1">
        <v>156.97</v>
      </c>
    </row>
    <row r="298" spans="1:5" x14ac:dyDescent="0.3">
      <c r="A298" t="s">
        <v>81</v>
      </c>
      <c r="B298" t="s">
        <v>54</v>
      </c>
      <c r="C298" t="s">
        <v>43</v>
      </c>
      <c r="D298" t="str">
        <f t="shared" si="4"/>
        <v>2023 Sep</v>
      </c>
      <c r="E298" s="1">
        <v>157.28</v>
      </c>
    </row>
    <row r="299" spans="1:5" x14ac:dyDescent="0.3">
      <c r="A299" t="s">
        <v>81</v>
      </c>
      <c r="B299" t="s">
        <v>55</v>
      </c>
      <c r="C299" t="s">
        <v>43</v>
      </c>
      <c r="D299" t="str">
        <f t="shared" si="4"/>
        <v>2023 Oct</v>
      </c>
      <c r="E299" s="1">
        <v>157.4</v>
      </c>
    </row>
    <row r="300" spans="1:5" x14ac:dyDescent="0.3">
      <c r="A300" t="s">
        <v>81</v>
      </c>
      <c r="B300" t="s">
        <v>56</v>
      </c>
      <c r="C300" t="s">
        <v>43</v>
      </c>
      <c r="D300" t="str">
        <f t="shared" si="4"/>
        <v>2023 Nov</v>
      </c>
      <c r="E300" s="1">
        <v>157.84</v>
      </c>
    </row>
    <row r="301" spans="1:5" x14ac:dyDescent="0.3">
      <c r="A301" t="s">
        <v>81</v>
      </c>
      <c r="B301" t="s">
        <v>57</v>
      </c>
      <c r="C301" t="s">
        <v>43</v>
      </c>
      <c r="D301" t="str">
        <f t="shared" si="4"/>
        <v>2023 Dic</v>
      </c>
      <c r="E301" s="1">
        <v>158.83000000000001</v>
      </c>
    </row>
    <row r="302" spans="1:5" x14ac:dyDescent="0.3">
      <c r="A302" t="s">
        <v>82</v>
      </c>
      <c r="B302" t="s">
        <v>42</v>
      </c>
      <c r="C302" t="s">
        <v>43</v>
      </c>
      <c r="D302" t="str">
        <f t="shared" si="4"/>
        <v>2024 Ene</v>
      </c>
      <c r="E302" s="1">
        <v>160.4</v>
      </c>
    </row>
    <row r="303" spans="1:5" x14ac:dyDescent="0.3">
      <c r="A303" t="s">
        <v>82</v>
      </c>
      <c r="B303" t="s">
        <v>45</v>
      </c>
      <c r="C303" t="s">
        <v>43</v>
      </c>
      <c r="D303" t="str">
        <f t="shared" si="4"/>
        <v>2024 Feb</v>
      </c>
      <c r="E303" s="1">
        <v>163.35</v>
      </c>
    </row>
    <row r="304" spans="1:5" x14ac:dyDescent="0.3">
      <c r="A304" t="s">
        <v>82</v>
      </c>
      <c r="B304" t="s">
        <v>47</v>
      </c>
      <c r="C304" t="s">
        <v>43</v>
      </c>
      <c r="D304" t="str">
        <f t="shared" si="4"/>
        <v>2024 Mar</v>
      </c>
      <c r="E304" s="1">
        <v>167.72</v>
      </c>
    </row>
    <row r="305" spans="1:5" x14ac:dyDescent="0.3">
      <c r="A305" t="s">
        <v>82</v>
      </c>
      <c r="B305" t="s">
        <v>49</v>
      </c>
      <c r="C305" t="s">
        <v>43</v>
      </c>
      <c r="D305" t="str">
        <f t="shared" si="4"/>
        <v>2024 Abr</v>
      </c>
      <c r="E305" s="1">
        <v>169.98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2DF8-ACBE-4A6C-A8F4-67AA43CF0240}">
  <dimension ref="A1:AE24"/>
  <sheetViews>
    <sheetView zoomScaleNormal="100" workbookViewId="0">
      <selection activeCell="B5" sqref="B5"/>
    </sheetView>
  </sheetViews>
  <sheetFormatPr baseColWidth="10" defaultColWidth="11.44140625" defaultRowHeight="14.4" x14ac:dyDescent="0.3"/>
  <cols>
    <col min="5" max="7" width="11.44140625" customWidth="1"/>
    <col min="8" max="8" width="12.5546875" customWidth="1"/>
    <col min="9" max="12" width="11.44140625" customWidth="1"/>
    <col min="15" max="16" width="17" customWidth="1"/>
    <col min="18" max="18" width="12" bestFit="1" customWidth="1"/>
    <col min="19" max="19" width="17.33203125" bestFit="1" customWidth="1"/>
    <col min="20" max="20" width="15.5546875" customWidth="1"/>
    <col min="21" max="21" width="17" customWidth="1"/>
    <col min="22" max="22" width="15.44140625" customWidth="1"/>
  </cols>
  <sheetData>
    <row r="1" spans="1:21" ht="92.4" x14ac:dyDescent="0.3">
      <c r="A1" s="2" t="s">
        <v>83</v>
      </c>
      <c r="B1" s="27" t="s">
        <v>84</v>
      </c>
      <c r="C1" s="27" t="s">
        <v>85</v>
      </c>
      <c r="D1" s="27" t="s">
        <v>86</v>
      </c>
      <c r="E1" s="34" t="s">
        <v>87</v>
      </c>
      <c r="F1" s="34" t="s">
        <v>88</v>
      </c>
      <c r="G1" s="34" t="s">
        <v>89</v>
      </c>
      <c r="H1" s="5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28" t="s">
        <v>95</v>
      </c>
      <c r="N1" s="29" t="s">
        <v>96</v>
      </c>
      <c r="O1" s="29" t="s">
        <v>97</v>
      </c>
      <c r="P1" s="29" t="s">
        <v>98</v>
      </c>
      <c r="Q1" s="29" t="s">
        <v>99</v>
      </c>
      <c r="R1" s="29" t="s">
        <v>100</v>
      </c>
      <c r="S1" s="29" t="s">
        <v>101</v>
      </c>
      <c r="T1" s="29" t="s">
        <v>102</v>
      </c>
      <c r="U1" s="29" t="s">
        <v>103</v>
      </c>
    </row>
    <row r="2" spans="1:21" x14ac:dyDescent="0.3">
      <c r="A2" s="2">
        <v>2013</v>
      </c>
      <c r="B2" s="27"/>
      <c r="C2" s="27"/>
      <c r="D2" s="45">
        <v>12.95</v>
      </c>
      <c r="E2" s="34"/>
      <c r="G2" s="34">
        <f>13.6-D2</f>
        <v>0.65000000000000036</v>
      </c>
      <c r="J2" s="34"/>
      <c r="K2" s="34"/>
      <c r="L2" s="34"/>
      <c r="M2" s="28"/>
      <c r="N2" s="29"/>
      <c r="O2" s="29"/>
      <c r="P2" s="29"/>
      <c r="Q2" s="29"/>
      <c r="R2" s="29"/>
      <c r="S2" s="29"/>
      <c r="T2" s="29"/>
      <c r="U2" s="29"/>
    </row>
    <row r="3" spans="1:21" x14ac:dyDescent="0.3">
      <c r="A3" s="2" t="s">
        <v>72</v>
      </c>
      <c r="B3" s="26"/>
      <c r="C3" s="26"/>
      <c r="D3" s="26"/>
      <c r="E3" s="26"/>
      <c r="F3" s="26"/>
      <c r="G3" s="26"/>
      <c r="I3" s="60">
        <v>366.91891247500001</v>
      </c>
      <c r="J3" s="26"/>
      <c r="K3" s="26"/>
      <c r="L3" s="26"/>
      <c r="M3" s="3">
        <v>13049.9</v>
      </c>
      <c r="R3" s="15">
        <v>13543.11</v>
      </c>
      <c r="S3" s="15">
        <v>16193.89</v>
      </c>
      <c r="U3" s="42">
        <v>2102</v>
      </c>
    </row>
    <row r="4" spans="1:21" x14ac:dyDescent="0.3">
      <c r="A4" s="2" t="s">
        <v>73</v>
      </c>
      <c r="E4" s="36"/>
      <c r="I4" s="61">
        <v>346.88219516599997</v>
      </c>
      <c r="J4">
        <v>659</v>
      </c>
      <c r="K4" s="15">
        <f>I4*20*1000/J4</f>
        <v>10527.532478482548</v>
      </c>
      <c r="L4" s="15"/>
      <c r="M4" s="3">
        <v>13084</v>
      </c>
      <c r="R4" s="15">
        <v>9174.7800000000007</v>
      </c>
      <c r="S4" s="15">
        <v>16175.96</v>
      </c>
      <c r="U4">
        <v>1569</v>
      </c>
    </row>
    <row r="5" spans="1:21" x14ac:dyDescent="0.3">
      <c r="A5" s="2" t="s">
        <v>74</v>
      </c>
      <c r="B5" s="36">
        <v>8.2851110000000006</v>
      </c>
      <c r="C5" s="36">
        <f>B5*1.2</f>
        <v>9.9421332000000007</v>
      </c>
      <c r="D5" s="36"/>
      <c r="E5" s="47">
        <v>0.1102196</v>
      </c>
      <c r="F5" s="46">
        <f>E5*1.96</f>
        <v>0.216030416</v>
      </c>
      <c r="G5" s="44"/>
      <c r="I5" s="58">
        <v>370.39350882700001</v>
      </c>
      <c r="J5" s="44">
        <v>701</v>
      </c>
      <c r="K5" s="15">
        <f t="shared" ref="K5:K11" si="0">I5*20*1000/J5</f>
        <v>10567.575144850214</v>
      </c>
      <c r="L5" s="15"/>
      <c r="M5" s="3">
        <v>13010.9</v>
      </c>
      <c r="N5" s="4">
        <v>7936.56</v>
      </c>
      <c r="O5" s="4">
        <v>7865.0889999999999</v>
      </c>
      <c r="P5" s="48">
        <v>7991.5950000000003</v>
      </c>
      <c r="Q5" s="15">
        <f>N5*1.2</f>
        <v>9523.8719999999994</v>
      </c>
      <c r="R5" s="15">
        <v>9108.4779999999992</v>
      </c>
      <c r="S5" s="62">
        <v>17901.78</v>
      </c>
      <c r="U5">
        <v>1092</v>
      </c>
    </row>
    <row r="6" spans="1:21" x14ac:dyDescent="0.3">
      <c r="A6" s="2" t="s">
        <v>75</v>
      </c>
      <c r="B6" s="36">
        <v>7.0234920000000001</v>
      </c>
      <c r="C6" s="36">
        <f t="shared" ref="C6:C12" si="1">B6*1.2</f>
        <v>8.4281904000000001</v>
      </c>
      <c r="D6" s="36"/>
      <c r="E6" s="47">
        <v>0.13802429999999999</v>
      </c>
      <c r="F6" s="46">
        <f t="shared" ref="F6:F12" si="2">E6*1.96</f>
        <v>0.27052762799999996</v>
      </c>
      <c r="G6" s="44"/>
      <c r="I6" s="59">
        <v>434.66439620400001</v>
      </c>
      <c r="J6" s="44">
        <v>1400</v>
      </c>
      <c r="K6" s="15">
        <f t="shared" si="0"/>
        <v>6209.4913743428569</v>
      </c>
      <c r="L6" s="15"/>
      <c r="M6" s="3">
        <v>12219.6</v>
      </c>
      <c r="N6" s="4">
        <v>6840.19</v>
      </c>
      <c r="O6" s="4">
        <v>6781.2659999999996</v>
      </c>
      <c r="P6" s="48">
        <v>6931.527</v>
      </c>
      <c r="Q6" s="15">
        <f t="shared" ref="Q6:Q12" si="3">N6*1.2</f>
        <v>8208.2279999999992</v>
      </c>
      <c r="R6" s="15">
        <v>9965.3179999999993</v>
      </c>
      <c r="S6" s="15">
        <v>15418</v>
      </c>
      <c r="U6">
        <v>919</v>
      </c>
    </row>
    <row r="7" spans="1:21" x14ac:dyDescent="0.3">
      <c r="A7" s="2" t="s">
        <v>76</v>
      </c>
      <c r="B7" s="36">
        <v>7.3860140000000003</v>
      </c>
      <c r="C7" s="36">
        <f t="shared" si="1"/>
        <v>8.8632168</v>
      </c>
      <c r="D7" s="36"/>
      <c r="E7" s="47">
        <v>5.3815000000000002E-2</v>
      </c>
      <c r="F7" s="46">
        <f t="shared" si="2"/>
        <v>0.1054774</v>
      </c>
      <c r="G7" s="44"/>
      <c r="H7" s="31">
        <v>701.72784999999999</v>
      </c>
      <c r="I7" s="59">
        <v>581.34250278891989</v>
      </c>
      <c r="J7" s="44">
        <v>2100</v>
      </c>
      <c r="K7" s="15">
        <f t="shared" si="0"/>
        <v>5536.5952646563801</v>
      </c>
      <c r="L7" s="15">
        <f>H7*20*1000/J7</f>
        <v>6683.1223809523808</v>
      </c>
      <c r="M7" s="3">
        <v>9729.9</v>
      </c>
      <c r="N7" s="4">
        <v>6918.86</v>
      </c>
      <c r="O7" s="4">
        <v>6876.26</v>
      </c>
      <c r="P7" s="48">
        <v>6962.2830000000004</v>
      </c>
      <c r="Q7" s="15">
        <f t="shared" si="3"/>
        <v>8302.6319999999996</v>
      </c>
      <c r="R7" s="15">
        <v>7770.7619999999997</v>
      </c>
      <c r="S7" s="15">
        <v>11482.69</v>
      </c>
      <c r="U7">
        <v>836</v>
      </c>
    </row>
    <row r="8" spans="1:21" x14ac:dyDescent="0.3">
      <c r="A8" s="2" t="s">
        <v>77</v>
      </c>
      <c r="B8" s="36">
        <v>7.3215240000000001</v>
      </c>
      <c r="C8" s="36">
        <f t="shared" si="1"/>
        <v>8.7858287999999991</v>
      </c>
      <c r="D8" s="45">
        <v>9.8000000000000007</v>
      </c>
      <c r="E8" s="47">
        <v>5.3015600000000003E-2</v>
      </c>
      <c r="F8" s="46">
        <f t="shared" si="2"/>
        <v>0.103910576</v>
      </c>
      <c r="G8" s="44">
        <v>0.4</v>
      </c>
      <c r="H8" s="31">
        <v>605.93919000000005</v>
      </c>
      <c r="I8" s="59">
        <v>823.45095215189997</v>
      </c>
      <c r="J8" s="44">
        <v>2253</v>
      </c>
      <c r="K8" s="15">
        <f t="shared" si="0"/>
        <v>7309.8175956671103</v>
      </c>
      <c r="L8" s="15">
        <f t="shared" ref="L8:L11" si="4">H8*20*1000/J8</f>
        <v>5378.9541944074572</v>
      </c>
      <c r="M8" s="3">
        <v>9413.2000000000007</v>
      </c>
      <c r="N8" s="4">
        <v>6858.3</v>
      </c>
      <c r="O8" s="4">
        <v>6805.9340000000002</v>
      </c>
      <c r="P8" s="48">
        <v>6895.4139999999998</v>
      </c>
      <c r="Q8" s="15">
        <f t="shared" si="3"/>
        <v>8229.9599999999991</v>
      </c>
      <c r="R8" s="15">
        <v>6746.5389999999998</v>
      </c>
      <c r="S8" s="15">
        <v>11472.95</v>
      </c>
      <c r="T8">
        <v>6756</v>
      </c>
      <c r="U8">
        <v>747.5</v>
      </c>
    </row>
    <row r="9" spans="1:21" x14ac:dyDescent="0.3">
      <c r="A9" s="2" t="s">
        <v>78</v>
      </c>
      <c r="B9" s="36">
        <v>5.6321190000000003</v>
      </c>
      <c r="C9" s="36">
        <f t="shared" si="1"/>
        <v>6.7585427999999999</v>
      </c>
      <c r="D9" s="36"/>
      <c r="E9" s="47">
        <v>4.8618300000000003E-2</v>
      </c>
      <c r="F9" s="46">
        <f t="shared" si="2"/>
        <v>9.5291868000000002E-2</v>
      </c>
      <c r="G9" s="44"/>
      <c r="H9" s="31">
        <v>994.95285999999999</v>
      </c>
      <c r="I9" s="59">
        <v>859.50246842245008</v>
      </c>
      <c r="J9" s="44">
        <v>2430</v>
      </c>
      <c r="K9" s="15">
        <f t="shared" si="0"/>
        <v>7074.0943903082316</v>
      </c>
      <c r="L9" s="15">
        <f t="shared" si="4"/>
        <v>8188.9124279835387</v>
      </c>
      <c r="M9" s="3">
        <v>9172.2000000000007</v>
      </c>
      <c r="N9" s="4">
        <v>5216.0200000000004</v>
      </c>
      <c r="O9" s="4">
        <v>5193.6540000000005</v>
      </c>
      <c r="P9" s="48">
        <v>5261.915</v>
      </c>
      <c r="Q9" s="15">
        <f t="shared" si="3"/>
        <v>6259.2240000000002</v>
      </c>
      <c r="R9" s="15">
        <v>5001.0230000000001</v>
      </c>
      <c r="S9" s="15">
        <v>10268.629999999999</v>
      </c>
      <c r="U9">
        <v>469.4</v>
      </c>
    </row>
    <row r="10" spans="1:21" x14ac:dyDescent="0.3">
      <c r="A10" s="2" t="s">
        <v>79</v>
      </c>
      <c r="B10" s="36">
        <v>5.4879030000000002</v>
      </c>
      <c r="C10" s="36">
        <f t="shared" si="1"/>
        <v>6.5854835999999999</v>
      </c>
      <c r="D10" s="36"/>
      <c r="E10" s="47">
        <v>4.8775100000000002E-2</v>
      </c>
      <c r="F10" s="46">
        <f t="shared" si="2"/>
        <v>9.5599195999999997E-2</v>
      </c>
      <c r="G10" s="44"/>
      <c r="H10" s="31">
        <v>1164.3275000000001</v>
      </c>
      <c r="I10" s="59">
        <v>805.66302279178001</v>
      </c>
      <c r="J10" s="44">
        <v>2563</v>
      </c>
      <c r="K10" s="15">
        <f t="shared" si="0"/>
        <v>6286.8749339975029</v>
      </c>
      <c r="L10" s="15">
        <f t="shared" si="4"/>
        <v>9085.6613343737827</v>
      </c>
      <c r="M10" s="3">
        <v>8922.7000000000007</v>
      </c>
      <c r="N10" s="4">
        <v>4870.2420000000002</v>
      </c>
      <c r="O10" s="4">
        <v>4850.3270000000002</v>
      </c>
      <c r="P10" s="48">
        <v>4915.1049999999996</v>
      </c>
      <c r="Q10" s="15">
        <f t="shared" si="3"/>
        <v>5844.2903999999999</v>
      </c>
      <c r="R10" s="15">
        <v>9349.64</v>
      </c>
      <c r="S10" s="15">
        <v>11248.42</v>
      </c>
      <c r="U10">
        <v>490.7</v>
      </c>
    </row>
    <row r="11" spans="1:21" x14ac:dyDescent="0.3">
      <c r="A11" s="2" t="s">
        <v>80</v>
      </c>
      <c r="B11" s="36">
        <v>5.3728600000000002</v>
      </c>
      <c r="C11" s="36">
        <f t="shared" si="1"/>
        <v>6.4474320000000001</v>
      </c>
      <c r="D11" s="36"/>
      <c r="E11" s="47">
        <v>4.8811500000000001E-2</v>
      </c>
      <c r="F11" s="46">
        <f t="shared" si="2"/>
        <v>9.5670539999999998E-2</v>
      </c>
      <c r="G11" s="44"/>
      <c r="H11" s="31">
        <v>1248.6477</v>
      </c>
      <c r="I11" s="59">
        <v>873.25428772911982</v>
      </c>
      <c r="J11" s="44">
        <v>2800</v>
      </c>
      <c r="K11" s="15">
        <f t="shared" si="0"/>
        <v>6237.5306266365706</v>
      </c>
      <c r="L11" s="15">
        <f t="shared" si="4"/>
        <v>8918.9121428571416</v>
      </c>
      <c r="M11" s="3">
        <v>9239.7000000000007</v>
      </c>
      <c r="N11" s="4">
        <v>4561.24</v>
      </c>
      <c r="O11" s="4">
        <v>4522.2790000000005</v>
      </c>
      <c r="P11" s="48">
        <v>4591.6580000000004</v>
      </c>
      <c r="Q11" s="15">
        <f t="shared" si="3"/>
        <v>5473.4879999999994</v>
      </c>
      <c r="R11" s="63">
        <v>10388.57</v>
      </c>
      <c r="S11" s="63">
        <v>12812.3</v>
      </c>
      <c r="U11">
        <v>451.9</v>
      </c>
    </row>
    <row r="12" spans="1:21" x14ac:dyDescent="0.3">
      <c r="A12" s="2" t="s">
        <v>81</v>
      </c>
      <c r="B12" s="36">
        <v>6.1300790000000003</v>
      </c>
      <c r="C12" s="36">
        <f t="shared" si="1"/>
        <v>7.3560948000000002</v>
      </c>
      <c r="D12" s="44"/>
      <c r="E12" s="48">
        <v>5.30121E-2</v>
      </c>
      <c r="F12" s="46">
        <f t="shared" si="2"/>
        <v>0.10390371599999999</v>
      </c>
      <c r="G12" s="44"/>
      <c r="I12" s="44"/>
      <c r="J12" s="44">
        <v>3263</v>
      </c>
      <c r="M12" s="3">
        <v>8921</v>
      </c>
      <c r="N12" s="4">
        <v>4944.63</v>
      </c>
      <c r="O12" s="4">
        <v>4898.4030000000002</v>
      </c>
      <c r="P12">
        <v>4974.2190000000001</v>
      </c>
      <c r="Q12" s="15">
        <f t="shared" si="3"/>
        <v>5933.5559999999996</v>
      </c>
      <c r="R12" s="63">
        <v>9452.8680000000004</v>
      </c>
      <c r="S12" s="63">
        <v>12329.65</v>
      </c>
      <c r="U12">
        <v>400.2</v>
      </c>
    </row>
    <row r="13" spans="1:21" x14ac:dyDescent="0.3">
      <c r="E13" s="37"/>
      <c r="P13" s="42"/>
    </row>
    <row r="14" spans="1:21" ht="66" customHeight="1" x14ac:dyDescent="0.3">
      <c r="E14" s="37"/>
      <c r="F14" s="37"/>
      <c r="G14" s="37"/>
      <c r="I14" s="37"/>
      <c r="J14" s="37"/>
      <c r="K14" s="37"/>
      <c r="L14" s="37"/>
      <c r="R14" s="65" t="s">
        <v>104</v>
      </c>
      <c r="S14" s="65"/>
      <c r="U14" s="43" t="s">
        <v>105</v>
      </c>
    </row>
    <row r="15" spans="1:21" ht="69" customHeight="1" x14ac:dyDescent="0.3">
      <c r="A15" s="35"/>
      <c r="B15" s="35"/>
      <c r="C15" s="35"/>
      <c r="D15" s="35"/>
      <c r="E15" s="37"/>
      <c r="F15" s="37"/>
      <c r="G15" s="37"/>
      <c r="I15" s="37"/>
      <c r="J15" s="37"/>
      <c r="K15" s="37"/>
      <c r="L15" s="37"/>
      <c r="M15" s="35"/>
      <c r="U15" s="43" t="s">
        <v>106</v>
      </c>
    </row>
    <row r="16" spans="1:21" x14ac:dyDescent="0.3">
      <c r="A16" s="35"/>
      <c r="B16" s="35"/>
      <c r="C16" s="35"/>
      <c r="D16" s="35"/>
      <c r="E16" s="37"/>
      <c r="F16" s="37"/>
      <c r="G16" s="37"/>
      <c r="I16" s="37"/>
      <c r="J16" s="37"/>
      <c r="K16" s="37"/>
      <c r="L16" s="37"/>
      <c r="M16" s="35"/>
    </row>
    <row r="17" spans="1:31" x14ac:dyDescent="0.3">
      <c r="A17" s="35"/>
      <c r="B17" s="35"/>
      <c r="C17" s="35"/>
      <c r="D17" s="35"/>
      <c r="E17" s="37"/>
      <c r="F17" s="37"/>
      <c r="G17" s="37"/>
      <c r="I17" s="37"/>
      <c r="J17" s="37"/>
      <c r="K17" s="37"/>
      <c r="L17" s="37"/>
      <c r="M17" s="35"/>
    </row>
    <row r="18" spans="1:31" x14ac:dyDescent="0.3">
      <c r="A18" s="35"/>
      <c r="B18" s="35"/>
      <c r="C18" s="35"/>
      <c r="D18" s="35"/>
      <c r="E18" s="37"/>
      <c r="F18" s="37"/>
      <c r="G18" s="37"/>
      <c r="I18" s="37"/>
      <c r="J18" s="37"/>
      <c r="K18" s="37"/>
      <c r="L18" s="37"/>
      <c r="M18" s="35"/>
      <c r="R18">
        <v>4145554688</v>
      </c>
      <c r="AE18" t="s">
        <v>107</v>
      </c>
    </row>
    <row r="19" spans="1:31" x14ac:dyDescent="0.3">
      <c r="A19" s="35"/>
      <c r="B19" s="35"/>
      <c r="C19" s="35"/>
      <c r="D19" s="35"/>
      <c r="E19" s="37"/>
      <c r="F19" s="37"/>
      <c r="G19" s="37"/>
      <c r="I19" s="37"/>
      <c r="J19" s="37"/>
      <c r="K19" s="37"/>
      <c r="L19" s="37"/>
      <c r="M19" s="35"/>
      <c r="R19">
        <f>R18/1000000</f>
        <v>4145.5546880000002</v>
      </c>
      <c r="AE19" t="s">
        <v>108</v>
      </c>
    </row>
    <row r="20" spans="1:31" x14ac:dyDescent="0.3">
      <c r="A20" s="35"/>
      <c r="B20" s="35"/>
      <c r="C20" s="35"/>
      <c r="D20" s="35"/>
      <c r="E20" s="37"/>
      <c r="F20" s="37"/>
      <c r="G20" s="37"/>
      <c r="I20" s="37"/>
      <c r="J20" s="37"/>
      <c r="K20" s="37"/>
      <c r="L20" s="37"/>
      <c r="M20" s="35"/>
      <c r="AE20" t="s">
        <v>109</v>
      </c>
    </row>
    <row r="21" spans="1:31" x14ac:dyDescent="0.3">
      <c r="A21" s="35"/>
      <c r="B21" s="35"/>
      <c r="C21" s="35"/>
      <c r="D21" s="35"/>
      <c r="E21" s="37"/>
      <c r="F21" s="37"/>
      <c r="G21" s="37"/>
      <c r="I21" s="37"/>
      <c r="J21" s="37"/>
      <c r="K21" s="37"/>
      <c r="L21" s="37"/>
      <c r="M21" s="35"/>
    </row>
    <row r="22" spans="1:31" x14ac:dyDescent="0.3">
      <c r="A22" s="35"/>
      <c r="B22" s="35"/>
      <c r="C22" s="35"/>
      <c r="D22" s="35"/>
      <c r="E22" s="37"/>
      <c r="F22" s="37"/>
      <c r="G22" s="37"/>
      <c r="I22" s="37"/>
      <c r="J22" s="37"/>
      <c r="K22" s="37"/>
      <c r="L22" s="37"/>
      <c r="M22" s="35"/>
    </row>
    <row r="23" spans="1:31" x14ac:dyDescent="0.3">
      <c r="E23" s="37"/>
      <c r="F23" s="37"/>
      <c r="G23" s="37"/>
      <c r="I23" s="37"/>
      <c r="J23" s="37"/>
      <c r="K23" s="37"/>
      <c r="L23" s="37"/>
      <c r="R23">
        <v>4145554688</v>
      </c>
    </row>
    <row r="24" spans="1:31" x14ac:dyDescent="0.3">
      <c r="AC24">
        <f>12812*(1-0.14)</f>
        <v>11018.32</v>
      </c>
    </row>
  </sheetData>
  <mergeCells count="1">
    <mergeCell ref="R14:S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954A-77DD-44C5-A4A7-1663E1A251FD}">
  <dimension ref="A1:I11"/>
  <sheetViews>
    <sheetView topLeftCell="A13" workbookViewId="0">
      <selection activeCell="F1" sqref="F1"/>
    </sheetView>
  </sheetViews>
  <sheetFormatPr baseColWidth="10" defaultColWidth="11.44140625" defaultRowHeight="14.4" x14ac:dyDescent="0.3"/>
  <cols>
    <col min="2" max="2" width="13.5546875" bestFit="1" customWidth="1"/>
    <col min="3" max="3" width="14.5546875" bestFit="1" customWidth="1"/>
    <col min="4" max="4" width="13.109375" customWidth="1"/>
    <col min="5" max="5" width="18.88671875" bestFit="1" customWidth="1"/>
    <col min="6" max="6" width="12.5546875" customWidth="1"/>
    <col min="7" max="7" width="16.109375" customWidth="1"/>
  </cols>
  <sheetData>
    <row r="1" spans="1:9" ht="59.25" customHeight="1" x14ac:dyDescent="0.3">
      <c r="A1" t="s">
        <v>113</v>
      </c>
      <c r="B1" s="5" t="s">
        <v>114</v>
      </c>
      <c r="C1" s="5" t="s">
        <v>115</v>
      </c>
      <c r="D1" s="5" t="s">
        <v>116</v>
      </c>
      <c r="E1" s="5" t="s">
        <v>117</v>
      </c>
      <c r="F1" s="5" t="s">
        <v>118</v>
      </c>
      <c r="G1" s="5" t="s">
        <v>119</v>
      </c>
      <c r="H1" s="14" t="s">
        <v>120</v>
      </c>
    </row>
    <row r="2" spans="1:9" x14ac:dyDescent="0.3">
      <c r="A2">
        <v>2014</v>
      </c>
      <c r="B2" s="4">
        <v>0.26932499999999998</v>
      </c>
      <c r="C2" s="4">
        <v>10.685423</v>
      </c>
      <c r="E2" s="7">
        <v>113.29663259599999</v>
      </c>
      <c r="G2" s="7">
        <v>366.91891247500001</v>
      </c>
      <c r="H2">
        <v>720</v>
      </c>
      <c r="I2" t="s">
        <v>121</v>
      </c>
    </row>
    <row r="3" spans="1:9" x14ac:dyDescent="0.3">
      <c r="A3">
        <v>2015</v>
      </c>
      <c r="B3" s="4">
        <v>0.36338399999999998</v>
      </c>
      <c r="C3" s="4">
        <v>27.033408000000001</v>
      </c>
      <c r="E3" s="7">
        <v>126.251952653</v>
      </c>
      <c r="G3" s="7">
        <v>346.88219516599997</v>
      </c>
      <c r="H3">
        <v>722</v>
      </c>
      <c r="I3" t="s">
        <v>122</v>
      </c>
    </row>
    <row r="4" spans="1:9" x14ac:dyDescent="0.3">
      <c r="A4">
        <v>2016</v>
      </c>
      <c r="B4" s="4">
        <v>0.48072900000000002</v>
      </c>
      <c r="C4" s="4">
        <v>34.387391000000001</v>
      </c>
      <c r="E4" s="7">
        <v>160.77276299900001</v>
      </c>
      <c r="G4" s="7">
        <v>370.39350882700001</v>
      </c>
      <c r="H4">
        <v>458</v>
      </c>
      <c r="I4" t="s">
        <v>123</v>
      </c>
    </row>
    <row r="5" spans="1:9" x14ac:dyDescent="0.3">
      <c r="A5">
        <v>2017</v>
      </c>
      <c r="B5" s="4">
        <v>0.605433</v>
      </c>
      <c r="C5" s="4">
        <v>35.216769999999997</v>
      </c>
      <c r="E5" s="7">
        <v>238.21099054481996</v>
      </c>
      <c r="G5" s="7">
        <v>434.66439620400001</v>
      </c>
    </row>
    <row r="6" spans="1:9" x14ac:dyDescent="0.3">
      <c r="A6">
        <v>2018</v>
      </c>
      <c r="B6" s="4">
        <v>1.0236780000000001</v>
      </c>
      <c r="C6" s="4">
        <v>26.651201</v>
      </c>
      <c r="E6" s="30">
        <v>140.86706376544001</v>
      </c>
      <c r="G6" s="7">
        <v>581.34250278891989</v>
      </c>
    </row>
    <row r="7" spans="1:9" x14ac:dyDescent="0.3">
      <c r="A7">
        <v>2019</v>
      </c>
      <c r="B7" s="4">
        <v>1.5735140000000001</v>
      </c>
      <c r="C7" s="4">
        <v>53.456102999999999</v>
      </c>
      <c r="D7" s="31">
        <v>255.05081999999999</v>
      </c>
      <c r="E7" s="7">
        <v>129.57478690600001</v>
      </c>
      <c r="F7" s="31">
        <v>701.72784999999999</v>
      </c>
      <c r="G7" s="7">
        <v>823.45095215189997</v>
      </c>
    </row>
    <row r="8" spans="1:9" x14ac:dyDescent="0.3">
      <c r="A8">
        <v>2020</v>
      </c>
      <c r="B8" s="4">
        <v>1.49701</v>
      </c>
      <c r="C8" s="4">
        <v>77.022160999999997</v>
      </c>
      <c r="D8" s="31">
        <v>302.18531000000002</v>
      </c>
      <c r="E8" s="7">
        <v>62.053293299000003</v>
      </c>
      <c r="F8" s="31">
        <v>605.93919000000005</v>
      </c>
      <c r="G8" s="7">
        <v>859.50246842245008</v>
      </c>
    </row>
    <row r="9" spans="1:9" x14ac:dyDescent="0.3">
      <c r="A9">
        <v>2021</v>
      </c>
      <c r="B9" s="4">
        <v>2.9146519999999998</v>
      </c>
      <c r="C9" s="4">
        <v>76.486818</v>
      </c>
      <c r="D9" s="31">
        <v>478.12031000000002</v>
      </c>
      <c r="E9" s="7">
        <v>148.48124491194</v>
      </c>
      <c r="F9" s="31">
        <v>994.95285999999999</v>
      </c>
      <c r="G9" s="7">
        <v>805.66302279178001</v>
      </c>
    </row>
    <row r="10" spans="1:9" x14ac:dyDescent="0.3">
      <c r="A10">
        <v>2022</v>
      </c>
      <c r="B10" s="4">
        <v>3.6486730000000001</v>
      </c>
      <c r="C10" s="4">
        <v>98.857332999999997</v>
      </c>
      <c r="D10" s="31">
        <v>542.27012000000002</v>
      </c>
      <c r="E10" s="15"/>
      <c r="F10" s="31">
        <v>1164.3275000000001</v>
      </c>
      <c r="G10" s="15">
        <v>873.25428772911982</v>
      </c>
    </row>
    <row r="11" spans="1:9" x14ac:dyDescent="0.3">
      <c r="A11">
        <v>2023</v>
      </c>
      <c r="B11" s="4">
        <v>1.216126</v>
      </c>
      <c r="C11" s="4">
        <v>98.722442999999998</v>
      </c>
      <c r="D11" s="31">
        <v>525.08664999999996</v>
      </c>
      <c r="E11" s="15"/>
      <c r="F11" s="31">
        <v>1248.6477</v>
      </c>
      <c r="G11" s="1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D662-458C-4DF7-9B69-EFEE5705659C}">
  <dimension ref="A1:N11"/>
  <sheetViews>
    <sheetView topLeftCell="D3" zoomScale="66" workbookViewId="0">
      <selection activeCell="P33" sqref="P33"/>
    </sheetView>
  </sheetViews>
  <sheetFormatPr baseColWidth="10" defaultColWidth="11.44140625" defaultRowHeight="14.4" x14ac:dyDescent="0.3"/>
  <cols>
    <col min="2" max="2" width="14.88671875" customWidth="1"/>
    <col min="3" max="3" width="16.109375" customWidth="1"/>
    <col min="4" max="4" width="18.109375" customWidth="1"/>
    <col min="5" max="5" width="16.6640625" customWidth="1"/>
    <col min="6" max="6" width="14.109375" customWidth="1"/>
    <col min="9" max="9" width="18.5546875" customWidth="1"/>
    <col min="10" max="10" width="15.33203125" bestFit="1" customWidth="1"/>
    <col min="11" max="11" width="19" customWidth="1"/>
  </cols>
  <sheetData>
    <row r="1" spans="1:14" ht="86.25" customHeight="1" x14ac:dyDescent="0.3">
      <c r="A1" t="s">
        <v>113</v>
      </c>
      <c r="B1" s="5" t="s">
        <v>124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132</v>
      </c>
      <c r="K1" s="5" t="s">
        <v>133</v>
      </c>
      <c r="L1" s="5" t="s">
        <v>134</v>
      </c>
      <c r="M1" s="5" t="s">
        <v>135</v>
      </c>
      <c r="N1" s="5" t="s">
        <v>136</v>
      </c>
    </row>
    <row r="2" spans="1:14" x14ac:dyDescent="0.3">
      <c r="A2">
        <v>2014</v>
      </c>
      <c r="B2" s="33">
        <v>0.1</v>
      </c>
      <c r="C2" s="8">
        <v>0.75334542535134597</v>
      </c>
      <c r="D2" s="8">
        <v>0.28590811633465202</v>
      </c>
      <c r="E2" s="8">
        <v>7.0775227062646107E-2</v>
      </c>
      <c r="F2" s="8">
        <v>6.1845826659340797E-2</v>
      </c>
      <c r="G2" s="8">
        <v>0.19571987000955501</v>
      </c>
    </row>
    <row r="3" spans="1:14" x14ac:dyDescent="0.3">
      <c r="A3">
        <v>2015</v>
      </c>
      <c r="B3" s="33">
        <v>0.1</v>
      </c>
      <c r="C3" s="8">
        <v>0.75792751296912098</v>
      </c>
      <c r="D3" s="8">
        <v>0.28887626422616902</v>
      </c>
      <c r="E3" s="8">
        <v>7.0782153325975997E-2</v>
      </c>
      <c r="F3" s="8">
        <v>6.3122364811451906E-2</v>
      </c>
      <c r="G3" s="8">
        <v>0.197631075162399</v>
      </c>
      <c r="H3">
        <v>24466576</v>
      </c>
      <c r="I3" s="6">
        <v>317423</v>
      </c>
      <c r="J3" s="6">
        <v>3874</v>
      </c>
      <c r="K3" s="6">
        <v>6186</v>
      </c>
      <c r="L3" s="7">
        <f>I3*1000/$H3</f>
        <v>12.973740175167952</v>
      </c>
      <c r="M3" s="7">
        <f>J3*10000/$H3</f>
        <v>1.5833846141773169</v>
      </c>
      <c r="N3" s="7">
        <f>K3*10000/$H3</f>
        <v>2.5283472440115853</v>
      </c>
    </row>
    <row r="4" spans="1:14" x14ac:dyDescent="0.3">
      <c r="A4">
        <v>2016</v>
      </c>
      <c r="B4" s="33">
        <v>0.1</v>
      </c>
      <c r="C4" s="8">
        <v>0.765476544210279</v>
      </c>
      <c r="D4" s="8">
        <v>0.29057260724317202</v>
      </c>
      <c r="E4" s="8">
        <v>6.9975246117616297E-2</v>
      </c>
      <c r="F4" s="8">
        <v>6.2594236775133802E-2</v>
      </c>
      <c r="G4" s="8">
        <v>0.195417392839423</v>
      </c>
      <c r="H4">
        <v>22232918</v>
      </c>
      <c r="I4" s="64">
        <v>295777</v>
      </c>
      <c r="J4" s="64">
        <v>3339</v>
      </c>
      <c r="K4" s="6">
        <v>4746</v>
      </c>
      <c r="L4" s="7">
        <f t="shared" ref="L4:L11" si="0">I4*1000/$H4</f>
        <v>13.303561862639892</v>
      </c>
      <c r="M4" s="7">
        <f t="shared" ref="M4:M11" si="1">J4*10000/$H4</f>
        <v>1.5018271555717517</v>
      </c>
      <c r="N4" s="7">
        <f t="shared" ref="N4:N11" si="2">K4*10000/$H4</f>
        <v>2.1346725607497854</v>
      </c>
    </row>
    <row r="5" spans="1:14" x14ac:dyDescent="0.3">
      <c r="A5">
        <v>2017</v>
      </c>
      <c r="B5" s="33">
        <v>0.1</v>
      </c>
      <c r="C5" s="8">
        <v>0.55695279068054204</v>
      </c>
      <c r="D5" s="8">
        <v>0.29067319092780097</v>
      </c>
      <c r="E5" s="8">
        <v>7.2154126298298302E-2</v>
      </c>
      <c r="F5" s="8">
        <v>6.2271071619701003E-2</v>
      </c>
      <c r="G5" s="8">
        <v>0.19965602618450301</v>
      </c>
      <c r="H5">
        <v>26029998</v>
      </c>
      <c r="I5" s="64">
        <v>353994</v>
      </c>
      <c r="J5" s="6">
        <v>4016</v>
      </c>
      <c r="K5" s="6">
        <v>6391</v>
      </c>
      <c r="L5" s="7">
        <f t="shared" si="0"/>
        <v>13.599463203954146</v>
      </c>
      <c r="M5" s="7">
        <f t="shared" si="1"/>
        <v>1.5428353087080529</v>
      </c>
      <c r="N5" s="7">
        <f t="shared" si="2"/>
        <v>2.4552441379365453</v>
      </c>
    </row>
    <row r="6" spans="1:14" x14ac:dyDescent="0.3">
      <c r="A6">
        <v>2018</v>
      </c>
      <c r="B6" s="33">
        <v>0.1</v>
      </c>
      <c r="C6" s="8">
        <v>0.76249556412206099</v>
      </c>
      <c r="D6" s="8">
        <v>0.210347462422459</v>
      </c>
      <c r="E6" s="8">
        <v>7.1440325516369696E-2</v>
      </c>
      <c r="F6" s="8">
        <v>6.2668111719941993E-2</v>
      </c>
      <c r="G6" s="8">
        <v>0.19908742762841899</v>
      </c>
      <c r="H6">
        <v>30186070</v>
      </c>
      <c r="I6" s="64">
        <v>377375</v>
      </c>
      <c r="J6" s="6">
        <v>5255</v>
      </c>
      <c r="K6" s="6">
        <v>7852</v>
      </c>
      <c r="L6" s="7">
        <f t="shared" si="0"/>
        <v>12.50162740628376</v>
      </c>
      <c r="M6" s="7">
        <f t="shared" si="1"/>
        <v>1.7408692155023824</v>
      </c>
      <c r="N6" s="7">
        <f t="shared" si="2"/>
        <v>2.6011998249523702</v>
      </c>
    </row>
    <row r="7" spans="1:14" x14ac:dyDescent="0.3">
      <c r="A7">
        <v>2019</v>
      </c>
      <c r="B7" s="33">
        <v>0.1</v>
      </c>
      <c r="C7" s="8">
        <v>0.767478915696996</v>
      </c>
      <c r="D7" s="8">
        <v>0.29260275939817598</v>
      </c>
      <c r="E7" s="8">
        <v>5.4284099078761701E-2</v>
      </c>
      <c r="F7" s="8">
        <v>6.0569986808685798E-2</v>
      </c>
      <c r="G7" s="8">
        <v>0.14550250789357799</v>
      </c>
      <c r="H7">
        <v>34677928</v>
      </c>
      <c r="I7" s="64">
        <v>464524</v>
      </c>
      <c r="J7" s="6">
        <v>7063</v>
      </c>
      <c r="K7" s="6">
        <v>9826</v>
      </c>
      <c r="L7" s="7">
        <f t="shared" si="0"/>
        <v>13.395379331775532</v>
      </c>
      <c r="M7" s="7">
        <f t="shared" si="1"/>
        <v>2.0367422182778627</v>
      </c>
      <c r="N7" s="7">
        <f t="shared" si="2"/>
        <v>2.833502624493597</v>
      </c>
    </row>
    <row r="8" spans="1:14" x14ac:dyDescent="0.3">
      <c r="A8">
        <v>2020</v>
      </c>
      <c r="C8" s="8">
        <v>0.76870467645858997</v>
      </c>
      <c r="D8" s="8">
        <v>0.288948639685699</v>
      </c>
      <c r="E8" s="8">
        <v>7.4491319530266095E-2</v>
      </c>
      <c r="F8" s="8">
        <v>5.1341576289156698E-2</v>
      </c>
      <c r="G8" s="8">
        <v>0.19929015896014601</v>
      </c>
      <c r="H8">
        <v>29858338</v>
      </c>
      <c r="I8" s="64">
        <v>224673</v>
      </c>
      <c r="J8" s="6">
        <v>6656</v>
      </c>
      <c r="K8" s="6">
        <v>9348</v>
      </c>
      <c r="L8" s="7">
        <f t="shared" si="0"/>
        <v>7.5246318130634062</v>
      </c>
      <c r="M8" s="7">
        <f t="shared" si="1"/>
        <v>2.2291930649321472</v>
      </c>
      <c r="N8" s="7">
        <f t="shared" si="2"/>
        <v>3.1307837696793439</v>
      </c>
    </row>
    <row r="9" spans="1:14" x14ac:dyDescent="0.3">
      <c r="A9">
        <v>2021</v>
      </c>
      <c r="C9" s="8">
        <v>0.64102581180797102</v>
      </c>
      <c r="D9" s="8">
        <v>0.241466512460973</v>
      </c>
      <c r="E9" s="8">
        <v>6.2083566146336103E-2</v>
      </c>
      <c r="F9" s="8">
        <v>4.4926170163088398E-2</v>
      </c>
      <c r="G9" s="8">
        <v>0.16740480817509401</v>
      </c>
      <c r="H9">
        <v>32749822</v>
      </c>
      <c r="I9" s="64">
        <v>229366</v>
      </c>
      <c r="J9" s="6">
        <v>5892</v>
      </c>
      <c r="K9" s="6">
        <v>9455</v>
      </c>
      <c r="L9" s="7">
        <f t="shared" si="0"/>
        <v>7.0035800499923324</v>
      </c>
      <c r="M9" s="7">
        <f t="shared" si="1"/>
        <v>1.799093747746171</v>
      </c>
      <c r="N9" s="7">
        <f t="shared" si="2"/>
        <v>2.8870385921486839</v>
      </c>
    </row>
    <row r="10" spans="1:14" x14ac:dyDescent="0.3">
      <c r="A10">
        <v>2022</v>
      </c>
      <c r="H10">
        <v>30663921</v>
      </c>
      <c r="I10" s="64">
        <v>295087</v>
      </c>
      <c r="J10" s="6">
        <v>7357</v>
      </c>
      <c r="K10" s="6">
        <v>8548</v>
      </c>
      <c r="L10" s="7">
        <f t="shared" si="0"/>
        <v>9.6232637698225219</v>
      </c>
      <c r="M10" s="7">
        <f t="shared" si="1"/>
        <v>2.399236549037548</v>
      </c>
      <c r="N10" s="7">
        <f t="shared" si="2"/>
        <v>2.7876408891087348</v>
      </c>
    </row>
    <row r="11" spans="1:14" x14ac:dyDescent="0.3">
      <c r="A11">
        <v>2023</v>
      </c>
      <c r="H11">
        <v>30836859</v>
      </c>
      <c r="I11" s="64">
        <v>314245</v>
      </c>
      <c r="J11" s="6">
        <v>7786</v>
      </c>
      <c r="K11" s="6">
        <v>9522</v>
      </c>
      <c r="L11" s="7">
        <f t="shared" si="0"/>
        <v>10.190564479994542</v>
      </c>
      <c r="M11" s="7">
        <f t="shared" si="1"/>
        <v>2.5249004770557208</v>
      </c>
      <c r="N11" s="7">
        <f t="shared" si="2"/>
        <v>3.0878631315854834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6E6B-FD46-4A77-8828-96F53C9DE559}">
  <dimension ref="A2:S19"/>
  <sheetViews>
    <sheetView tabSelected="1" workbookViewId="0">
      <selection activeCell="I27" sqref="I27"/>
    </sheetView>
  </sheetViews>
  <sheetFormatPr baseColWidth="10" defaultColWidth="9.109375" defaultRowHeight="14.4" x14ac:dyDescent="0.3"/>
  <cols>
    <col min="1" max="1" width="17.88671875" customWidth="1"/>
    <col min="2" max="2" width="19.88671875" customWidth="1"/>
    <col min="3" max="3" width="30" customWidth="1"/>
    <col min="4" max="4" width="16.88671875" customWidth="1"/>
  </cols>
  <sheetData>
    <row r="2" spans="1:19" x14ac:dyDescent="0.3">
      <c r="A2" s="66" t="s">
        <v>137</v>
      </c>
      <c r="B2" s="66"/>
      <c r="C2" s="66"/>
      <c r="D2" s="66"/>
      <c r="K2" s="67" t="s">
        <v>138</v>
      </c>
      <c r="L2" s="68"/>
      <c r="M2" s="68"/>
      <c r="N2" s="68"/>
      <c r="O2" s="68"/>
      <c r="P2" s="68"/>
      <c r="Q2" s="68"/>
      <c r="R2" s="68"/>
      <c r="S2" s="69"/>
    </row>
    <row r="3" spans="1:19" ht="56.25" customHeight="1" x14ac:dyDescent="0.3">
      <c r="A3" s="56" t="s">
        <v>139</v>
      </c>
      <c r="B3" s="56" t="s">
        <v>140</v>
      </c>
      <c r="C3" s="57" t="s">
        <v>141</v>
      </c>
      <c r="D3" s="53" t="s">
        <v>142</v>
      </c>
      <c r="K3" s="49" t="s">
        <v>139</v>
      </c>
      <c r="L3" s="67" t="s">
        <v>143</v>
      </c>
      <c r="M3" s="69"/>
      <c r="N3" s="67" t="s">
        <v>144</v>
      </c>
      <c r="O3" s="69"/>
      <c r="P3" s="67" t="s">
        <v>145</v>
      </c>
      <c r="Q3" s="69"/>
      <c r="R3" s="67" t="s">
        <v>146</v>
      </c>
      <c r="S3" s="69"/>
    </row>
    <row r="4" spans="1:19" ht="15" customHeight="1" x14ac:dyDescent="0.3">
      <c r="A4" s="54">
        <v>2016</v>
      </c>
      <c r="B4" s="55">
        <f>658597000/H4</f>
        <v>658.59699999999998</v>
      </c>
      <c r="C4" s="54">
        <f>328050/1000000</f>
        <v>0.32805000000000001</v>
      </c>
      <c r="D4" s="55">
        <f>658597000</f>
        <v>658597000</v>
      </c>
      <c r="H4">
        <f>1000000</f>
        <v>1000000</v>
      </c>
      <c r="K4" s="50">
        <v>2010</v>
      </c>
      <c r="L4" s="72" t="s">
        <v>147</v>
      </c>
      <c r="M4" s="73"/>
      <c r="N4" s="70">
        <v>764</v>
      </c>
      <c r="O4" s="71"/>
      <c r="P4" s="70">
        <v>21631006</v>
      </c>
      <c r="Q4" s="71"/>
      <c r="R4" s="70">
        <v>3789125711</v>
      </c>
      <c r="S4" s="71"/>
    </row>
    <row r="5" spans="1:19" ht="15" customHeight="1" x14ac:dyDescent="0.3">
      <c r="A5" s="51">
        <v>2017</v>
      </c>
      <c r="B5" s="52">
        <f>13669554006/H4</f>
        <v>13669.554006</v>
      </c>
      <c r="C5" s="51">
        <f>4152910/1000000</f>
        <v>4.1529100000000003</v>
      </c>
      <c r="D5" s="52">
        <v>13669554006</v>
      </c>
      <c r="K5" s="50">
        <v>2011</v>
      </c>
      <c r="L5" s="72" t="s">
        <v>147</v>
      </c>
      <c r="M5" s="73"/>
      <c r="N5" s="70">
        <v>1501</v>
      </c>
      <c r="O5" s="71"/>
      <c r="P5" s="70">
        <v>46796786</v>
      </c>
      <c r="Q5" s="71"/>
      <c r="R5" s="70">
        <v>8016575326</v>
      </c>
      <c r="S5" s="71"/>
    </row>
    <row r="6" spans="1:19" ht="15" customHeight="1" x14ac:dyDescent="0.3">
      <c r="A6" s="51">
        <v>2018</v>
      </c>
      <c r="B6" s="52">
        <f>2912567108/H4</f>
        <v>2912.5671080000002</v>
      </c>
      <c r="C6" s="51">
        <f>1821015/1000000</f>
        <v>1.8210150000000001</v>
      </c>
      <c r="D6" s="52">
        <v>2912567108</v>
      </c>
      <c r="K6" s="50">
        <v>2012</v>
      </c>
      <c r="L6" s="72" t="s">
        <v>147</v>
      </c>
      <c r="M6" s="73"/>
      <c r="N6" s="70">
        <v>1157</v>
      </c>
      <c r="O6" s="71"/>
      <c r="P6" s="70">
        <v>5277105</v>
      </c>
      <c r="Q6" s="71"/>
      <c r="R6" s="70">
        <v>4770283919</v>
      </c>
      <c r="S6" s="71"/>
    </row>
    <row r="7" spans="1:19" ht="15" customHeight="1" x14ac:dyDescent="0.3">
      <c r="A7" s="51">
        <v>2019</v>
      </c>
      <c r="B7" s="52">
        <f>7086874240/H4</f>
        <v>7086.8742400000001</v>
      </c>
      <c r="C7" s="51">
        <f>5189510/1000000</f>
        <v>5.1895100000000003</v>
      </c>
      <c r="D7" s="52">
        <v>7086874240</v>
      </c>
      <c r="K7" s="50">
        <v>2013</v>
      </c>
      <c r="L7" s="72" t="s">
        <v>147</v>
      </c>
      <c r="M7" s="73"/>
      <c r="N7" s="70">
        <v>1356</v>
      </c>
      <c r="O7" s="71"/>
      <c r="P7" s="70">
        <v>7153203</v>
      </c>
      <c r="Q7" s="71"/>
      <c r="R7" s="70">
        <v>5029517319</v>
      </c>
      <c r="S7" s="71"/>
    </row>
    <row r="8" spans="1:19" ht="15" customHeight="1" x14ac:dyDescent="0.3">
      <c r="A8" s="51">
        <v>2020</v>
      </c>
      <c r="B8" s="52">
        <f>13572193344/H4</f>
        <v>13572.193343999999</v>
      </c>
      <c r="C8" s="51">
        <f>17243440/1000000</f>
        <v>17.24344</v>
      </c>
      <c r="D8" s="52">
        <v>13572193344</v>
      </c>
      <c r="K8" s="50">
        <v>2014</v>
      </c>
      <c r="L8" s="72" t="s">
        <v>147</v>
      </c>
      <c r="M8" s="73"/>
      <c r="N8" s="70">
        <v>181</v>
      </c>
      <c r="O8" s="71"/>
      <c r="P8" s="70">
        <v>6863508</v>
      </c>
      <c r="Q8" s="71"/>
      <c r="R8" s="70">
        <v>9709945832</v>
      </c>
      <c r="S8" s="71"/>
    </row>
    <row r="9" spans="1:19" ht="15" customHeight="1" x14ac:dyDescent="0.3">
      <c r="A9" s="51">
        <v>2021</v>
      </c>
      <c r="B9" s="52">
        <f>32458856398/H4</f>
        <v>32458.856398</v>
      </c>
      <c r="C9" s="51">
        <f>17027146/1000000</f>
        <v>17.027145999999998</v>
      </c>
      <c r="D9" s="52">
        <v>32458856398</v>
      </c>
      <c r="K9" s="50">
        <v>2015</v>
      </c>
      <c r="L9" s="72" t="s">
        <v>147</v>
      </c>
      <c r="M9" s="73"/>
      <c r="N9" s="70">
        <v>1725</v>
      </c>
      <c r="O9" s="71"/>
      <c r="P9" s="70">
        <v>6185044</v>
      </c>
      <c r="Q9" s="71"/>
      <c r="R9" s="70">
        <v>7725925615</v>
      </c>
      <c r="S9" s="71"/>
    </row>
    <row r="10" spans="1:19" ht="15" customHeight="1" x14ac:dyDescent="0.3">
      <c r="A10" s="51">
        <v>2022</v>
      </c>
      <c r="B10" s="52">
        <f>2124812236/H4</f>
        <v>2124.8122360000002</v>
      </c>
      <c r="C10" s="51">
        <f>1304662/1000000</f>
        <v>1.304662</v>
      </c>
      <c r="D10" s="52">
        <v>2124812236</v>
      </c>
      <c r="K10" s="50">
        <v>2016</v>
      </c>
      <c r="L10" s="72" t="s">
        <v>147</v>
      </c>
      <c r="M10" s="73"/>
      <c r="N10" s="70">
        <v>1137</v>
      </c>
      <c r="O10" s="71"/>
      <c r="P10" s="70">
        <v>4073853</v>
      </c>
      <c r="Q10" s="71"/>
      <c r="R10" s="70">
        <v>5594242294</v>
      </c>
      <c r="S10" s="71"/>
    </row>
    <row r="11" spans="1:19" ht="15" customHeight="1" x14ac:dyDescent="0.3">
      <c r="A11" s="51">
        <v>2023</v>
      </c>
      <c r="B11" s="52">
        <f>9870370889/H4</f>
        <v>9870.3708889999998</v>
      </c>
      <c r="C11" s="51">
        <f>3059836/1000000</f>
        <v>3.0598359999999998</v>
      </c>
      <c r="D11" s="52">
        <v>9870370889</v>
      </c>
      <c r="K11" s="50">
        <v>2017</v>
      </c>
      <c r="L11" s="72" t="s">
        <v>147</v>
      </c>
      <c r="M11" s="73"/>
      <c r="N11" s="70">
        <v>799</v>
      </c>
      <c r="O11" s="71"/>
      <c r="P11" s="70">
        <v>7481060</v>
      </c>
      <c r="Q11" s="71"/>
      <c r="R11" s="70">
        <v>6784626043</v>
      </c>
      <c r="S11" s="71"/>
    </row>
    <row r="12" spans="1:19" ht="15" customHeight="1" x14ac:dyDescent="0.3">
      <c r="A12" s="51">
        <v>2024</v>
      </c>
      <c r="B12" s="52">
        <f>465928003/H4</f>
        <v>465.92800299999999</v>
      </c>
      <c r="C12" s="51">
        <f>35663/1000000</f>
        <v>3.5663E-2</v>
      </c>
      <c r="D12" s="52">
        <v>465928003</v>
      </c>
      <c r="K12" s="50">
        <v>2018</v>
      </c>
      <c r="L12" s="72" t="s">
        <v>147</v>
      </c>
      <c r="M12" s="73"/>
      <c r="N12" s="70">
        <v>1656</v>
      </c>
      <c r="O12" s="71"/>
      <c r="P12" s="70">
        <v>7770767</v>
      </c>
      <c r="Q12" s="71"/>
      <c r="R12" s="70">
        <v>10171851612</v>
      </c>
      <c r="S12" s="71"/>
    </row>
    <row r="13" spans="1:19" x14ac:dyDescent="0.3">
      <c r="K13" s="50">
        <v>2019</v>
      </c>
      <c r="L13" s="74" t="s">
        <v>147</v>
      </c>
      <c r="M13" s="73"/>
      <c r="N13" s="75">
        <v>605</v>
      </c>
      <c r="O13" s="71"/>
      <c r="P13" s="75">
        <v>9932435</v>
      </c>
      <c r="Q13" s="71"/>
      <c r="R13" s="75">
        <v>13264828685</v>
      </c>
      <c r="S13" s="71"/>
    </row>
    <row r="14" spans="1:19" x14ac:dyDescent="0.3">
      <c r="K14" s="50">
        <v>2020</v>
      </c>
      <c r="L14" s="74" t="s">
        <v>147</v>
      </c>
      <c r="M14" s="73"/>
      <c r="N14" s="75">
        <v>628</v>
      </c>
      <c r="O14" s="71"/>
      <c r="P14" s="75">
        <v>8067906</v>
      </c>
      <c r="Q14" s="71"/>
      <c r="R14" s="75">
        <v>9594533508</v>
      </c>
      <c r="S14" s="71"/>
    </row>
    <row r="15" spans="1:19" x14ac:dyDescent="0.3">
      <c r="K15" s="50">
        <v>2021</v>
      </c>
      <c r="L15" s="74" t="s">
        <v>147</v>
      </c>
      <c r="M15" s="73"/>
      <c r="N15" s="75">
        <v>538</v>
      </c>
      <c r="O15" s="71"/>
      <c r="P15" s="75">
        <v>13603099</v>
      </c>
      <c r="Q15" s="71"/>
      <c r="R15" s="75">
        <v>33441410921</v>
      </c>
      <c r="S15" s="71"/>
    </row>
    <row r="16" spans="1:19" x14ac:dyDescent="0.3">
      <c r="K16" s="50">
        <v>2022</v>
      </c>
      <c r="L16" s="74" t="s">
        <v>147</v>
      </c>
      <c r="M16" s="73"/>
      <c r="N16" s="75">
        <v>440</v>
      </c>
      <c r="O16" s="71"/>
      <c r="P16" s="75">
        <v>3018565</v>
      </c>
      <c r="Q16" s="71"/>
      <c r="R16" s="75">
        <v>4569187737</v>
      </c>
      <c r="S16" s="71"/>
    </row>
    <row r="17" spans="11:19" x14ac:dyDescent="0.3">
      <c r="K17" s="50">
        <v>2023</v>
      </c>
      <c r="L17" s="74" t="s">
        <v>147</v>
      </c>
      <c r="M17" s="73"/>
      <c r="N17" s="75">
        <v>310</v>
      </c>
      <c r="O17" s="71"/>
      <c r="P17" s="75">
        <v>7831050</v>
      </c>
      <c r="Q17" s="71"/>
      <c r="R17" s="75">
        <v>16086707922</v>
      </c>
      <c r="S17" s="71"/>
    </row>
    <row r="18" spans="11:19" x14ac:dyDescent="0.3">
      <c r="K18" s="50">
        <v>2024</v>
      </c>
      <c r="L18" s="74" t="s">
        <v>147</v>
      </c>
      <c r="M18" s="73"/>
      <c r="N18" s="75">
        <v>142</v>
      </c>
      <c r="O18" s="71"/>
      <c r="P18" s="75">
        <v>505933</v>
      </c>
      <c r="Q18" s="71"/>
      <c r="R18" s="75">
        <v>943726528</v>
      </c>
      <c r="S18" s="71"/>
    </row>
    <row r="19" spans="11:19" x14ac:dyDescent="0.3">
      <c r="K19" s="67" t="s">
        <v>148</v>
      </c>
      <c r="L19" s="68"/>
      <c r="M19" s="69"/>
      <c r="N19" s="76">
        <v>14568</v>
      </c>
      <c r="O19" s="77"/>
      <c r="P19" s="76">
        <v>156191320</v>
      </c>
      <c r="Q19" s="77"/>
      <c r="R19" s="76">
        <v>139492488971</v>
      </c>
      <c r="S19" s="77"/>
    </row>
  </sheetData>
  <mergeCells count="70">
    <mergeCell ref="L18:M18"/>
    <mergeCell ref="N18:O18"/>
    <mergeCell ref="P18:Q18"/>
    <mergeCell ref="R18:S18"/>
    <mergeCell ref="K19:M19"/>
    <mergeCell ref="N19:O19"/>
    <mergeCell ref="P19:Q19"/>
    <mergeCell ref="R19:S19"/>
    <mergeCell ref="L16:M16"/>
    <mergeCell ref="N16:O16"/>
    <mergeCell ref="P16:Q16"/>
    <mergeCell ref="R16:S16"/>
    <mergeCell ref="L17:M17"/>
    <mergeCell ref="N17:O17"/>
    <mergeCell ref="P17:Q17"/>
    <mergeCell ref="R17:S17"/>
    <mergeCell ref="L14:M14"/>
    <mergeCell ref="N14:O14"/>
    <mergeCell ref="P14:Q14"/>
    <mergeCell ref="R14:S14"/>
    <mergeCell ref="L15:M15"/>
    <mergeCell ref="N15:O15"/>
    <mergeCell ref="P15:Q15"/>
    <mergeCell ref="R15:S15"/>
    <mergeCell ref="L12:M12"/>
    <mergeCell ref="N12:O12"/>
    <mergeCell ref="P12:Q12"/>
    <mergeCell ref="R12:S12"/>
    <mergeCell ref="L13:M13"/>
    <mergeCell ref="N13:O13"/>
    <mergeCell ref="P13:Q13"/>
    <mergeCell ref="R13:S13"/>
    <mergeCell ref="L10:M10"/>
    <mergeCell ref="N10:O10"/>
    <mergeCell ref="P10:Q10"/>
    <mergeCell ref="R10:S10"/>
    <mergeCell ref="L11:M11"/>
    <mergeCell ref="N11:O11"/>
    <mergeCell ref="P11:Q11"/>
    <mergeCell ref="R11:S11"/>
    <mergeCell ref="L8:M8"/>
    <mergeCell ref="N8:O8"/>
    <mergeCell ref="P8:Q8"/>
    <mergeCell ref="R8:S8"/>
    <mergeCell ref="L9:M9"/>
    <mergeCell ref="N9:O9"/>
    <mergeCell ref="P9:Q9"/>
    <mergeCell ref="R9:S9"/>
    <mergeCell ref="L6:M6"/>
    <mergeCell ref="N6:O6"/>
    <mergeCell ref="P6:Q6"/>
    <mergeCell ref="R6:S6"/>
    <mergeCell ref="L7:M7"/>
    <mergeCell ref="N7:O7"/>
    <mergeCell ref="P7:Q7"/>
    <mergeCell ref="R7:S7"/>
    <mergeCell ref="P4:Q4"/>
    <mergeCell ref="R4:S4"/>
    <mergeCell ref="L5:M5"/>
    <mergeCell ref="N5:O5"/>
    <mergeCell ref="P5:Q5"/>
    <mergeCell ref="R5:S5"/>
    <mergeCell ref="L4:M4"/>
    <mergeCell ref="N4:O4"/>
    <mergeCell ref="A2:D2"/>
    <mergeCell ref="K2:S2"/>
    <mergeCell ref="L3:M3"/>
    <mergeCell ref="N3:O3"/>
    <mergeCell ref="P3:Q3"/>
    <mergeCell ref="R3:S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B370-BD77-48CA-8D72-DE43860FB47D}">
  <dimension ref="A1:E34"/>
  <sheetViews>
    <sheetView topLeftCell="A12" zoomScale="92" workbookViewId="0">
      <selection activeCell="B37" sqref="B37"/>
    </sheetView>
  </sheetViews>
  <sheetFormatPr baseColWidth="10" defaultColWidth="9.109375" defaultRowHeight="14.4" x14ac:dyDescent="0.3"/>
  <cols>
    <col min="1" max="1" width="21.6640625" customWidth="1"/>
    <col min="2" max="2" width="32.109375" customWidth="1"/>
    <col min="3" max="3" width="19.5546875" customWidth="1"/>
    <col min="4" max="4" width="17.44140625" customWidth="1"/>
    <col min="5" max="5" width="16.109375" customWidth="1"/>
    <col min="6" max="6" width="16" customWidth="1"/>
    <col min="8" max="8" width="17.109375" customWidth="1"/>
  </cols>
  <sheetData>
    <row r="1" spans="1:5" ht="28.8" x14ac:dyDescent="0.3">
      <c r="A1" s="84" t="s">
        <v>110</v>
      </c>
      <c r="B1" s="85" t="s">
        <v>156</v>
      </c>
      <c r="C1" s="84" t="s">
        <v>111</v>
      </c>
      <c r="D1" s="84" t="s">
        <v>112</v>
      </c>
    </row>
    <row r="2" spans="1:5" x14ac:dyDescent="0.3">
      <c r="A2">
        <v>2019</v>
      </c>
      <c r="B2">
        <v>0.18</v>
      </c>
      <c r="C2">
        <v>8.6999999999999994E-3</v>
      </c>
      <c r="D2">
        <v>5</v>
      </c>
    </row>
    <row r="3" spans="1:5" x14ac:dyDescent="0.3">
      <c r="A3">
        <v>2020</v>
      </c>
      <c r="B3">
        <v>0.19600000000000001</v>
      </c>
      <c r="C3">
        <v>9.2999999999999992E-3</v>
      </c>
    </row>
    <row r="4" spans="1:5" x14ac:dyDescent="0.3">
      <c r="A4">
        <v>2021</v>
      </c>
      <c r="B4">
        <v>0.20100000000000001</v>
      </c>
      <c r="C4">
        <v>9.5999999999999992E-3</v>
      </c>
    </row>
    <row r="5" spans="1:5" x14ac:dyDescent="0.3">
      <c r="A5">
        <v>2022</v>
      </c>
      <c r="B5">
        <v>0.45600000000000002</v>
      </c>
      <c r="C5">
        <v>1.4E-2</v>
      </c>
    </row>
    <row r="6" spans="1:5" x14ac:dyDescent="0.3">
      <c r="A6">
        <v>2023</v>
      </c>
      <c r="B6">
        <v>0.50600000000000001</v>
      </c>
      <c r="C6">
        <v>1.4999999999999999E-2</v>
      </c>
    </row>
    <row r="8" spans="1:5" x14ac:dyDescent="0.3">
      <c r="A8" s="78"/>
      <c r="B8" s="79" t="s">
        <v>149</v>
      </c>
      <c r="C8" s="80"/>
      <c r="D8" s="80"/>
      <c r="E8" s="80"/>
    </row>
    <row r="9" spans="1:5" ht="57.6" x14ac:dyDescent="0.3">
      <c r="A9" s="81" t="s">
        <v>0</v>
      </c>
      <c r="B9" s="82" t="s">
        <v>150</v>
      </c>
      <c r="C9" s="82" t="s">
        <v>151</v>
      </c>
      <c r="D9" s="82" t="s">
        <v>152</v>
      </c>
      <c r="E9" s="82" t="s">
        <v>153</v>
      </c>
    </row>
    <row r="10" spans="1:5" x14ac:dyDescent="0.3">
      <c r="A10" s="83">
        <v>2022</v>
      </c>
      <c r="B10" s="78">
        <v>6591.4369444404983</v>
      </c>
      <c r="C10" s="78">
        <v>61209.912447067487</v>
      </c>
      <c r="D10" s="78">
        <v>9048.4557852929993</v>
      </c>
      <c r="E10" s="78">
        <v>224.27438783999997</v>
      </c>
    </row>
    <row r="11" spans="1:5" x14ac:dyDescent="0.3">
      <c r="A11" s="83">
        <v>2023</v>
      </c>
      <c r="B11" s="78">
        <v>20236.723411766099</v>
      </c>
      <c r="C11" s="78">
        <v>43055.644865452101</v>
      </c>
      <c r="D11" s="78">
        <v>999.45003136740002</v>
      </c>
      <c r="E11" s="78">
        <v>227.07444587039998</v>
      </c>
    </row>
    <row r="13" spans="1:5" x14ac:dyDescent="0.3">
      <c r="A13" s="78"/>
      <c r="B13" s="79" t="s">
        <v>154</v>
      </c>
      <c r="C13" s="80"/>
      <c r="D13" s="80"/>
      <c r="E13" s="80"/>
    </row>
    <row r="14" spans="1:5" ht="57.6" x14ac:dyDescent="0.3">
      <c r="A14" s="81" t="s">
        <v>0</v>
      </c>
      <c r="B14" s="82" t="s">
        <v>150</v>
      </c>
      <c r="C14" s="82" t="s">
        <v>151</v>
      </c>
      <c r="D14" s="82" t="s">
        <v>152</v>
      </c>
      <c r="E14" s="82" t="s">
        <v>153</v>
      </c>
    </row>
    <row r="15" spans="1:5" x14ac:dyDescent="0.3">
      <c r="A15" s="83">
        <v>2022</v>
      </c>
      <c r="B15" s="78">
        <v>61747.929999999986</v>
      </c>
      <c r="C15" s="78">
        <v>175725.62</v>
      </c>
      <c r="D15" s="78">
        <v>28938.770000000004</v>
      </c>
      <c r="E15" s="78">
        <v>1042.6499999999999</v>
      </c>
    </row>
    <row r="16" spans="1:5" x14ac:dyDescent="0.3">
      <c r="A16" s="83">
        <v>2023</v>
      </c>
      <c r="B16" s="78">
        <v>194319.84999999998</v>
      </c>
      <c r="C16" s="78">
        <v>106972.69000000002</v>
      </c>
      <c r="D16" s="78">
        <v>4926.8999999999996</v>
      </c>
      <c r="E16" s="78">
        <v>1029.47</v>
      </c>
    </row>
    <row r="34" spans="1:1" x14ac:dyDescent="0.3">
      <c r="A34" t="s">
        <v>155</v>
      </c>
    </row>
  </sheetData>
  <mergeCells count="2">
    <mergeCell ref="B8:E8"/>
    <mergeCell ref="B13:E1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ed4d19-7dfa-4218-b0c9-321a76363151">
      <Terms xmlns="http://schemas.microsoft.com/office/infopath/2007/PartnerControls"/>
    </lcf76f155ced4ddcb4097134ff3c332f>
    <TaxCatchAll xmlns="f52a8275-2cbd-4186-978c-53e0366573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EAE559E09D4A429EBD0F39DC21BBA6" ma:contentTypeVersion="16" ma:contentTypeDescription="Crear nuevo documento." ma:contentTypeScope="" ma:versionID="c9719185c29a5bbeaf569b57ce7223ff">
  <xsd:schema xmlns:xsd="http://www.w3.org/2001/XMLSchema" xmlns:xs="http://www.w3.org/2001/XMLSchema" xmlns:p="http://schemas.microsoft.com/office/2006/metadata/properties" xmlns:ns2="57ed4d19-7dfa-4218-b0c9-321a76363151" xmlns:ns3="f52a8275-2cbd-4186-978c-53e036657375" targetNamespace="http://schemas.microsoft.com/office/2006/metadata/properties" ma:root="true" ma:fieldsID="6164b0d521ef8826ab87409b1a303be5" ns2:_="" ns3:_="">
    <xsd:import namespace="57ed4d19-7dfa-4218-b0c9-321a76363151"/>
    <xsd:import namespace="f52a8275-2cbd-4186-978c-53e0366573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d4d19-7dfa-4218-b0c9-321a76363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a8275-2cbd-4186-978c-53e03665737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ac52e8-abd0-4b42-9211-4af33f9c951c}" ma:internalName="TaxCatchAll" ma:showField="CatchAllData" ma:web="f52a8275-2cbd-4186-978c-53e0366573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1C49FA-4DD9-4C75-A7B3-259135C5DB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18C194-A9E7-4F06-ABD3-76ED67C36641}">
  <ds:schemaRefs>
    <ds:schemaRef ds:uri="http://schemas.microsoft.com/office/2006/metadata/properties"/>
    <ds:schemaRef ds:uri="http://schemas.microsoft.com/office/infopath/2007/PartnerControls"/>
    <ds:schemaRef ds:uri="57ed4d19-7dfa-4218-b0c9-321a76363151"/>
    <ds:schemaRef ds:uri="f52a8275-2cbd-4186-978c-53e036657375"/>
  </ds:schemaRefs>
</ds:datastoreItem>
</file>

<file path=customXml/itemProps3.xml><?xml version="1.0" encoding="utf-8"?>
<ds:datastoreItem xmlns:ds="http://schemas.openxmlformats.org/officeDocument/2006/customXml" ds:itemID="{A29AAEE8-4C53-4762-BDD1-44D04E7E4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d4d19-7dfa-4218-b0c9-321a76363151"/>
    <ds:schemaRef ds:uri="f52a8275-2cbd-4186-978c-53e0366573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Precio</vt:lpstr>
      <vt:lpstr>IPC mes</vt:lpstr>
      <vt:lpstr>Tamaño Mercado</vt:lpstr>
      <vt:lpstr>Recaudo</vt:lpstr>
      <vt:lpstr>Salud</vt:lpstr>
      <vt:lpstr>Incautaciones</vt:lpstr>
      <vt:lpstr>Vapeadores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Andres Rodriguez Lesmes</dc:creator>
  <cp:keywords/>
  <dc:description/>
  <cp:lastModifiedBy>Gabriel Esteban Calderon Cardozo</cp:lastModifiedBy>
  <cp:revision/>
  <dcterms:created xsi:type="dcterms:W3CDTF">2024-05-29T02:35:46Z</dcterms:created>
  <dcterms:modified xsi:type="dcterms:W3CDTF">2024-10-04T19:28:40Z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0x01010027EAE559E09D4A429EBD0F39DC21BBA6</vt:lpwstr>
  </property>
  <property fmtid="{D5CDD505-2E9C-101B-9397-08002B2CF9AE}" pid="3" name="MediaServiceImageTags">
    <vt:lpwstr/>
  </property>
</Properties>
</file>