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Gabriele\Desktop\Real Estate\Real Estate Modelling\My Models\"/>
    </mc:Choice>
  </mc:AlternateContent>
  <xr:revisionPtr revIDLastSave="0" documentId="13_ncr:1_{547FB5E3-0F69-4AD5-97CF-440581BBA65F}" xr6:coauthVersionLast="46" xr6:coauthVersionMax="46" xr10:uidLastSave="{00000000-0000-0000-0000-000000000000}"/>
  <bookViews>
    <workbookView xWindow="-110" yWindow="-110" windowWidth="19420" windowHeight="10420" xr2:uid="{5CE4E07A-017C-48CE-A747-99FA94D80881}"/>
  </bookViews>
  <sheets>
    <sheet name="Assumptions" sheetId="1" r:id="rId1"/>
    <sheet name="Cash Flow"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5" i="2" l="1"/>
  <c r="H44" i="2"/>
  <c r="I44" i="2" s="1"/>
  <c r="J44" i="2" s="1"/>
  <c r="K44" i="2" s="1"/>
  <c r="L44" i="2" s="1"/>
  <c r="M44" i="2" s="1"/>
  <c r="N44" i="2" s="1"/>
  <c r="O44" i="2" s="1"/>
  <c r="P44" i="2" s="1"/>
  <c r="Q44" i="2" s="1"/>
  <c r="R44" i="2" s="1"/>
  <c r="H43" i="2"/>
  <c r="I43" i="2" s="1"/>
  <c r="J43" i="2" s="1"/>
  <c r="K43" i="2" s="1"/>
  <c r="L43" i="2" s="1"/>
  <c r="M43" i="2" s="1"/>
  <c r="N43" i="2" s="1"/>
  <c r="O43" i="2" s="1"/>
  <c r="P43" i="2" s="1"/>
  <c r="Q43" i="2" s="1"/>
  <c r="R43" i="2" s="1"/>
  <c r="K7" i="1"/>
  <c r="K6" i="1"/>
  <c r="G102" i="2"/>
  <c r="E101" i="2"/>
  <c r="H101" i="2"/>
  <c r="I101" i="2"/>
  <c r="J101" i="2"/>
  <c r="K101" i="2"/>
  <c r="L101" i="2"/>
  <c r="M101" i="2"/>
  <c r="N101" i="2"/>
  <c r="O101" i="2"/>
  <c r="P101" i="2"/>
  <c r="Q101" i="2"/>
  <c r="G101" i="2"/>
  <c r="G100" i="2"/>
  <c r="G99" i="2"/>
  <c r="G97" i="2"/>
  <c r="E93" i="2"/>
  <c r="E94" i="2"/>
  <c r="E95" i="2"/>
  <c r="G96" i="2"/>
  <c r="I95" i="2"/>
  <c r="J95" i="2"/>
  <c r="K95" i="2"/>
  <c r="L95" i="2"/>
  <c r="M95" i="2"/>
  <c r="N95" i="2"/>
  <c r="O95" i="2"/>
  <c r="P95" i="2"/>
  <c r="H95" i="2"/>
  <c r="H94" i="2"/>
  <c r="I94" i="2"/>
  <c r="J94" i="2"/>
  <c r="K94" i="2"/>
  <c r="L94" i="2"/>
  <c r="M94" i="2"/>
  <c r="N94" i="2"/>
  <c r="O94" i="2"/>
  <c r="P94" i="2"/>
  <c r="Q94" i="2"/>
  <c r="G94" i="2"/>
  <c r="I93" i="2"/>
  <c r="J93" i="2"/>
  <c r="K93" i="2"/>
  <c r="L93" i="2"/>
  <c r="M93" i="2"/>
  <c r="N93" i="2"/>
  <c r="O93" i="2"/>
  <c r="P93" i="2"/>
  <c r="Q93" i="2"/>
  <c r="H93" i="2"/>
  <c r="H63" i="2"/>
  <c r="I63" i="2"/>
  <c r="J63" i="2"/>
  <c r="K63" i="2"/>
  <c r="L63" i="2"/>
  <c r="M63" i="2"/>
  <c r="N63" i="2"/>
  <c r="O63" i="2"/>
  <c r="P63" i="2"/>
  <c r="Q63" i="2"/>
  <c r="R63" i="2"/>
  <c r="G63" i="2"/>
  <c r="C63" i="2"/>
  <c r="G74" i="2"/>
  <c r="C88" i="2"/>
  <c r="C86" i="2"/>
  <c r="C84" i="2"/>
  <c r="C83" i="2"/>
  <c r="C71" i="2"/>
  <c r="G70" i="2"/>
  <c r="G72" i="2" s="1"/>
  <c r="G24" i="1"/>
  <c r="C68" i="2"/>
  <c r="G68" i="2" s="1"/>
  <c r="H68" i="2" s="1"/>
  <c r="I68" i="2" s="1"/>
  <c r="J68" i="2" s="1"/>
  <c r="K68" i="2" s="1"/>
  <c r="L68" i="2" s="1"/>
  <c r="M68" i="2" s="1"/>
  <c r="N68" i="2" s="1"/>
  <c r="O68" i="2" s="1"/>
  <c r="P68" i="2" s="1"/>
  <c r="Q68" i="2" s="1"/>
  <c r="C67" i="2"/>
  <c r="G67" i="2" s="1"/>
  <c r="H67" i="2" s="1"/>
  <c r="I67" i="2" s="1"/>
  <c r="J67" i="2" s="1"/>
  <c r="K67" i="2" s="1"/>
  <c r="L67" i="2" s="1"/>
  <c r="M67" i="2" s="1"/>
  <c r="N67" i="2" s="1"/>
  <c r="O67" i="2" s="1"/>
  <c r="P67" i="2" s="1"/>
  <c r="Q67" i="2" s="1"/>
  <c r="C66" i="2"/>
  <c r="G66" i="2" s="1"/>
  <c r="H66" i="2" s="1"/>
  <c r="I66" i="2" s="1"/>
  <c r="J66" i="2" s="1"/>
  <c r="K66" i="2" s="1"/>
  <c r="L66" i="2" s="1"/>
  <c r="M66" i="2" s="1"/>
  <c r="N66" i="2" s="1"/>
  <c r="O66" i="2" s="1"/>
  <c r="P66" i="2" s="1"/>
  <c r="Q66" i="2" s="1"/>
  <c r="G65" i="2"/>
  <c r="C64" i="2"/>
  <c r="G64" i="2" s="1"/>
  <c r="G62" i="2"/>
  <c r="G50" i="2"/>
  <c r="H50" i="2" s="1"/>
  <c r="I50" i="2" s="1"/>
  <c r="J50" i="2" s="1"/>
  <c r="K50" i="2" s="1"/>
  <c r="L50" i="2" s="1"/>
  <c r="M50" i="2" s="1"/>
  <c r="N50" i="2" s="1"/>
  <c r="O50" i="2" s="1"/>
  <c r="P50" i="2" s="1"/>
  <c r="Q50" i="2" s="1"/>
  <c r="R50" i="2" s="1"/>
  <c r="C50" i="2"/>
  <c r="C49" i="2"/>
  <c r="G49" i="2" s="1"/>
  <c r="H49" i="2" s="1"/>
  <c r="I49" i="2" s="1"/>
  <c r="J49" i="2" s="1"/>
  <c r="K49" i="2" s="1"/>
  <c r="L49" i="2" s="1"/>
  <c r="M49" i="2" s="1"/>
  <c r="N49" i="2" s="1"/>
  <c r="O49" i="2" s="1"/>
  <c r="P49" i="2" s="1"/>
  <c r="Q49" i="2" s="1"/>
  <c r="R49" i="2" s="1"/>
  <c r="C48" i="2"/>
  <c r="G48" i="2" s="1"/>
  <c r="H48" i="2" s="1"/>
  <c r="C45" i="2"/>
  <c r="C44" i="2"/>
  <c r="G44" i="2" s="1"/>
  <c r="C43" i="2"/>
  <c r="G43" i="2" s="1"/>
  <c r="H5" i="2"/>
  <c r="H86" i="2" s="1"/>
  <c r="G3" i="2"/>
  <c r="G4" i="2" s="1"/>
  <c r="G14" i="1"/>
  <c r="G13" i="1"/>
  <c r="G6" i="1"/>
  <c r="C35" i="1"/>
  <c r="C28" i="1"/>
  <c r="C21" i="1"/>
  <c r="C19" i="1" s="1"/>
  <c r="C17" i="1" s="1"/>
  <c r="C25" i="1" s="1"/>
  <c r="K45" i="2" l="1"/>
  <c r="R45" i="2"/>
  <c r="P45" i="2"/>
  <c r="O45" i="2"/>
  <c r="L45" i="2"/>
  <c r="N45" i="2"/>
  <c r="J45" i="2"/>
  <c r="Q45" i="2"/>
  <c r="M45" i="2"/>
  <c r="I45" i="2"/>
  <c r="H45" i="2"/>
  <c r="E63" i="2"/>
  <c r="H88" i="2"/>
  <c r="H87" i="2"/>
  <c r="G51" i="2"/>
  <c r="G71" i="2"/>
  <c r="I5" i="2"/>
  <c r="H62" i="2"/>
  <c r="H70" i="2"/>
  <c r="H83" i="2"/>
  <c r="H64" i="2"/>
  <c r="H65" i="2"/>
  <c r="I48" i="2"/>
  <c r="J48" i="2" s="1"/>
  <c r="K48" i="2" s="1"/>
  <c r="L48" i="2" s="1"/>
  <c r="M48" i="2" s="1"/>
  <c r="N48" i="2" s="1"/>
  <c r="O48" i="2" s="1"/>
  <c r="P48" i="2" s="1"/>
  <c r="Q48" i="2" s="1"/>
  <c r="R48" i="2" s="1"/>
  <c r="E67" i="2"/>
  <c r="E66" i="2"/>
  <c r="E68" i="2"/>
  <c r="E49" i="2"/>
  <c r="G45" i="2"/>
  <c r="G46" i="2" s="1"/>
  <c r="H3" i="2"/>
  <c r="C22" i="1"/>
  <c r="C26" i="1"/>
  <c r="K46" i="2" l="1"/>
  <c r="M46" i="2"/>
  <c r="I46" i="2"/>
  <c r="J46" i="2"/>
  <c r="L46" i="2"/>
  <c r="G53" i="2"/>
  <c r="G55" i="2" s="1"/>
  <c r="I87" i="2"/>
  <c r="I88" i="2"/>
  <c r="R51" i="2"/>
  <c r="E50" i="2"/>
  <c r="I51" i="2"/>
  <c r="K51" i="2"/>
  <c r="H51" i="2"/>
  <c r="J51" i="2"/>
  <c r="N51" i="2"/>
  <c r="P51" i="2"/>
  <c r="J5" i="2"/>
  <c r="I65" i="2"/>
  <c r="I64" i="2"/>
  <c r="I62" i="2"/>
  <c r="I86" i="2"/>
  <c r="I83" i="2"/>
  <c r="I70" i="2"/>
  <c r="E48" i="2"/>
  <c r="M51" i="2"/>
  <c r="H72" i="2"/>
  <c r="H71" i="2"/>
  <c r="G58" i="2"/>
  <c r="G59" i="2" s="1"/>
  <c r="G15" i="1"/>
  <c r="G56" i="2"/>
  <c r="L51" i="2"/>
  <c r="Q51" i="2"/>
  <c r="O51" i="2"/>
  <c r="H46" i="2"/>
  <c r="E43" i="2"/>
  <c r="H4" i="2"/>
  <c r="I3" i="2"/>
  <c r="M53" i="2" l="1"/>
  <c r="M92" i="2" s="1"/>
  <c r="M96" i="2" s="1"/>
  <c r="M97" i="2" s="1"/>
  <c r="M99" i="2" s="1"/>
  <c r="J87" i="2"/>
  <c r="J88" i="2"/>
  <c r="K53" i="2"/>
  <c r="K92" i="2" s="1"/>
  <c r="I53" i="2"/>
  <c r="H53" i="2"/>
  <c r="J53" i="2"/>
  <c r="J92" i="2" s="1"/>
  <c r="E51" i="2"/>
  <c r="I72" i="2"/>
  <c r="I71" i="2"/>
  <c r="L53" i="2"/>
  <c r="L92" i="2" s="1"/>
  <c r="K5" i="2"/>
  <c r="J83" i="2"/>
  <c r="J70" i="2"/>
  <c r="J65" i="2"/>
  <c r="J64" i="2"/>
  <c r="J62" i="2"/>
  <c r="J86" i="2"/>
  <c r="N46" i="2"/>
  <c r="N53" i="2" s="1"/>
  <c r="N92" i="2" s="1"/>
  <c r="I4" i="2"/>
  <c r="J3" i="2"/>
  <c r="M58" i="2" l="1"/>
  <c r="M59" i="2" s="1"/>
  <c r="M77" i="2" s="1"/>
  <c r="M56" i="2"/>
  <c r="L96" i="2"/>
  <c r="L97" i="2" s="1"/>
  <c r="L99" i="2" s="1"/>
  <c r="J96" i="2"/>
  <c r="J97" i="2" s="1"/>
  <c r="J99" i="2" s="1"/>
  <c r="N96" i="2"/>
  <c r="N97" i="2" s="1"/>
  <c r="N99" i="2" s="1"/>
  <c r="K96" i="2"/>
  <c r="K97" i="2" s="1"/>
  <c r="K99" i="2" s="1"/>
  <c r="I55" i="2"/>
  <c r="I92" i="2"/>
  <c r="H55" i="2"/>
  <c r="H92" i="2"/>
  <c r="J55" i="2"/>
  <c r="I58" i="2"/>
  <c r="I59" i="2" s="1"/>
  <c r="I77" i="2" s="1"/>
  <c r="K58" i="2"/>
  <c r="K59" i="2" s="1"/>
  <c r="K77" i="2" s="1"/>
  <c r="L58" i="2"/>
  <c r="L59" i="2" s="1"/>
  <c r="L77" i="2" s="1"/>
  <c r="J56" i="2"/>
  <c r="H58" i="2"/>
  <c r="H59" i="2" s="1"/>
  <c r="H77" i="2" s="1"/>
  <c r="K87" i="2"/>
  <c r="K88" i="2"/>
  <c r="J58" i="2"/>
  <c r="J59" i="2" s="1"/>
  <c r="J77" i="2" s="1"/>
  <c r="H56" i="2"/>
  <c r="K56" i="2"/>
  <c r="I56" i="2"/>
  <c r="L56" i="2"/>
  <c r="J72" i="2"/>
  <c r="J71" i="2"/>
  <c r="L5" i="2"/>
  <c r="K83" i="2"/>
  <c r="K70" i="2"/>
  <c r="K65" i="2"/>
  <c r="K64" i="2"/>
  <c r="K62" i="2"/>
  <c r="K86" i="2"/>
  <c r="N58" i="2"/>
  <c r="N59" i="2" s="1"/>
  <c r="N77" i="2" s="1"/>
  <c r="N56" i="2"/>
  <c r="O46" i="2"/>
  <c r="O53" i="2" s="1"/>
  <c r="O92" i="2" s="1"/>
  <c r="K3" i="2"/>
  <c r="J4" i="2"/>
  <c r="O96" i="2" l="1"/>
  <c r="O97" i="2" s="1"/>
  <c r="O99" i="2" s="1"/>
  <c r="I96" i="2"/>
  <c r="I97" i="2" s="1"/>
  <c r="I99" i="2" s="1"/>
  <c r="H96" i="2"/>
  <c r="H97" i="2" s="1"/>
  <c r="H99" i="2" s="1"/>
  <c r="K55" i="2"/>
  <c r="L87" i="2"/>
  <c r="L88" i="2"/>
  <c r="M5" i="2"/>
  <c r="L86" i="2"/>
  <c r="L65" i="2"/>
  <c r="L64" i="2"/>
  <c r="L62" i="2"/>
  <c r="L55" i="2" s="1"/>
  <c r="L83" i="2"/>
  <c r="L70" i="2"/>
  <c r="K72" i="2"/>
  <c r="K71" i="2"/>
  <c r="O58" i="2"/>
  <c r="O59" i="2" s="1"/>
  <c r="O77" i="2" s="1"/>
  <c r="O56" i="2"/>
  <c r="P46" i="2"/>
  <c r="P53" i="2" s="1"/>
  <c r="P92" i="2" s="1"/>
  <c r="L3" i="2"/>
  <c r="K4" i="2"/>
  <c r="P96" i="2" l="1"/>
  <c r="P97" i="2" s="1"/>
  <c r="P99" i="2" s="1"/>
  <c r="M87" i="2"/>
  <c r="M88" i="2"/>
  <c r="L72" i="2"/>
  <c r="L71" i="2"/>
  <c r="N5" i="2"/>
  <c r="M65" i="2"/>
  <c r="M55" i="2" s="1"/>
  <c r="M64" i="2"/>
  <c r="M62" i="2"/>
  <c r="M86" i="2"/>
  <c r="M83" i="2"/>
  <c r="M70" i="2"/>
  <c r="P58" i="2"/>
  <c r="P56" i="2"/>
  <c r="Q46" i="2"/>
  <c r="Q53" i="2" s="1"/>
  <c r="Q92" i="2" s="1"/>
  <c r="M3" i="2"/>
  <c r="L4" i="2"/>
  <c r="Q96" i="2" l="1"/>
  <c r="E96" i="2" s="1"/>
  <c r="E92" i="2"/>
  <c r="N87" i="2"/>
  <c r="N88" i="2"/>
  <c r="M72" i="2"/>
  <c r="M71" i="2"/>
  <c r="O5" i="2"/>
  <c r="N83" i="2"/>
  <c r="N70" i="2"/>
  <c r="N65" i="2"/>
  <c r="N64" i="2"/>
  <c r="N62" i="2"/>
  <c r="N55" i="2" s="1"/>
  <c r="N86" i="2"/>
  <c r="P59" i="2"/>
  <c r="P77" i="2" s="1"/>
  <c r="Q58" i="2"/>
  <c r="Q59" i="2" s="1"/>
  <c r="Q77" i="2" s="1"/>
  <c r="Q56" i="2"/>
  <c r="R46" i="2"/>
  <c r="E44" i="2"/>
  <c r="N3" i="2"/>
  <c r="M4" i="2"/>
  <c r="Q97" i="2" l="1"/>
  <c r="E77" i="2"/>
  <c r="O87" i="2"/>
  <c r="O88" i="2"/>
  <c r="P5" i="2"/>
  <c r="O83" i="2"/>
  <c r="O70" i="2"/>
  <c r="O65" i="2"/>
  <c r="O64" i="2"/>
  <c r="O62" i="2"/>
  <c r="O86" i="2"/>
  <c r="N72" i="2"/>
  <c r="N71" i="2"/>
  <c r="E46" i="2"/>
  <c r="R53" i="2"/>
  <c r="E45" i="2"/>
  <c r="O3" i="2"/>
  <c r="N4" i="2"/>
  <c r="E97" i="2" l="1"/>
  <c r="Q99" i="2"/>
  <c r="O55" i="2"/>
  <c r="G25" i="1"/>
  <c r="G27" i="1" s="1"/>
  <c r="P87" i="2"/>
  <c r="P88" i="2"/>
  <c r="O72" i="2"/>
  <c r="O71" i="2"/>
  <c r="Q5" i="2"/>
  <c r="P86" i="2"/>
  <c r="P65" i="2"/>
  <c r="P64" i="2"/>
  <c r="P55" i="2" s="1"/>
  <c r="P62" i="2"/>
  <c r="P83" i="2"/>
  <c r="P70" i="2"/>
  <c r="R58" i="2"/>
  <c r="E53" i="2"/>
  <c r="R56" i="2"/>
  <c r="O4" i="2"/>
  <c r="P3" i="2"/>
  <c r="E99" i="2" l="1"/>
  <c r="G26" i="1"/>
  <c r="P72" i="2"/>
  <c r="P71" i="2"/>
  <c r="R5" i="2"/>
  <c r="Q65" i="2"/>
  <c r="Q64" i="2"/>
  <c r="Q62" i="2"/>
  <c r="Q86" i="2"/>
  <c r="Q83" i="2"/>
  <c r="Q70" i="2"/>
  <c r="R59" i="2"/>
  <c r="E59" i="2" s="1"/>
  <c r="E58" i="2"/>
  <c r="Q3" i="2"/>
  <c r="P4" i="2"/>
  <c r="Q55" i="2" l="1"/>
  <c r="Q72" i="2"/>
  <c r="Q71" i="2"/>
  <c r="R65" i="2"/>
  <c r="E65" i="2" s="1"/>
  <c r="R64" i="2"/>
  <c r="E64" i="2" s="1"/>
  <c r="R62" i="2"/>
  <c r="E62" i="2" s="1"/>
  <c r="G83" i="2" s="1"/>
  <c r="G89" i="2" s="1"/>
  <c r="R70" i="2"/>
  <c r="E70" i="2" s="1"/>
  <c r="R3" i="2"/>
  <c r="R4" i="2" s="1"/>
  <c r="Q4" i="2"/>
  <c r="R55" i="2" l="1"/>
  <c r="G73" i="2"/>
  <c r="K73" i="2"/>
  <c r="K74" i="2" s="1"/>
  <c r="Q73" i="2"/>
  <c r="Q74" i="2" s="1"/>
  <c r="P73" i="2"/>
  <c r="P74" i="2" s="1"/>
  <c r="M73" i="2"/>
  <c r="M74" i="2" s="1"/>
  <c r="R73" i="2"/>
  <c r="H73" i="2"/>
  <c r="H74" i="2" s="1"/>
  <c r="O73" i="2"/>
  <c r="O74" i="2" s="1"/>
  <c r="J73" i="2"/>
  <c r="J74" i="2" s="1"/>
  <c r="L73" i="2"/>
  <c r="L74" i="2" s="1"/>
  <c r="I73" i="2"/>
  <c r="I74" i="2" s="1"/>
  <c r="N73" i="2"/>
  <c r="N74" i="2" s="1"/>
  <c r="E83" i="2"/>
  <c r="H85" i="2"/>
  <c r="H89" i="2" s="1"/>
  <c r="H84" i="2"/>
  <c r="I85" i="2"/>
  <c r="I89" i="2" s="1"/>
  <c r="I84" i="2"/>
  <c r="J84" i="2"/>
  <c r="J85" i="2"/>
  <c r="J89" i="2" s="1"/>
  <c r="K85" i="2"/>
  <c r="K89" i="2" s="1"/>
  <c r="K84" i="2"/>
  <c r="L85" i="2"/>
  <c r="L89" i="2" s="1"/>
  <c r="L84" i="2"/>
  <c r="M85" i="2"/>
  <c r="M89" i="2" s="1"/>
  <c r="M84" i="2"/>
  <c r="N84" i="2"/>
  <c r="N85" i="2"/>
  <c r="N89" i="2" s="1"/>
  <c r="O85" i="2"/>
  <c r="O89" i="2" s="1"/>
  <c r="O84" i="2"/>
  <c r="P85" i="2"/>
  <c r="P89" i="2" s="1"/>
  <c r="Q84" i="2"/>
  <c r="Q85" i="2"/>
  <c r="R72" i="2"/>
  <c r="E72" i="2" s="1"/>
  <c r="R71" i="2"/>
  <c r="E71" i="2" s="1"/>
  <c r="P84" i="2"/>
  <c r="I78" i="2" l="1"/>
  <c r="I79" i="2" s="1"/>
  <c r="I100" i="2"/>
  <c r="I102" i="2" s="1"/>
  <c r="Q78" i="2"/>
  <c r="Q79" i="2" s="1"/>
  <c r="Q100" i="2"/>
  <c r="Q102" i="2" s="1"/>
  <c r="L78" i="2"/>
  <c r="L79" i="2" s="1"/>
  <c r="L100" i="2"/>
  <c r="L102" i="2" s="1"/>
  <c r="K78" i="2"/>
  <c r="K79" i="2" s="1"/>
  <c r="K100" i="2"/>
  <c r="K102" i="2" s="1"/>
  <c r="J78" i="2"/>
  <c r="J79" i="2" s="1"/>
  <c r="J100" i="2"/>
  <c r="J102" i="2" s="1"/>
  <c r="M78" i="2"/>
  <c r="M79" i="2" s="1"/>
  <c r="M100" i="2"/>
  <c r="M102" i="2" s="1"/>
  <c r="H78" i="2"/>
  <c r="H79" i="2" s="1"/>
  <c r="H100" i="2"/>
  <c r="H102" i="2" s="1"/>
  <c r="N78" i="2"/>
  <c r="N79" i="2" s="1"/>
  <c r="N100" i="2"/>
  <c r="N102" i="2" s="1"/>
  <c r="O78" i="2"/>
  <c r="O79" i="2" s="1"/>
  <c r="O100" i="2"/>
  <c r="O102" i="2" s="1"/>
  <c r="P78" i="2"/>
  <c r="P79" i="2" s="1"/>
  <c r="P100" i="2"/>
  <c r="P102" i="2" s="1"/>
  <c r="G86" i="2"/>
  <c r="E86" i="2" s="1"/>
  <c r="Q87" i="2"/>
  <c r="Q88" i="2" s="1"/>
  <c r="E88" i="2" s="1"/>
  <c r="Q89" i="2"/>
  <c r="E89" i="2" s="1"/>
  <c r="E84" i="2"/>
  <c r="E85" i="2"/>
  <c r="R74" i="2"/>
  <c r="G78" i="2"/>
  <c r="E73" i="2"/>
  <c r="C103" i="2" l="1"/>
  <c r="K5" i="1" s="1"/>
  <c r="E102" i="2"/>
  <c r="E100" i="2"/>
  <c r="E78" i="2"/>
  <c r="G79" i="2"/>
  <c r="C80" i="2" s="1"/>
  <c r="K4" i="1" s="1"/>
  <c r="E7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Gabriele</author>
  </authors>
  <commentList>
    <comment ref="F16" authorId="0" shapeId="0" xr:uid="{CA7DC664-8398-4DE6-8062-AA22C38336B8}">
      <text>
        <r>
          <rPr>
            <b/>
            <sz val="9"/>
            <color indexed="81"/>
            <rFont val="Tahoma"/>
            <family val="2"/>
          </rPr>
          <t>Gabriele:</t>
        </r>
        <r>
          <rPr>
            <sz val="9"/>
            <color indexed="81"/>
            <rFont val="Tahoma"/>
            <family val="2"/>
          </rPr>
          <t xml:space="preserve">
Capital expenditures are the money used to add to or improve a property beyond common repairs and maintenance.</t>
        </r>
      </text>
    </comment>
    <comment ref="F17" authorId="0" shapeId="0" xr:uid="{091B080E-11D8-419F-B812-249999A1047A}">
      <text>
        <r>
          <rPr>
            <b/>
            <sz val="9"/>
            <color indexed="81"/>
            <rFont val="Tahoma"/>
            <family val="2"/>
          </rPr>
          <t>Gabriele:</t>
        </r>
        <r>
          <rPr>
            <sz val="9"/>
            <color indexed="81"/>
            <rFont val="Tahoma"/>
            <family val="2"/>
          </rPr>
          <t xml:space="preserve">
 customized alterations a building owner makes to rental space as part of a lease agreement, in order to configure the space for the needs of that particular tenant.</t>
        </r>
      </text>
    </comment>
    <comment ref="F18" authorId="0" shapeId="0" xr:uid="{40AFE15A-D53C-4845-AFC6-DECBE964E48D}">
      <text>
        <r>
          <rPr>
            <b/>
            <sz val="9"/>
            <color indexed="81"/>
            <rFont val="Tahoma"/>
            <family val="2"/>
          </rPr>
          <t>Gabriele:</t>
        </r>
        <r>
          <rPr>
            <sz val="9"/>
            <color indexed="81"/>
            <rFont val="Tahoma"/>
            <family val="2"/>
          </rPr>
          <t xml:space="preserve">
fee paid by a commercial real estate landlord to a real estate broker in exchange for introducing a tenant that successfully completes a lease with the landlord. </t>
        </r>
      </text>
    </comment>
    <comment ref="B20" authorId="0" shapeId="0" xr:uid="{37DF4C43-5E3A-4DD8-A6C3-B8915C0ABEC2}">
      <text>
        <r>
          <rPr>
            <b/>
            <sz val="9"/>
            <color indexed="81"/>
            <rFont val="Tahoma"/>
            <family val="2"/>
          </rPr>
          <t>Gabriele:</t>
        </r>
        <r>
          <rPr>
            <sz val="9"/>
            <color indexed="81"/>
            <rFont val="Tahoma"/>
            <family val="2"/>
          </rPr>
          <t xml:space="preserve">
For years, apartments have been designed without regard to building efficiency. Commercial projects have always considered the net-to-gross ratio (the ratio of net rentable space versus total gross building space) and are usually 82 percent to 85 percent efficient, while apartments have been far less efficient, with an average ratio of 70 percent to 75 percent.
Now the tendency is to a NLA &gt;80%</t>
        </r>
      </text>
    </comment>
    <comment ref="B41" authorId="0" shapeId="0" xr:uid="{181FB8A8-D731-4616-AE1E-D922D3EE6D76}">
      <text>
        <r>
          <rPr>
            <b/>
            <sz val="9"/>
            <color indexed="81"/>
            <rFont val="Tahoma"/>
            <family val="2"/>
          </rPr>
          <t>Gabriele:</t>
        </r>
        <r>
          <rPr>
            <sz val="9"/>
            <color indexed="81"/>
            <rFont val="Tahoma"/>
            <family val="2"/>
          </rPr>
          <t xml:space="preserve">
Replacement Reserves are funds set aside that provide for the periodic replacement of building components that wear out more rapidly than the building itself and therefore must be replaced during the building's economic life (short lived items).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Gabriele</author>
  </authors>
  <commentList>
    <comment ref="Q95" authorId="0" shapeId="0" xr:uid="{75C34C99-B66B-438D-8BE8-A256E1B4BF4A}">
      <text>
        <r>
          <rPr>
            <b/>
            <sz val="9"/>
            <color indexed="81"/>
            <rFont val="Tahoma"/>
            <family val="2"/>
          </rPr>
          <t>Gabriele:</t>
        </r>
        <r>
          <rPr>
            <sz val="9"/>
            <color indexed="81"/>
            <rFont val="Tahoma"/>
            <family val="2"/>
          </rPr>
          <t xml:space="preserve">
Devo includere il prepayment Penalty nel cash flow?</t>
        </r>
      </text>
    </comment>
  </commentList>
</comments>
</file>

<file path=xl/sharedStrings.xml><?xml version="1.0" encoding="utf-8"?>
<sst xmlns="http://schemas.openxmlformats.org/spreadsheetml/2006/main" count="291" uniqueCount="157">
  <si>
    <t>ASSUMPTIONS</t>
  </si>
  <si>
    <t>Project Details</t>
  </si>
  <si>
    <t>Property Name</t>
  </si>
  <si>
    <t>The Lyric</t>
  </si>
  <si>
    <t>Adress</t>
  </si>
  <si>
    <r>
      <t>215 10</t>
    </r>
    <r>
      <rPr>
        <vertAlign val="superscript"/>
        <sz val="11"/>
        <color theme="4"/>
        <rFont val="Arial"/>
        <family val="2"/>
      </rPr>
      <t xml:space="preserve">th </t>
    </r>
    <r>
      <rPr>
        <sz val="11"/>
        <color theme="4"/>
        <rFont val="Arial"/>
        <family val="2"/>
      </rPr>
      <t>Ave E</t>
    </r>
  </si>
  <si>
    <t>Country</t>
  </si>
  <si>
    <t>Seattle-Bellevue</t>
  </si>
  <si>
    <t>U.S.A.</t>
  </si>
  <si>
    <t>Ownership Stake</t>
  </si>
  <si>
    <t>Building Type</t>
  </si>
  <si>
    <t xml:space="preserve">Multi-Family </t>
  </si>
  <si>
    <t>sqm to SF</t>
  </si>
  <si>
    <t>In sqm</t>
  </si>
  <si>
    <t>Land Area</t>
  </si>
  <si>
    <t>Plot Ratio</t>
  </si>
  <si>
    <t>GFA</t>
  </si>
  <si>
    <t>Efficiency</t>
  </si>
  <si>
    <t>NLA</t>
  </si>
  <si>
    <t>In SF</t>
  </si>
  <si>
    <t>sqm</t>
  </si>
  <si>
    <t>City</t>
  </si>
  <si>
    <t>Units</t>
  </si>
  <si>
    <t>Name</t>
  </si>
  <si>
    <t>%</t>
  </si>
  <si>
    <t>#</t>
  </si>
  <si>
    <t>Construction Date</t>
  </si>
  <si>
    <t>Date</t>
  </si>
  <si>
    <t>Number of units</t>
  </si>
  <si>
    <t>Parking Spots</t>
  </si>
  <si>
    <t>Average sqm per unit</t>
  </si>
  <si>
    <t>Average sf per unit</t>
  </si>
  <si>
    <t>sf</t>
  </si>
  <si>
    <t>Operation</t>
  </si>
  <si>
    <t>Other Income</t>
  </si>
  <si>
    <t>unit/month</t>
  </si>
  <si>
    <t>Annual Income Growth Rate</t>
  </si>
  <si>
    <t>Operating Margin</t>
  </si>
  <si>
    <t>Operating Expenses</t>
  </si>
  <si>
    <t>unit/year</t>
  </si>
  <si>
    <t>Annual Expense Growth Rate</t>
  </si>
  <si>
    <t>Real Estate &amp; Property Taxes</t>
  </si>
  <si>
    <t>Average Rent (in 2014)</t>
  </si>
  <si>
    <t>Replacement Reserve</t>
  </si>
  <si>
    <t>Investment Timeline</t>
  </si>
  <si>
    <t>Acquisition Date</t>
  </si>
  <si>
    <t>Holding Period</t>
  </si>
  <si>
    <t>years</t>
  </si>
  <si>
    <t>Exit Date</t>
  </si>
  <si>
    <t>Acquisition</t>
  </si>
  <si>
    <t>Acquisition Tax</t>
  </si>
  <si>
    <t>Due Dilligence</t>
  </si>
  <si>
    <t>$</t>
  </si>
  <si>
    <t>Purchase Fees</t>
  </si>
  <si>
    <t>of Purchase Price</t>
  </si>
  <si>
    <t>Purchase Price</t>
  </si>
  <si>
    <t>Purchase Price psf</t>
  </si>
  <si>
    <t>sf/month</t>
  </si>
  <si>
    <t>$/sf</t>
  </si>
  <si>
    <t>Purchase Price per Unit</t>
  </si>
  <si>
    <t>$/Unit</t>
  </si>
  <si>
    <t>Capital Expenditure</t>
  </si>
  <si>
    <t>$/Unit/year</t>
  </si>
  <si>
    <t>Implied Going-In Cap Rate</t>
  </si>
  <si>
    <t>Leasing Commissions (LCs)</t>
  </si>
  <si>
    <t>Tenant Improvements (TIs)</t>
  </si>
  <si>
    <t>CapEx Growth Rate</t>
  </si>
  <si>
    <t>TI Growth Rate</t>
  </si>
  <si>
    <t>LC Growth Rate</t>
  </si>
  <si>
    <t>Exit</t>
  </si>
  <si>
    <t>Exit Cap Rate</t>
  </si>
  <si>
    <t>Exit Price</t>
  </si>
  <si>
    <t>Exit Price psf</t>
  </si>
  <si>
    <t>Exit Price per Unit</t>
  </si>
  <si>
    <t>Selling Cost</t>
  </si>
  <si>
    <t>Sale Tax</t>
  </si>
  <si>
    <t>Capital Gain Tax</t>
  </si>
  <si>
    <t>Exit Cap Rates</t>
  </si>
  <si>
    <t>Scenario 1</t>
  </si>
  <si>
    <t>Scenaro 2</t>
  </si>
  <si>
    <t>Scenario 3</t>
  </si>
  <si>
    <t>Debt Financing</t>
  </si>
  <si>
    <t>Loan to Value Ratio</t>
  </si>
  <si>
    <t>Real Estate &amp; Property Taxes Annual Growth</t>
  </si>
  <si>
    <t>Loan Type</t>
  </si>
  <si>
    <t>Loan Interest Rate (Fixed)</t>
  </si>
  <si>
    <t>Loan Ammortization Period</t>
  </si>
  <si>
    <t>Loan Maturity</t>
  </si>
  <si>
    <t>Loan Issuance Fee</t>
  </si>
  <si>
    <t>of Loan Drawn</t>
  </si>
  <si>
    <t>Senior Debt</t>
  </si>
  <si>
    <t xml:space="preserve">Prepayment Penalty </t>
  </si>
  <si>
    <t>% remaining principal</t>
  </si>
  <si>
    <t>RETURN INDICATORS</t>
  </si>
  <si>
    <t>Unlevered IRR</t>
  </si>
  <si>
    <t>Levered IRR</t>
  </si>
  <si>
    <t>Entry NOI Yield</t>
  </si>
  <si>
    <t>Entry NOI Margin</t>
  </si>
  <si>
    <t>Selected Operating Scenario</t>
  </si>
  <si>
    <t>Year</t>
  </si>
  <si>
    <t>Holding Period (year)</t>
  </si>
  <si>
    <t>Historical</t>
  </si>
  <si>
    <t>Projected</t>
  </si>
  <si>
    <t>Stabilized</t>
  </si>
  <si>
    <t>Operating Scenarios</t>
  </si>
  <si>
    <t>Scenario #1 - Steady Growth</t>
  </si>
  <si>
    <t>Scenario #2 - Decline and Recovery</t>
  </si>
  <si>
    <t>Scenario #3 - Longer-Term Decline and Recovery</t>
  </si>
  <si>
    <t>Rental Income Growth Rate:</t>
  </si>
  <si>
    <t>Other Income Growth Rate:</t>
  </si>
  <si>
    <t>Vacancy / Collection Loss:</t>
  </si>
  <si>
    <t>Operating Expense Growth Rate:</t>
  </si>
  <si>
    <t>Replacement Reserve Growth Rate:</t>
  </si>
  <si>
    <t>CapEx Growth Rate:</t>
  </si>
  <si>
    <t>Tenant Improvements (TIs) Growth Rate:</t>
  </si>
  <si>
    <t>Leasing Commissions (LCs) Growth Rate:</t>
  </si>
  <si>
    <t>Stable</t>
  </si>
  <si>
    <t>Decline</t>
  </si>
  <si>
    <t>Recovery</t>
  </si>
  <si>
    <t>High-Growth</t>
  </si>
  <si>
    <t>Scenario #3 - Long-Term Decline and Recovery</t>
  </si>
  <si>
    <t>Unlevered Operating Cash Flow</t>
  </si>
  <si>
    <t>Base Rental Income</t>
  </si>
  <si>
    <t>$/sf/month</t>
  </si>
  <si>
    <t>Vacancy Rate</t>
  </si>
  <si>
    <t>Vacancy Allowance</t>
  </si>
  <si>
    <t>Effective Gross Income (EGI)</t>
  </si>
  <si>
    <t>Real Estate &amp; Property Tax</t>
  </si>
  <si>
    <t>Total Expenses</t>
  </si>
  <si>
    <t>Net Operating Income</t>
  </si>
  <si>
    <t>NOI Margin</t>
  </si>
  <si>
    <t>Corporate Income Tax</t>
  </si>
  <si>
    <t>of net income</t>
  </si>
  <si>
    <t>Net Income</t>
  </si>
  <si>
    <t>Investing Cash Flow</t>
  </si>
  <si>
    <t>Acquisition Price</t>
  </si>
  <si>
    <t>of acquisition price</t>
  </si>
  <si>
    <t>Tenants Improvements</t>
  </si>
  <si>
    <t>Leasing Commissions</t>
  </si>
  <si>
    <t>Divestment Price</t>
  </si>
  <si>
    <t>Divestment Cost</t>
  </si>
  <si>
    <t>of selling price</t>
  </si>
  <si>
    <t>Investment Cash Flow</t>
  </si>
  <si>
    <t>Unlevered Cash Flow</t>
  </si>
  <si>
    <t>Financing Cash Flow</t>
  </si>
  <si>
    <t>Loan Drawdown</t>
  </si>
  <si>
    <t>Interest Expenses</t>
  </si>
  <si>
    <t>% of acq. price</t>
  </si>
  <si>
    <t>Loan Principal Repayment</t>
  </si>
  <si>
    <t>of loan drawn</t>
  </si>
  <si>
    <t>Ending Debt Balance</t>
  </si>
  <si>
    <t>Prepayment Penalty</t>
  </si>
  <si>
    <t>of remaning Principal</t>
  </si>
  <si>
    <t>Levered Cash Flow</t>
  </si>
  <si>
    <t>NOI Yield on Cost</t>
  </si>
  <si>
    <t>Acquisition Fee</t>
  </si>
  <si>
    <t>Levered Operating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</si>
</sst>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9" formatCode="_-[$$-409]* #,##0.00_ ;_-[$$-409]* \-#,##0.00\ ;_-[$$-409]* &quot;-&quot;??_ ;_-@_ "/>
    <numFmt numFmtId="172" formatCode="[$-409]d\-mmm\-yy;@"/>
    <numFmt numFmtId="173" formatCode="\F\Yyy"/>
    <numFmt numFmtId="174" formatCode="0.00%;\(0.00%\)"/>
    <numFmt numFmtId="178" formatCode="\$* #,##0.00\ ;\$* \(#,##0.00\)"/>
    <numFmt numFmtId="179" formatCode="_-* #,##0.00\ _€_-;\-* #,##0.00\ _€_-;_-* &quot;-&quot;??\ _€_-;_-@_-"/>
    <numFmt numFmtId="181" formatCode="\$* #,##0.00\ ;\$* \(#,##0.00\);\$* #&quot;-&quot;"/>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1"/>
      <color theme="0"/>
      <name val="Arial"/>
      <family val="2"/>
    </font>
    <font>
      <sz val="11"/>
      <color theme="4"/>
      <name val="Arial"/>
      <family val="2"/>
    </font>
    <font>
      <vertAlign val="superscript"/>
      <sz val="11"/>
      <color theme="4"/>
      <name val="Arial"/>
      <family val="2"/>
    </font>
    <font>
      <b/>
      <sz val="9"/>
      <color indexed="81"/>
      <name val="Tahoma"/>
      <family val="2"/>
    </font>
    <font>
      <sz val="9"/>
      <color indexed="81"/>
      <name val="Tahoma"/>
      <family val="2"/>
    </font>
    <font>
      <sz val="11"/>
      <color theme="8"/>
      <name val="Arial"/>
      <family val="2"/>
    </font>
    <font>
      <i/>
      <sz val="11"/>
      <color theme="1"/>
      <name val="Arial"/>
      <family val="2"/>
    </font>
  </fonts>
  <fills count="1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theme="8" tint="0.39997558519241921"/>
        <bgColor indexed="64"/>
      </patternFill>
    </fill>
    <fill>
      <patternFill patternType="solid">
        <fgColor rgb="FFFFBDBD"/>
        <bgColor indexed="64"/>
      </patternFill>
    </fill>
    <fill>
      <patternFill patternType="solid">
        <fgColor theme="2"/>
        <bgColor indexed="64"/>
      </patternFill>
    </fill>
    <fill>
      <patternFill patternType="solid">
        <fgColor rgb="FFFF0000"/>
        <bgColor indexed="64"/>
      </patternFill>
    </fill>
  </fills>
  <borders count="13">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22">
    <xf numFmtId="0" fontId="0" fillId="0" borderId="0" xfId="0"/>
    <xf numFmtId="0" fontId="3" fillId="3" borderId="0" xfId="0" applyFont="1" applyFill="1"/>
    <xf numFmtId="0" fontId="3" fillId="2" borderId="0" xfId="0" applyFont="1" applyFill="1"/>
    <xf numFmtId="0" fontId="3" fillId="2" borderId="0" xfId="0" applyFont="1" applyFill="1" applyAlignment="1">
      <alignment horizontal="right"/>
    </xf>
    <xf numFmtId="0" fontId="3" fillId="3" borderId="0" xfId="0" applyFont="1" applyFill="1" applyAlignment="1">
      <alignment horizontal="left"/>
    </xf>
    <xf numFmtId="0" fontId="3" fillId="2" borderId="0" xfId="0" applyFont="1" applyFill="1" applyAlignment="1">
      <alignment horizontal="left"/>
    </xf>
    <xf numFmtId="0" fontId="4" fillId="2" borderId="0" xfId="0" applyFont="1" applyFill="1"/>
    <xf numFmtId="0" fontId="3" fillId="2" borderId="1" xfId="0" applyFont="1" applyFill="1" applyBorder="1"/>
    <xf numFmtId="0" fontId="3" fillId="2" borderId="0" xfId="0" applyFont="1" applyFill="1" applyBorder="1"/>
    <xf numFmtId="0" fontId="4" fillId="3" borderId="2" xfId="0" applyFont="1" applyFill="1" applyBorder="1"/>
    <xf numFmtId="0" fontId="5" fillId="4" borderId="1" xfId="0" applyFont="1" applyFill="1" applyBorder="1"/>
    <xf numFmtId="0" fontId="6" fillId="2" borderId="0" xfId="0" applyFont="1" applyFill="1" applyBorder="1" applyAlignment="1">
      <alignment horizontal="right"/>
    </xf>
    <xf numFmtId="0" fontId="3" fillId="2" borderId="5" xfId="0" applyFont="1" applyFill="1" applyBorder="1" applyAlignment="1">
      <alignment horizontal="left"/>
    </xf>
    <xf numFmtId="0" fontId="3" fillId="2" borderId="5" xfId="0" applyFont="1" applyFill="1" applyBorder="1"/>
    <xf numFmtId="0" fontId="6" fillId="2" borderId="0" xfId="0" applyFont="1" applyFill="1" applyBorder="1" applyAlignment="1">
      <alignment horizontal="left"/>
    </xf>
    <xf numFmtId="14" fontId="6" fillId="2" borderId="0" xfId="0" applyNumberFormat="1" applyFont="1" applyFill="1" applyBorder="1" applyAlignment="1">
      <alignment horizontal="right"/>
    </xf>
    <xf numFmtId="9" fontId="6" fillId="2" borderId="0" xfId="0" applyNumberFormat="1" applyFont="1" applyFill="1" applyBorder="1" applyAlignment="1">
      <alignment horizontal="right"/>
    </xf>
    <xf numFmtId="0" fontId="3" fillId="2" borderId="0" xfId="0" applyFont="1" applyFill="1" applyBorder="1" applyAlignment="1">
      <alignment horizontal="right"/>
    </xf>
    <xf numFmtId="0" fontId="4" fillId="2" borderId="1" xfId="0" applyFont="1" applyFill="1" applyBorder="1"/>
    <xf numFmtId="1" fontId="3" fillId="2" borderId="0" xfId="0" applyNumberFormat="1" applyFont="1" applyFill="1" applyBorder="1" applyAlignment="1">
      <alignment horizontal="right"/>
    </xf>
    <xf numFmtId="0" fontId="3" fillId="2" borderId="6" xfId="0" applyFont="1" applyFill="1" applyBorder="1"/>
    <xf numFmtId="0" fontId="3" fillId="2" borderId="8" xfId="0" applyFont="1" applyFill="1" applyBorder="1" applyAlignment="1">
      <alignment horizontal="left"/>
    </xf>
    <xf numFmtId="0" fontId="5" fillId="4" borderId="2" xfId="0" applyFont="1" applyFill="1" applyBorder="1"/>
    <xf numFmtId="0" fontId="3" fillId="4" borderId="3" xfId="0" applyFont="1" applyFill="1" applyBorder="1" applyAlignment="1">
      <alignment horizontal="right"/>
    </xf>
    <xf numFmtId="0" fontId="3" fillId="4" borderId="4" xfId="0" applyFont="1" applyFill="1" applyBorder="1" applyAlignment="1">
      <alignment horizontal="left"/>
    </xf>
    <xf numFmtId="169" fontId="6" fillId="2" borderId="0" xfId="0" applyNumberFormat="1" applyFont="1" applyFill="1" applyBorder="1" applyAlignment="1">
      <alignment horizontal="right"/>
    </xf>
    <xf numFmtId="10" fontId="6" fillId="2" borderId="0" xfId="0" applyNumberFormat="1" applyFont="1" applyFill="1" applyBorder="1" applyAlignment="1">
      <alignment horizontal="right"/>
    </xf>
    <xf numFmtId="0" fontId="3" fillId="2" borderId="9" xfId="0" applyFont="1" applyFill="1" applyBorder="1"/>
    <xf numFmtId="0" fontId="3" fillId="2" borderId="0" xfId="0" applyFont="1" applyFill="1" applyBorder="1" applyAlignment="1">
      <alignment horizontal="left"/>
    </xf>
    <xf numFmtId="0" fontId="3" fillId="2" borderId="8" xfId="0" applyFont="1" applyFill="1" applyBorder="1"/>
    <xf numFmtId="9" fontId="3" fillId="2" borderId="0" xfId="1" applyFont="1" applyFill="1" applyBorder="1" applyAlignment="1">
      <alignment horizontal="right"/>
    </xf>
    <xf numFmtId="0" fontId="3" fillId="4" borderId="3" xfId="0" applyFont="1" applyFill="1" applyBorder="1"/>
    <xf numFmtId="0" fontId="5" fillId="4" borderId="4" xfId="0" applyFont="1" applyFill="1" applyBorder="1"/>
    <xf numFmtId="0" fontId="3" fillId="2" borderId="7" xfId="0" applyFont="1" applyFill="1" applyBorder="1"/>
    <xf numFmtId="172" fontId="3" fillId="2" borderId="7" xfId="0" applyNumberFormat="1" applyFont="1" applyFill="1" applyBorder="1"/>
    <xf numFmtId="172" fontId="6" fillId="2" borderId="0" xfId="0" applyNumberFormat="1" applyFont="1" applyFill="1" applyBorder="1"/>
    <xf numFmtId="0" fontId="6" fillId="2" borderId="0" xfId="0" applyFont="1" applyFill="1" applyBorder="1"/>
    <xf numFmtId="169" fontId="6" fillId="2" borderId="0" xfId="0" applyNumberFormat="1" applyFont="1" applyFill="1" applyBorder="1"/>
    <xf numFmtId="0" fontId="3" fillId="2" borderId="2" xfId="0" applyFont="1" applyFill="1" applyBorder="1"/>
    <xf numFmtId="169" fontId="6" fillId="2" borderId="3" xfId="0" applyNumberFormat="1" applyFont="1" applyFill="1" applyBorder="1" applyAlignment="1">
      <alignment horizontal="right"/>
    </xf>
    <xf numFmtId="0" fontId="3" fillId="2" borderId="4" xfId="0" applyFont="1" applyFill="1" applyBorder="1" applyAlignment="1">
      <alignment horizontal="left"/>
    </xf>
    <xf numFmtId="10" fontId="6" fillId="2" borderId="7" xfId="0" applyNumberFormat="1" applyFont="1" applyFill="1" applyBorder="1" applyAlignment="1">
      <alignment horizontal="right"/>
    </xf>
    <xf numFmtId="9" fontId="6" fillId="2" borderId="0" xfId="0" applyNumberFormat="1" applyFont="1" applyFill="1" applyBorder="1"/>
    <xf numFmtId="169" fontId="3" fillId="2" borderId="0" xfId="0" applyNumberFormat="1" applyFont="1" applyFill="1" applyBorder="1"/>
    <xf numFmtId="10" fontId="6" fillId="2" borderId="0" xfId="0" applyNumberFormat="1" applyFont="1" applyFill="1" applyBorder="1"/>
    <xf numFmtId="10" fontId="6" fillId="2" borderId="0" xfId="1" applyNumberFormat="1" applyFont="1" applyFill="1" applyBorder="1"/>
    <xf numFmtId="0" fontId="5" fillId="4" borderId="4" xfId="0" applyFont="1" applyFill="1" applyBorder="1" applyAlignment="1">
      <alignment horizontal="left"/>
    </xf>
    <xf numFmtId="0" fontId="4" fillId="3" borderId="0" xfId="0" applyFont="1" applyFill="1" applyBorder="1"/>
    <xf numFmtId="0" fontId="3" fillId="3" borderId="0" xfId="0" applyFont="1" applyFill="1" applyBorder="1" applyAlignment="1">
      <alignment horizontal="right"/>
    </xf>
    <xf numFmtId="0" fontId="3" fillId="3" borderId="0" xfId="0" applyFont="1" applyFill="1" applyBorder="1" applyAlignment="1">
      <alignment horizontal="left"/>
    </xf>
    <xf numFmtId="169" fontId="3" fillId="5" borderId="0" xfId="0" applyNumberFormat="1" applyFont="1" applyFill="1" applyBorder="1"/>
    <xf numFmtId="10" fontId="6" fillId="2" borderId="7" xfId="0" applyNumberFormat="1" applyFont="1" applyFill="1" applyBorder="1"/>
    <xf numFmtId="10" fontId="3" fillId="2" borderId="0" xfId="0" applyNumberFormat="1" applyFont="1" applyFill="1"/>
    <xf numFmtId="0" fontId="5" fillId="4" borderId="3" xfId="0" applyFont="1" applyFill="1" applyBorder="1"/>
    <xf numFmtId="10" fontId="6" fillId="2" borderId="0" xfId="1" applyNumberFormat="1" applyFont="1" applyFill="1" applyBorder="1" applyAlignment="1">
      <alignment horizontal="right"/>
    </xf>
    <xf numFmtId="0" fontId="5" fillId="4" borderId="6" xfId="0" applyFont="1" applyFill="1" applyBorder="1"/>
    <xf numFmtId="0" fontId="3" fillId="3" borderId="4" xfId="0" applyFont="1" applyFill="1" applyBorder="1"/>
    <xf numFmtId="0" fontId="3" fillId="7" borderId="5" xfId="0" applyFont="1" applyFill="1" applyBorder="1"/>
    <xf numFmtId="0" fontId="3" fillId="2" borderId="3" xfId="0" applyFont="1" applyFill="1" applyBorder="1"/>
    <xf numFmtId="0" fontId="3" fillId="8" borderId="3" xfId="0" applyFont="1" applyFill="1" applyBorder="1"/>
    <xf numFmtId="0" fontId="3" fillId="9" borderId="3" xfId="0" applyFont="1" applyFill="1" applyBorder="1" applyAlignment="1">
      <alignment horizontal="center"/>
    </xf>
    <xf numFmtId="0" fontId="3" fillId="10" borderId="4" xfId="0" applyFont="1" applyFill="1" applyBorder="1"/>
    <xf numFmtId="173" fontId="3" fillId="2" borderId="0" xfId="0" applyNumberFormat="1" applyFont="1" applyFill="1" applyBorder="1"/>
    <xf numFmtId="173" fontId="3" fillId="2" borderId="5" xfId="0" applyNumberFormat="1" applyFont="1" applyFill="1" applyBorder="1"/>
    <xf numFmtId="0" fontId="3" fillId="2" borderId="3" xfId="0" applyFont="1" applyFill="1" applyBorder="1" applyAlignment="1">
      <alignment horizontal="left"/>
    </xf>
    <xf numFmtId="0" fontId="3" fillId="2" borderId="7" xfId="0" applyFont="1" applyFill="1" applyBorder="1" applyAlignment="1">
      <alignment horizontal="left"/>
    </xf>
    <xf numFmtId="0" fontId="3" fillId="4" borderId="3" xfId="0" applyFont="1" applyFill="1" applyBorder="1" applyAlignment="1">
      <alignment horizontal="left"/>
    </xf>
    <xf numFmtId="0" fontId="3" fillId="4" borderId="4" xfId="0" applyFont="1" applyFill="1" applyBorder="1"/>
    <xf numFmtId="0" fontId="0" fillId="2" borderId="1" xfId="0" applyFill="1" applyBorder="1"/>
    <xf numFmtId="0" fontId="2" fillId="2" borderId="1" xfId="0" applyFont="1" applyFill="1" applyBorder="1"/>
    <xf numFmtId="0" fontId="3" fillId="11" borderId="0" xfId="0" applyFont="1" applyFill="1" applyBorder="1" applyAlignment="1">
      <alignment horizontal="center"/>
    </xf>
    <xf numFmtId="0" fontId="3" fillId="11" borderId="5" xfId="0" applyFont="1" applyFill="1" applyBorder="1" applyAlignment="1">
      <alignment horizontal="center"/>
    </xf>
    <xf numFmtId="0" fontId="0" fillId="2" borderId="1" xfId="0" applyFill="1" applyBorder="1" applyAlignment="1">
      <alignment horizontal="left" indent="1"/>
    </xf>
    <xf numFmtId="0" fontId="3" fillId="12" borderId="0" xfId="0" applyFont="1" applyFill="1" applyBorder="1" applyAlignment="1">
      <alignment horizontal="center"/>
    </xf>
    <xf numFmtId="0" fontId="3" fillId="6" borderId="0" xfId="0" applyFont="1" applyFill="1" applyBorder="1" applyAlignment="1">
      <alignment horizontal="center"/>
    </xf>
    <xf numFmtId="0" fontId="3" fillId="7" borderId="0" xfId="0" applyFont="1" applyFill="1" applyBorder="1" applyAlignment="1">
      <alignment horizontal="center"/>
    </xf>
    <xf numFmtId="0" fontId="0" fillId="2" borderId="6" xfId="0" applyFill="1" applyBorder="1" applyAlignment="1">
      <alignment horizontal="left" indent="1"/>
    </xf>
    <xf numFmtId="0" fontId="3" fillId="13" borderId="0" xfId="0" applyFont="1" applyFill="1" applyBorder="1"/>
    <xf numFmtId="10" fontId="10" fillId="13" borderId="0" xfId="1" applyNumberFormat="1" applyFont="1" applyFill="1" applyBorder="1"/>
    <xf numFmtId="10" fontId="10" fillId="13" borderId="5" xfId="1" applyNumberFormat="1" applyFont="1" applyFill="1" applyBorder="1"/>
    <xf numFmtId="174" fontId="10" fillId="13" borderId="0" xfId="1" applyNumberFormat="1" applyFont="1" applyFill="1" applyBorder="1"/>
    <xf numFmtId="174" fontId="10" fillId="13" borderId="5" xfId="1" applyNumberFormat="1" applyFont="1" applyFill="1" applyBorder="1"/>
    <xf numFmtId="174" fontId="10" fillId="13" borderId="7" xfId="1" applyNumberFormat="1" applyFont="1" applyFill="1" applyBorder="1"/>
    <xf numFmtId="174" fontId="10" fillId="13" borderId="8" xfId="1" applyNumberFormat="1" applyFont="1" applyFill="1" applyBorder="1"/>
    <xf numFmtId="178" fontId="3" fillId="2" borderId="0" xfId="0" applyNumberFormat="1" applyFont="1" applyFill="1"/>
    <xf numFmtId="178" fontId="4" fillId="2" borderId="9" xfId="0" applyNumberFormat="1" applyFont="1" applyFill="1" applyBorder="1"/>
    <xf numFmtId="0" fontId="3" fillId="2" borderId="7" xfId="0" applyFont="1" applyFill="1" applyBorder="1" applyAlignment="1">
      <alignment horizontal="right"/>
    </xf>
    <xf numFmtId="178" fontId="4" fillId="2" borderId="0" xfId="0" applyNumberFormat="1" applyFont="1" applyFill="1" applyBorder="1"/>
    <xf numFmtId="181" fontId="3" fillId="2" borderId="0" xfId="0" applyNumberFormat="1" applyFont="1" applyFill="1"/>
    <xf numFmtId="181" fontId="4" fillId="2" borderId="9" xfId="0" applyNumberFormat="1" applyFont="1" applyFill="1" applyBorder="1"/>
    <xf numFmtId="178" fontId="3" fillId="2" borderId="0" xfId="0" applyNumberFormat="1" applyFont="1" applyFill="1" applyBorder="1"/>
    <xf numFmtId="178" fontId="3" fillId="2" borderId="5" xfId="0" applyNumberFormat="1" applyFont="1" applyFill="1" applyBorder="1"/>
    <xf numFmtId="10" fontId="3" fillId="2" borderId="0" xfId="0" applyNumberFormat="1" applyFont="1" applyFill="1" applyBorder="1"/>
    <xf numFmtId="178" fontId="4" fillId="2" borderId="10" xfId="0" applyNumberFormat="1" applyFont="1" applyFill="1" applyBorder="1"/>
    <xf numFmtId="178" fontId="4" fillId="2" borderId="5" xfId="0" applyNumberFormat="1" applyFont="1" applyFill="1" applyBorder="1"/>
    <xf numFmtId="0" fontId="11" fillId="2" borderId="1" xfId="0" applyFont="1" applyFill="1" applyBorder="1"/>
    <xf numFmtId="9" fontId="11" fillId="2" borderId="0" xfId="1" applyFont="1" applyFill="1" applyBorder="1"/>
    <xf numFmtId="9" fontId="11" fillId="2" borderId="5" xfId="1" applyFont="1" applyFill="1" applyBorder="1"/>
    <xf numFmtId="181" fontId="3" fillId="2" borderId="0" xfId="0" applyNumberFormat="1" applyFont="1" applyFill="1" applyBorder="1"/>
    <xf numFmtId="181" fontId="3" fillId="2" borderId="5" xfId="0" applyNumberFormat="1" applyFont="1" applyFill="1" applyBorder="1"/>
    <xf numFmtId="0" fontId="4" fillId="2" borderId="6" xfId="0" applyFont="1" applyFill="1" applyBorder="1"/>
    <xf numFmtId="181" fontId="4" fillId="2" borderId="11" xfId="0" applyNumberFormat="1" applyFont="1" applyFill="1" applyBorder="1"/>
    <xf numFmtId="0" fontId="3" fillId="2" borderId="11" xfId="0" applyFont="1" applyFill="1" applyBorder="1"/>
    <xf numFmtId="181" fontId="4" fillId="2" borderId="12" xfId="0" applyNumberFormat="1" applyFont="1" applyFill="1" applyBorder="1"/>
    <xf numFmtId="181" fontId="4" fillId="2" borderId="0" xfId="0" applyNumberFormat="1" applyFont="1" applyFill="1" applyBorder="1"/>
    <xf numFmtId="10" fontId="3" fillId="5" borderId="0" xfId="1" applyNumberFormat="1" applyFont="1" applyFill="1" applyBorder="1"/>
    <xf numFmtId="181" fontId="3" fillId="2" borderId="11" xfId="0" applyNumberFormat="1" applyFont="1" applyFill="1" applyBorder="1"/>
    <xf numFmtId="181" fontId="3" fillId="2" borderId="12" xfId="0" applyNumberFormat="1" applyFont="1" applyFill="1" applyBorder="1"/>
    <xf numFmtId="10" fontId="3" fillId="6" borderId="0" xfId="1" applyNumberFormat="1" applyFont="1" applyFill="1"/>
    <xf numFmtId="0" fontId="3" fillId="3" borderId="2" xfId="0" applyFont="1" applyFill="1" applyBorder="1"/>
    <xf numFmtId="0" fontId="3" fillId="3" borderId="3" xfId="0" applyFont="1" applyFill="1" applyBorder="1"/>
    <xf numFmtId="0" fontId="3" fillId="3" borderId="3" xfId="0" applyFont="1" applyFill="1" applyBorder="1" applyAlignment="1">
      <alignment horizontal="left"/>
    </xf>
    <xf numFmtId="10" fontId="3" fillId="6" borderId="7" xfId="1" applyNumberFormat="1" applyFont="1" applyFill="1" applyBorder="1"/>
    <xf numFmtId="9" fontId="3" fillId="2" borderId="0" xfId="0" applyNumberFormat="1" applyFont="1" applyFill="1" applyBorder="1"/>
    <xf numFmtId="0" fontId="3" fillId="2" borderId="12" xfId="0" applyFont="1" applyFill="1" applyBorder="1"/>
    <xf numFmtId="179" fontId="4" fillId="2" borderId="11" xfId="0" applyNumberFormat="1" applyFont="1" applyFill="1" applyBorder="1"/>
    <xf numFmtId="0" fontId="4" fillId="2" borderId="11" xfId="0" applyFont="1" applyFill="1" applyBorder="1"/>
    <xf numFmtId="181" fontId="3" fillId="3" borderId="0" xfId="0" applyNumberFormat="1" applyFont="1" applyFill="1"/>
    <xf numFmtId="10" fontId="3" fillId="2" borderId="0" xfId="1" applyNumberFormat="1" applyFont="1" applyFill="1" applyBorder="1"/>
    <xf numFmtId="181" fontId="3" fillId="14" borderId="0" xfId="0" applyNumberFormat="1" applyFont="1" applyFill="1"/>
    <xf numFmtId="10" fontId="3" fillId="5" borderId="5" xfId="0" applyNumberFormat="1" applyFont="1" applyFill="1" applyBorder="1"/>
    <xf numFmtId="9" fontId="3" fillId="5" borderId="8" xfId="0"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BDBD"/>
      <color rgb="FFFF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7514-BCB8-4C2E-BC32-25598BD768C3}">
  <dimension ref="B1:K44"/>
  <sheetViews>
    <sheetView tabSelected="1" workbookViewId="0"/>
  </sheetViews>
  <sheetFormatPr defaultRowHeight="14" x14ac:dyDescent="0.3"/>
  <cols>
    <col min="1" max="1" width="2" style="2" customWidth="1"/>
    <col min="2" max="2" width="40.54296875" style="2" customWidth="1"/>
    <col min="3" max="3" width="14.6328125" style="3" customWidth="1"/>
    <col min="4" max="4" width="14.6328125" style="5" customWidth="1"/>
    <col min="5" max="5" width="3" style="2" customWidth="1"/>
    <col min="6" max="6" width="43" style="2" customWidth="1"/>
    <col min="7" max="7" width="16.81640625" style="2" bestFit="1" customWidth="1"/>
    <col min="8" max="8" width="19.54296875" style="2" bestFit="1" customWidth="1"/>
    <col min="9" max="9" width="2.6328125" style="2" customWidth="1"/>
    <col min="10" max="10" width="26.26953125" style="2" bestFit="1" customWidth="1"/>
    <col min="11" max="11" width="10" style="2" customWidth="1"/>
    <col min="12" max="16384" width="8.7265625" style="2"/>
  </cols>
  <sheetData>
    <row r="1" spans="2:11" ht="14.5" thickBot="1" x14ac:dyDescent="0.35"/>
    <row r="2" spans="2:11" ht="14.5" thickBot="1" x14ac:dyDescent="0.35">
      <c r="B2" s="47" t="s">
        <v>0</v>
      </c>
      <c r="C2" s="48"/>
      <c r="D2" s="49"/>
      <c r="E2" s="1"/>
      <c r="F2" s="1"/>
      <c r="G2" s="1"/>
      <c r="H2" s="1"/>
      <c r="J2" s="9" t="s">
        <v>93</v>
      </c>
      <c r="K2" s="56"/>
    </row>
    <row r="3" spans="2:11" x14ac:dyDescent="0.3">
      <c r="B3" s="22" t="s">
        <v>1</v>
      </c>
      <c r="C3" s="23"/>
      <c r="D3" s="46" t="s">
        <v>22</v>
      </c>
      <c r="F3" s="22" t="s">
        <v>44</v>
      </c>
      <c r="G3" s="31"/>
      <c r="H3" s="32" t="s">
        <v>22</v>
      </c>
      <c r="J3" s="10" t="s">
        <v>98</v>
      </c>
      <c r="K3" s="57">
        <v>2</v>
      </c>
    </row>
    <row r="4" spans="2:11" x14ac:dyDescent="0.3">
      <c r="B4" s="7" t="s">
        <v>2</v>
      </c>
      <c r="C4" s="11" t="s">
        <v>3</v>
      </c>
      <c r="D4" s="12" t="s">
        <v>23</v>
      </c>
      <c r="F4" s="7" t="s">
        <v>45</v>
      </c>
      <c r="G4" s="35">
        <v>42004</v>
      </c>
      <c r="H4" s="13" t="s">
        <v>27</v>
      </c>
      <c r="J4" s="10" t="s">
        <v>94</v>
      </c>
      <c r="K4" s="120">
        <f ca="1">+'Cash Flow'!C80</f>
        <v>3.6138728260993958E-2</v>
      </c>
    </row>
    <row r="5" spans="2:11" ht="16.5" x14ac:dyDescent="0.3">
      <c r="B5" s="7" t="s">
        <v>4</v>
      </c>
      <c r="C5" s="11" t="s">
        <v>5</v>
      </c>
      <c r="D5" s="13" t="s">
        <v>23</v>
      </c>
      <c r="F5" s="7" t="s">
        <v>46</v>
      </c>
      <c r="G5" s="36">
        <v>10</v>
      </c>
      <c r="H5" s="13" t="s">
        <v>47</v>
      </c>
      <c r="J5" s="10" t="s">
        <v>95</v>
      </c>
      <c r="K5" s="120">
        <f ca="1">+'Cash Flow'!C103</f>
        <v>2.4189856648445123E-2</v>
      </c>
    </row>
    <row r="6" spans="2:11" ht="14.5" thickBot="1" x14ac:dyDescent="0.35">
      <c r="B6" s="7" t="s">
        <v>21</v>
      </c>
      <c r="C6" s="14" t="s">
        <v>7</v>
      </c>
      <c r="D6" s="12" t="s">
        <v>23</v>
      </c>
      <c r="F6" s="20" t="s">
        <v>48</v>
      </c>
      <c r="G6" s="34">
        <f>+EOMONTH(G4,12*G5)</f>
        <v>45657</v>
      </c>
      <c r="H6" s="29"/>
      <c r="J6" s="10" t="s">
        <v>96</v>
      </c>
      <c r="K6" s="120">
        <f>+'Cash Flow'!G55</f>
        <v>4.3851280198019808E-2</v>
      </c>
    </row>
    <row r="7" spans="2:11" ht="14.5" thickBot="1" x14ac:dyDescent="0.35">
      <c r="B7" s="7" t="s">
        <v>6</v>
      </c>
      <c r="C7" s="11" t="s">
        <v>8</v>
      </c>
      <c r="D7" s="12" t="s">
        <v>23</v>
      </c>
      <c r="J7" s="55" t="s">
        <v>97</v>
      </c>
      <c r="K7" s="121">
        <f>+'Cash Flow'!G56</f>
        <v>0.74768065557432473</v>
      </c>
    </row>
    <row r="8" spans="2:11" x14ac:dyDescent="0.3">
      <c r="B8" s="7" t="s">
        <v>26</v>
      </c>
      <c r="C8" s="15">
        <v>41213</v>
      </c>
      <c r="D8" s="12" t="s">
        <v>27</v>
      </c>
      <c r="F8" s="22" t="s">
        <v>49</v>
      </c>
      <c r="G8" s="31"/>
      <c r="H8" s="32" t="s">
        <v>22</v>
      </c>
    </row>
    <row r="9" spans="2:11" x14ac:dyDescent="0.3">
      <c r="B9" s="7" t="s">
        <v>9</v>
      </c>
      <c r="C9" s="16">
        <v>1</v>
      </c>
      <c r="D9" s="12" t="s">
        <v>24</v>
      </c>
      <c r="F9" s="7" t="s">
        <v>50</v>
      </c>
      <c r="G9" s="45">
        <v>0</v>
      </c>
      <c r="H9" s="13" t="s">
        <v>54</v>
      </c>
    </row>
    <row r="10" spans="2:11" x14ac:dyDescent="0.3">
      <c r="B10" s="7" t="s">
        <v>10</v>
      </c>
      <c r="C10" s="11" t="s">
        <v>11</v>
      </c>
      <c r="D10" s="12" t="s">
        <v>23</v>
      </c>
      <c r="F10" s="7" t="s">
        <v>51</v>
      </c>
      <c r="G10" s="37">
        <v>0</v>
      </c>
      <c r="H10" s="13" t="s">
        <v>52</v>
      </c>
    </row>
    <row r="11" spans="2:11" x14ac:dyDescent="0.3">
      <c r="B11" s="7" t="s">
        <v>12</v>
      </c>
      <c r="C11" s="11">
        <v>10.7639</v>
      </c>
      <c r="D11" s="12"/>
      <c r="F11" s="7" t="s">
        <v>53</v>
      </c>
      <c r="G11" s="44">
        <v>0.01</v>
      </c>
      <c r="H11" s="13" t="s">
        <v>54</v>
      </c>
    </row>
    <row r="12" spans="2:11" x14ac:dyDescent="0.3">
      <c r="B12" s="7"/>
      <c r="C12" s="11"/>
      <c r="D12" s="12"/>
      <c r="F12" s="7" t="s">
        <v>55</v>
      </c>
      <c r="G12" s="37">
        <v>120000000</v>
      </c>
      <c r="H12" s="13" t="s">
        <v>52</v>
      </c>
    </row>
    <row r="13" spans="2:11" x14ac:dyDescent="0.3">
      <c r="B13" s="7" t="s">
        <v>28</v>
      </c>
      <c r="C13" s="11">
        <v>234</v>
      </c>
      <c r="D13" s="12" t="s">
        <v>25</v>
      </c>
      <c r="F13" s="7" t="s">
        <v>56</v>
      </c>
      <c r="G13" s="43">
        <f>+G12/C27</f>
        <v>644.41640039739013</v>
      </c>
      <c r="H13" s="13" t="s">
        <v>58</v>
      </c>
    </row>
    <row r="14" spans="2:11" x14ac:dyDescent="0.3">
      <c r="B14" s="7" t="s">
        <v>29</v>
      </c>
      <c r="C14" s="11">
        <v>361</v>
      </c>
      <c r="D14" s="12" t="s">
        <v>25</v>
      </c>
      <c r="F14" s="7" t="s">
        <v>59</v>
      </c>
      <c r="G14" s="43">
        <f>+G12/C13</f>
        <v>512820.51282051281</v>
      </c>
      <c r="H14" s="13" t="s">
        <v>60</v>
      </c>
    </row>
    <row r="15" spans="2:11" x14ac:dyDescent="0.3">
      <c r="B15" s="7"/>
      <c r="C15" s="17"/>
      <c r="D15" s="12"/>
      <c r="F15" s="7" t="s">
        <v>63</v>
      </c>
      <c r="G15" s="105">
        <f>+'Cash Flow'!G53/Assumptions!G12</f>
        <v>4.4289793000000008E-2</v>
      </c>
      <c r="H15" s="13" t="s">
        <v>24</v>
      </c>
    </row>
    <row r="16" spans="2:11" x14ac:dyDescent="0.3">
      <c r="B16" s="18" t="s">
        <v>13</v>
      </c>
      <c r="C16" s="17"/>
      <c r="D16" s="12"/>
      <c r="F16" s="7" t="s">
        <v>61</v>
      </c>
      <c r="G16" s="37">
        <v>2000</v>
      </c>
      <c r="H16" s="13" t="s">
        <v>62</v>
      </c>
    </row>
    <row r="17" spans="2:8" x14ac:dyDescent="0.3">
      <c r="B17" s="7" t="s">
        <v>14</v>
      </c>
      <c r="C17" s="19">
        <f>+C19/C18</f>
        <v>3089.2779170587396</v>
      </c>
      <c r="D17" s="12" t="s">
        <v>20</v>
      </c>
      <c r="F17" s="7" t="s">
        <v>65</v>
      </c>
      <c r="G17" s="37">
        <v>800</v>
      </c>
      <c r="H17" s="13" t="s">
        <v>62</v>
      </c>
    </row>
    <row r="18" spans="2:8" x14ac:dyDescent="0.3">
      <c r="B18" s="7" t="s">
        <v>15</v>
      </c>
      <c r="C18" s="11">
        <v>7</v>
      </c>
      <c r="D18" s="12" t="s">
        <v>25</v>
      </c>
      <c r="F18" s="7" t="s">
        <v>64</v>
      </c>
      <c r="G18" s="37">
        <v>600</v>
      </c>
      <c r="H18" s="13" t="s">
        <v>62</v>
      </c>
    </row>
    <row r="19" spans="2:8" x14ac:dyDescent="0.3">
      <c r="B19" s="7" t="s">
        <v>16</v>
      </c>
      <c r="C19" s="19">
        <f>+C21/C20</f>
        <v>21624.945419411179</v>
      </c>
      <c r="D19" s="12" t="s">
        <v>20</v>
      </c>
      <c r="F19" s="7" t="s">
        <v>66</v>
      </c>
      <c r="G19" s="26">
        <v>0.02</v>
      </c>
      <c r="H19" s="12" t="s">
        <v>24</v>
      </c>
    </row>
    <row r="20" spans="2:8" x14ac:dyDescent="0.3">
      <c r="B20" s="7" t="s">
        <v>17</v>
      </c>
      <c r="C20" s="16">
        <v>0.8</v>
      </c>
      <c r="D20" s="12" t="s">
        <v>24</v>
      </c>
      <c r="F20" s="7" t="s">
        <v>67</v>
      </c>
      <c r="G20" s="26">
        <v>0.02</v>
      </c>
      <c r="H20" s="12" t="s">
        <v>24</v>
      </c>
    </row>
    <row r="21" spans="2:8" ht="14.5" thickBot="1" x14ac:dyDescent="0.35">
      <c r="B21" s="7" t="s">
        <v>18</v>
      </c>
      <c r="C21" s="19">
        <f>+C27/C11</f>
        <v>17299.956335528943</v>
      </c>
      <c r="D21" s="12" t="s">
        <v>20</v>
      </c>
      <c r="F21" s="20" t="s">
        <v>68</v>
      </c>
      <c r="G21" s="41">
        <v>0.02</v>
      </c>
      <c r="H21" s="21" t="s">
        <v>24</v>
      </c>
    </row>
    <row r="22" spans="2:8" ht="14.5" thickBot="1" x14ac:dyDescent="0.35">
      <c r="B22" s="7" t="s">
        <v>30</v>
      </c>
      <c r="C22" s="19">
        <f>+C21/C13</f>
        <v>73.931437331320268</v>
      </c>
      <c r="D22" s="12" t="s">
        <v>20</v>
      </c>
    </row>
    <row r="23" spans="2:8" x14ac:dyDescent="0.3">
      <c r="B23" s="7"/>
      <c r="C23" s="17"/>
      <c r="D23" s="12"/>
      <c r="F23" s="22" t="s">
        <v>69</v>
      </c>
      <c r="G23" s="31"/>
      <c r="H23" s="32" t="s">
        <v>22</v>
      </c>
    </row>
    <row r="24" spans="2:8" x14ac:dyDescent="0.3">
      <c r="B24" s="18" t="s">
        <v>19</v>
      </c>
      <c r="C24" s="17"/>
      <c r="D24" s="12"/>
      <c r="F24" s="7" t="s">
        <v>70</v>
      </c>
      <c r="G24" s="105">
        <f ca="1">+OFFSET(G32,K3,0)</f>
        <v>0.04</v>
      </c>
      <c r="H24" s="13" t="s">
        <v>24</v>
      </c>
    </row>
    <row r="25" spans="2:8" x14ac:dyDescent="0.3">
      <c r="B25" s="7" t="s">
        <v>14</v>
      </c>
      <c r="C25" s="19">
        <f>+C17*C11</f>
        <v>33252.678571428565</v>
      </c>
      <c r="D25" s="12" t="s">
        <v>32</v>
      </c>
      <c r="F25" s="7" t="s">
        <v>71</v>
      </c>
      <c r="G25" s="50">
        <f ca="1">+'Cash Flow'!R53/Assumptions!G24</f>
        <v>131039122.96476653</v>
      </c>
      <c r="H25" s="13" t="s">
        <v>52</v>
      </c>
    </row>
    <row r="26" spans="2:8" x14ac:dyDescent="0.3">
      <c r="B26" s="7" t="s">
        <v>16</v>
      </c>
      <c r="C26" s="19">
        <f>+C19*C11</f>
        <v>232768.74999999997</v>
      </c>
      <c r="D26" s="12" t="s">
        <v>32</v>
      </c>
      <c r="F26" s="7" t="s">
        <v>72</v>
      </c>
      <c r="G26" s="50">
        <f ca="1">+G25/C27</f>
        <v>703.69799943488192</v>
      </c>
      <c r="H26" s="13" t="s">
        <v>58</v>
      </c>
    </row>
    <row r="27" spans="2:8" x14ac:dyDescent="0.3">
      <c r="B27" s="7" t="s">
        <v>18</v>
      </c>
      <c r="C27" s="11">
        <v>186215</v>
      </c>
      <c r="D27" s="12" t="s">
        <v>32</v>
      </c>
      <c r="F27" s="7" t="s">
        <v>73</v>
      </c>
      <c r="G27" s="50">
        <f ca="1">+G25/C13</f>
        <v>559996.25198618171</v>
      </c>
      <c r="H27" s="13" t="s">
        <v>60</v>
      </c>
    </row>
    <row r="28" spans="2:8" x14ac:dyDescent="0.3">
      <c r="B28" s="7" t="s">
        <v>31</v>
      </c>
      <c r="C28" s="19">
        <f>+C27/C13</f>
        <v>795.79059829059827</v>
      </c>
      <c r="D28" s="12" t="s">
        <v>32</v>
      </c>
      <c r="F28" s="7" t="s">
        <v>74</v>
      </c>
      <c r="G28" s="44">
        <v>0.02</v>
      </c>
      <c r="H28" s="13" t="s">
        <v>24</v>
      </c>
    </row>
    <row r="29" spans="2:8" ht="14.5" thickBot="1" x14ac:dyDescent="0.35">
      <c r="B29" s="20"/>
      <c r="C29" s="33"/>
      <c r="D29" s="29"/>
      <c r="F29" s="7" t="s">
        <v>75</v>
      </c>
      <c r="G29" s="44">
        <v>0</v>
      </c>
      <c r="H29" s="13" t="s">
        <v>24</v>
      </c>
    </row>
    <row r="30" spans="2:8" ht="14.5" thickBot="1" x14ac:dyDescent="0.35">
      <c r="F30" s="20" t="s">
        <v>76</v>
      </c>
      <c r="G30" s="51">
        <v>0</v>
      </c>
      <c r="H30" s="29" t="s">
        <v>24</v>
      </c>
    </row>
    <row r="31" spans="2:8" ht="14.5" thickBot="1" x14ac:dyDescent="0.35">
      <c r="B31" s="22" t="s">
        <v>33</v>
      </c>
      <c r="C31" s="23"/>
      <c r="D31" s="24"/>
    </row>
    <row r="32" spans="2:8" x14ac:dyDescent="0.3">
      <c r="B32" s="38" t="s">
        <v>42</v>
      </c>
      <c r="C32" s="39">
        <v>3.16</v>
      </c>
      <c r="D32" s="40" t="s">
        <v>57</v>
      </c>
      <c r="F32" s="22" t="s">
        <v>77</v>
      </c>
      <c r="G32" s="53"/>
      <c r="H32" s="32" t="s">
        <v>22</v>
      </c>
    </row>
    <row r="33" spans="2:8" x14ac:dyDescent="0.3">
      <c r="B33" s="7" t="s">
        <v>34</v>
      </c>
      <c r="C33" s="25">
        <v>150</v>
      </c>
      <c r="D33" s="12" t="s">
        <v>35</v>
      </c>
      <c r="F33" s="7" t="s">
        <v>78</v>
      </c>
      <c r="G33" s="44">
        <v>5.5E-2</v>
      </c>
      <c r="H33" s="13" t="s">
        <v>24</v>
      </c>
    </row>
    <row r="34" spans="2:8" x14ac:dyDescent="0.3">
      <c r="B34" s="7" t="s">
        <v>36</v>
      </c>
      <c r="C34" s="26">
        <v>0.03</v>
      </c>
      <c r="D34" s="12" t="s">
        <v>24</v>
      </c>
      <c r="F34" s="7" t="s">
        <v>79</v>
      </c>
      <c r="G34" s="44">
        <v>0.04</v>
      </c>
      <c r="H34" s="13" t="s">
        <v>24</v>
      </c>
    </row>
    <row r="35" spans="2:8" ht="14.5" thickBot="1" x14ac:dyDescent="0.35">
      <c r="B35" s="7" t="s">
        <v>37</v>
      </c>
      <c r="C35" s="30">
        <f>1-((C36*C13)/((C32*C27*12)+(C33*C13*12)))</f>
        <v>0.89679882297734514</v>
      </c>
      <c r="D35" s="12"/>
      <c r="F35" s="20" t="s">
        <v>80</v>
      </c>
      <c r="G35" s="51">
        <v>4.5999999999999999E-2</v>
      </c>
      <c r="H35" s="29" t="s">
        <v>24</v>
      </c>
    </row>
    <row r="36" spans="2:8" ht="14.5" thickBot="1" x14ac:dyDescent="0.35">
      <c r="B36" s="7" t="s">
        <v>38</v>
      </c>
      <c r="C36" s="25">
        <v>3300</v>
      </c>
      <c r="D36" s="12" t="s">
        <v>39</v>
      </c>
    </row>
    <row r="37" spans="2:8" x14ac:dyDescent="0.3">
      <c r="B37" s="7" t="s">
        <v>40</v>
      </c>
      <c r="C37" s="26">
        <v>0.03</v>
      </c>
      <c r="D37" s="12" t="s">
        <v>24</v>
      </c>
      <c r="F37" s="22" t="s">
        <v>81</v>
      </c>
      <c r="G37" s="31"/>
      <c r="H37" s="32" t="s">
        <v>22</v>
      </c>
    </row>
    <row r="38" spans="2:8" x14ac:dyDescent="0.3">
      <c r="B38" s="7" t="s">
        <v>124</v>
      </c>
      <c r="C38" s="26">
        <v>0.05</v>
      </c>
      <c r="D38" s="12" t="s">
        <v>24</v>
      </c>
      <c r="F38" s="7" t="s">
        <v>82</v>
      </c>
      <c r="G38" s="42">
        <v>0.7</v>
      </c>
      <c r="H38" s="13" t="s">
        <v>24</v>
      </c>
    </row>
    <row r="39" spans="2:8" x14ac:dyDescent="0.3">
      <c r="B39" s="7" t="s">
        <v>41</v>
      </c>
      <c r="C39" s="25">
        <v>0.3</v>
      </c>
      <c r="D39" s="12" t="s">
        <v>57</v>
      </c>
      <c r="F39" s="7" t="s">
        <v>84</v>
      </c>
      <c r="G39" s="11" t="s">
        <v>90</v>
      </c>
      <c r="H39" s="13"/>
    </row>
    <row r="40" spans="2:8" x14ac:dyDescent="0.3">
      <c r="B40" s="7" t="s">
        <v>83</v>
      </c>
      <c r="C40" s="54">
        <v>0.03</v>
      </c>
      <c r="D40" s="12" t="s">
        <v>24</v>
      </c>
      <c r="F40" s="7" t="s">
        <v>85</v>
      </c>
      <c r="G40" s="44">
        <v>0.04</v>
      </c>
      <c r="H40" s="13"/>
    </row>
    <row r="41" spans="2:8" x14ac:dyDescent="0.3">
      <c r="B41" s="7" t="s">
        <v>43</v>
      </c>
      <c r="C41" s="25">
        <v>1500</v>
      </c>
      <c r="D41" s="13" t="s">
        <v>39</v>
      </c>
      <c r="F41" s="7" t="s">
        <v>86</v>
      </c>
      <c r="G41" s="36">
        <v>30</v>
      </c>
      <c r="H41" s="13" t="s">
        <v>47</v>
      </c>
    </row>
    <row r="42" spans="2:8" x14ac:dyDescent="0.3">
      <c r="B42" s="7"/>
      <c r="C42" s="17"/>
      <c r="D42" s="12"/>
      <c r="F42" s="7" t="s">
        <v>87</v>
      </c>
      <c r="G42" s="36">
        <v>10</v>
      </c>
      <c r="H42" s="13" t="s">
        <v>47</v>
      </c>
    </row>
    <row r="43" spans="2:8" x14ac:dyDescent="0.3">
      <c r="B43" s="7"/>
      <c r="C43" s="17"/>
      <c r="D43" s="12"/>
      <c r="F43" s="7" t="s">
        <v>88</v>
      </c>
      <c r="G43" s="44">
        <v>0.01</v>
      </c>
      <c r="H43" s="13" t="s">
        <v>89</v>
      </c>
    </row>
    <row r="44" spans="2:8" ht="14.5" thickBot="1" x14ac:dyDescent="0.35">
      <c r="B44" s="20"/>
      <c r="C44" s="86"/>
      <c r="D44" s="21"/>
      <c r="F44" s="20" t="s">
        <v>91</v>
      </c>
      <c r="G44" s="51">
        <v>0.03</v>
      </c>
      <c r="H44" s="29" t="s">
        <v>92</v>
      </c>
    </row>
  </sheetData>
  <dataValidations count="1">
    <dataValidation type="list" allowBlank="1" showInputMessage="1" showErrorMessage="1" sqref="K3" xr:uid="{056FAAAB-A000-443F-8733-38F0AE4A171F}">
      <formula1>"1,2,3"</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894A6-70EF-4F5C-A61F-B6E9C500F074}">
  <dimension ref="B1:R103"/>
  <sheetViews>
    <sheetView workbookViewId="0">
      <pane xSplit="2" ySplit="11" topLeftCell="C75" activePane="bottomRight" state="frozen"/>
      <selection pane="topRight" activeCell="C1" sqref="C1"/>
      <selection pane="bottomLeft" activeCell="A12" sqref="A12"/>
      <selection pane="bottomRight" activeCell="Q95" sqref="Q95"/>
    </sheetView>
  </sheetViews>
  <sheetFormatPr defaultRowHeight="14" x14ac:dyDescent="0.3"/>
  <cols>
    <col min="1" max="1" width="2.6328125" style="2" customWidth="1"/>
    <col min="2" max="2" width="41.36328125" style="2" bestFit="1" customWidth="1"/>
    <col min="3" max="3" width="14.7265625" style="2" bestFit="1" customWidth="1"/>
    <col min="4" max="4" width="19.36328125" style="5" bestFit="1" customWidth="1"/>
    <col min="5" max="5" width="17" style="2" bestFit="1" customWidth="1"/>
    <col min="6" max="6" width="8.7265625" style="2"/>
    <col min="7" max="7" width="17" style="2" bestFit="1" customWidth="1"/>
    <col min="8" max="8" width="15.26953125" style="2" bestFit="1" customWidth="1"/>
    <col min="9" max="16" width="15.08984375" style="2" bestFit="1" customWidth="1"/>
    <col min="17" max="17" width="17" style="2" bestFit="1" customWidth="1"/>
    <col min="18" max="18" width="14.6328125" style="2" bestFit="1" customWidth="1"/>
    <col min="19" max="16384" width="8.7265625" style="2"/>
  </cols>
  <sheetData>
    <row r="1" spans="2:18" ht="14.5" thickBot="1" x14ac:dyDescent="0.35"/>
    <row r="2" spans="2:18" x14ac:dyDescent="0.3">
      <c r="B2" s="38"/>
      <c r="C2" s="58"/>
      <c r="D2" s="64"/>
      <c r="E2" s="58"/>
      <c r="F2" s="58"/>
      <c r="G2" s="59" t="s">
        <v>101</v>
      </c>
      <c r="H2" s="60" t="s">
        <v>102</v>
      </c>
      <c r="I2" s="60"/>
      <c r="J2" s="60"/>
      <c r="K2" s="60"/>
      <c r="L2" s="60"/>
      <c r="M2" s="60"/>
      <c r="N2" s="60"/>
      <c r="O2" s="60"/>
      <c r="P2" s="60"/>
      <c r="Q2" s="60"/>
      <c r="R2" s="61" t="s">
        <v>103</v>
      </c>
    </row>
    <row r="3" spans="2:18" x14ac:dyDescent="0.3">
      <c r="B3" s="7" t="s">
        <v>27</v>
      </c>
      <c r="C3" s="8"/>
      <c r="D3" s="28"/>
      <c r="E3" s="8"/>
      <c r="F3" s="8"/>
      <c r="G3" s="62">
        <f>+Assumptions!G4</f>
        <v>42004</v>
      </c>
      <c r="H3" s="62">
        <f>+EOMONTH(G3,12)</f>
        <v>42369</v>
      </c>
      <c r="I3" s="62">
        <f>+EOMONTH(H3,12)</f>
        <v>42735</v>
      </c>
      <c r="J3" s="62">
        <f t="shared" ref="J3:O3" si="0">+EOMONTH(I3,12)</f>
        <v>43100</v>
      </c>
      <c r="K3" s="62">
        <f t="shared" si="0"/>
        <v>43465</v>
      </c>
      <c r="L3" s="62">
        <f t="shared" si="0"/>
        <v>43830</v>
      </c>
      <c r="M3" s="62">
        <f t="shared" si="0"/>
        <v>44196</v>
      </c>
      <c r="N3" s="62">
        <f t="shared" si="0"/>
        <v>44561</v>
      </c>
      <c r="O3" s="62">
        <f t="shared" si="0"/>
        <v>44926</v>
      </c>
      <c r="P3" s="62">
        <f>+EOMONTH(O3,12)</f>
        <v>45291</v>
      </c>
      <c r="Q3" s="62">
        <f>+EOMONTH(P3,12)</f>
        <v>45657</v>
      </c>
      <c r="R3" s="63">
        <f t="shared" ref="R3" si="1">+EOMONTH(Q3,12)</f>
        <v>46022</v>
      </c>
    </row>
    <row r="4" spans="2:18" x14ac:dyDescent="0.3">
      <c r="B4" s="7" t="s">
        <v>99</v>
      </c>
      <c r="C4" s="8"/>
      <c r="D4" s="28"/>
      <c r="E4" s="8"/>
      <c r="F4" s="8"/>
      <c r="G4" s="8">
        <f>+YEAR(G3)</f>
        <v>2014</v>
      </c>
      <c r="H4" s="8">
        <f t="shared" ref="H4:R4" si="2">+YEAR(H3)</f>
        <v>2015</v>
      </c>
      <c r="I4" s="8">
        <f t="shared" si="2"/>
        <v>2016</v>
      </c>
      <c r="J4" s="8">
        <f t="shared" si="2"/>
        <v>2017</v>
      </c>
      <c r="K4" s="8">
        <f t="shared" si="2"/>
        <v>2018</v>
      </c>
      <c r="L4" s="8">
        <f t="shared" si="2"/>
        <v>2019</v>
      </c>
      <c r="M4" s="8">
        <f t="shared" si="2"/>
        <v>2020</v>
      </c>
      <c r="N4" s="8">
        <f t="shared" si="2"/>
        <v>2021</v>
      </c>
      <c r="O4" s="8">
        <f t="shared" si="2"/>
        <v>2022</v>
      </c>
      <c r="P4" s="8">
        <f t="shared" si="2"/>
        <v>2023</v>
      </c>
      <c r="Q4" s="8">
        <f t="shared" si="2"/>
        <v>2024</v>
      </c>
      <c r="R4" s="13">
        <f t="shared" si="2"/>
        <v>2025</v>
      </c>
    </row>
    <row r="5" spans="2:18" ht="14.5" thickBot="1" x14ac:dyDescent="0.35">
      <c r="B5" s="20" t="s">
        <v>100</v>
      </c>
      <c r="C5" s="33"/>
      <c r="D5" s="65"/>
      <c r="E5" s="33"/>
      <c r="F5" s="33"/>
      <c r="G5" s="33">
        <v>0</v>
      </c>
      <c r="H5" s="33">
        <f>+G5+1</f>
        <v>1</v>
      </c>
      <c r="I5" s="33">
        <f t="shared" ref="I5:R5" si="3">+H5+1</f>
        <v>2</v>
      </c>
      <c r="J5" s="33">
        <f t="shared" si="3"/>
        <v>3</v>
      </c>
      <c r="K5" s="33">
        <f t="shared" si="3"/>
        <v>4</v>
      </c>
      <c r="L5" s="33">
        <f t="shared" si="3"/>
        <v>5</v>
      </c>
      <c r="M5" s="33">
        <f t="shared" si="3"/>
        <v>6</v>
      </c>
      <c r="N5" s="33">
        <f t="shared" si="3"/>
        <v>7</v>
      </c>
      <c r="O5" s="33">
        <f t="shared" si="3"/>
        <v>8</v>
      </c>
      <c r="P5" s="33">
        <f t="shared" si="3"/>
        <v>9</v>
      </c>
      <c r="Q5" s="33">
        <f t="shared" si="3"/>
        <v>10</v>
      </c>
      <c r="R5" s="29">
        <f t="shared" si="3"/>
        <v>11</v>
      </c>
    </row>
    <row r="6" spans="2:18" ht="14.5" thickBot="1" x14ac:dyDescent="0.35"/>
    <row r="7" spans="2:18" x14ac:dyDescent="0.3">
      <c r="B7" s="22" t="s">
        <v>104</v>
      </c>
      <c r="C7" s="31"/>
      <c r="D7" s="66"/>
      <c r="E7" s="31"/>
      <c r="F7" s="31"/>
      <c r="G7" s="31"/>
      <c r="H7" s="31"/>
      <c r="I7" s="31"/>
      <c r="J7" s="31"/>
      <c r="K7" s="31"/>
      <c r="L7" s="31"/>
      <c r="M7" s="31"/>
      <c r="N7" s="31"/>
      <c r="O7" s="31"/>
      <c r="P7" s="31"/>
      <c r="Q7" s="31"/>
      <c r="R7" s="67"/>
    </row>
    <row r="8" spans="2:18" ht="14.5" x14ac:dyDescent="0.35">
      <c r="B8" s="68" t="s">
        <v>105</v>
      </c>
      <c r="C8" s="77">
        <v>1</v>
      </c>
      <c r="D8" s="28" t="s">
        <v>25</v>
      </c>
      <c r="E8" s="8"/>
      <c r="F8" s="8"/>
      <c r="G8" s="8"/>
      <c r="H8" s="8"/>
      <c r="I8" s="8"/>
      <c r="J8" s="8"/>
      <c r="K8" s="8"/>
      <c r="L8" s="8"/>
      <c r="M8" s="8"/>
      <c r="N8" s="8"/>
      <c r="O8" s="8"/>
      <c r="P8" s="8"/>
      <c r="Q8" s="8"/>
      <c r="R8" s="13"/>
    </row>
    <row r="9" spans="2:18" ht="14.5" x14ac:dyDescent="0.35">
      <c r="B9" s="68" t="s">
        <v>106</v>
      </c>
      <c r="C9" s="77">
        <v>2</v>
      </c>
      <c r="D9" s="28" t="s">
        <v>25</v>
      </c>
      <c r="E9" s="8"/>
      <c r="F9" s="8"/>
      <c r="G9" s="8"/>
      <c r="H9" s="8"/>
      <c r="I9" s="8"/>
      <c r="J9" s="8"/>
      <c r="K9" s="8"/>
      <c r="L9" s="8"/>
      <c r="M9" s="8"/>
      <c r="N9" s="8"/>
      <c r="O9" s="8"/>
      <c r="P9" s="8"/>
      <c r="Q9" s="8"/>
      <c r="R9" s="13"/>
    </row>
    <row r="10" spans="2:18" ht="14.5" x14ac:dyDescent="0.35">
      <c r="B10" s="68" t="s">
        <v>107</v>
      </c>
      <c r="C10" s="77">
        <v>3</v>
      </c>
      <c r="D10" s="28" t="s">
        <v>25</v>
      </c>
      <c r="E10" s="8"/>
      <c r="F10" s="8"/>
      <c r="G10" s="8"/>
      <c r="H10" s="8"/>
      <c r="I10" s="8"/>
      <c r="J10" s="8"/>
      <c r="K10" s="8"/>
      <c r="L10" s="8"/>
      <c r="M10" s="8"/>
      <c r="N10" s="8"/>
      <c r="O10" s="8"/>
      <c r="P10" s="8"/>
      <c r="Q10" s="8"/>
      <c r="R10" s="13"/>
    </row>
    <row r="11" spans="2:18" x14ac:dyDescent="0.3">
      <c r="B11" s="7"/>
      <c r="C11" s="8"/>
      <c r="D11" s="28"/>
      <c r="E11" s="8"/>
      <c r="F11" s="8"/>
      <c r="G11" s="8"/>
      <c r="H11" s="8"/>
      <c r="I11" s="8"/>
      <c r="J11" s="8"/>
      <c r="K11" s="8"/>
      <c r="L11" s="8"/>
      <c r="M11" s="8"/>
      <c r="N11" s="8"/>
      <c r="O11" s="8"/>
      <c r="P11" s="8"/>
      <c r="Q11" s="8"/>
      <c r="R11" s="13"/>
    </row>
    <row r="12" spans="2:18" ht="14.5" x14ac:dyDescent="0.35">
      <c r="B12" s="69" t="s">
        <v>105</v>
      </c>
      <c r="C12" s="8"/>
      <c r="D12" s="28"/>
      <c r="E12" s="8"/>
      <c r="F12" s="8"/>
      <c r="G12" s="8"/>
      <c r="H12" s="70" t="s">
        <v>116</v>
      </c>
      <c r="I12" s="70"/>
      <c r="J12" s="70"/>
      <c r="K12" s="70"/>
      <c r="L12" s="70"/>
      <c r="M12" s="70"/>
      <c r="N12" s="70"/>
      <c r="O12" s="70"/>
      <c r="P12" s="70"/>
      <c r="Q12" s="70"/>
      <c r="R12" s="71"/>
    </row>
    <row r="13" spans="2:18" ht="14.5" x14ac:dyDescent="0.35">
      <c r="B13" s="72" t="s">
        <v>108</v>
      </c>
      <c r="C13" s="8"/>
      <c r="D13" s="28" t="s">
        <v>24</v>
      </c>
      <c r="E13" s="8"/>
      <c r="F13" s="8"/>
      <c r="G13" s="8"/>
      <c r="H13" s="78">
        <v>0.03</v>
      </c>
      <c r="I13" s="78">
        <v>0.03</v>
      </c>
      <c r="J13" s="78">
        <v>0.03</v>
      </c>
      <c r="K13" s="78">
        <v>0.03</v>
      </c>
      <c r="L13" s="78">
        <v>0.03</v>
      </c>
      <c r="M13" s="78">
        <v>0.03</v>
      </c>
      <c r="N13" s="78">
        <v>0.03</v>
      </c>
      <c r="O13" s="78">
        <v>0.03</v>
      </c>
      <c r="P13" s="78">
        <v>0.03</v>
      </c>
      <c r="Q13" s="78">
        <v>0.03</v>
      </c>
      <c r="R13" s="79">
        <v>0.03</v>
      </c>
    </row>
    <row r="14" spans="2:18" ht="14.5" x14ac:dyDescent="0.35">
      <c r="B14" s="72" t="s">
        <v>109</v>
      </c>
      <c r="C14" s="8"/>
      <c r="D14" s="28" t="s">
        <v>24</v>
      </c>
      <c r="E14" s="8"/>
      <c r="F14" s="8"/>
      <c r="G14" s="8"/>
      <c r="H14" s="78">
        <v>0.03</v>
      </c>
      <c r="I14" s="78">
        <v>0.03</v>
      </c>
      <c r="J14" s="78">
        <v>0.03</v>
      </c>
      <c r="K14" s="78">
        <v>0.03</v>
      </c>
      <c r="L14" s="78">
        <v>0.03</v>
      </c>
      <c r="M14" s="78">
        <v>0.03</v>
      </c>
      <c r="N14" s="78">
        <v>0.03</v>
      </c>
      <c r="O14" s="78">
        <v>0.03</v>
      </c>
      <c r="P14" s="78">
        <v>0.03</v>
      </c>
      <c r="Q14" s="78">
        <v>0.03</v>
      </c>
      <c r="R14" s="79">
        <v>0.03</v>
      </c>
    </row>
    <row r="15" spans="2:18" ht="14.5" x14ac:dyDescent="0.35">
      <c r="B15" s="72" t="s">
        <v>110</v>
      </c>
      <c r="C15" s="8"/>
      <c r="D15" s="28" t="s">
        <v>24</v>
      </c>
      <c r="E15" s="8"/>
      <c r="F15" s="8"/>
      <c r="G15" s="8"/>
      <c r="H15" s="78">
        <v>0.05</v>
      </c>
      <c r="I15" s="78">
        <v>0.05</v>
      </c>
      <c r="J15" s="78">
        <v>0.05</v>
      </c>
      <c r="K15" s="78">
        <v>0.05</v>
      </c>
      <c r="L15" s="78">
        <v>0.05</v>
      </c>
      <c r="M15" s="78">
        <v>0.05</v>
      </c>
      <c r="N15" s="78">
        <v>0.05</v>
      </c>
      <c r="O15" s="78">
        <v>0.05</v>
      </c>
      <c r="P15" s="78">
        <v>0.05</v>
      </c>
      <c r="Q15" s="78">
        <v>0.05</v>
      </c>
      <c r="R15" s="79">
        <v>0.05</v>
      </c>
    </row>
    <row r="16" spans="2:18" ht="14.5" x14ac:dyDescent="0.35">
      <c r="B16" s="72" t="s">
        <v>111</v>
      </c>
      <c r="C16" s="8"/>
      <c r="D16" s="28" t="s">
        <v>24</v>
      </c>
      <c r="E16" s="8"/>
      <c r="F16" s="8"/>
      <c r="G16" s="8"/>
      <c r="H16" s="78">
        <v>0.03</v>
      </c>
      <c r="I16" s="78">
        <v>0.03</v>
      </c>
      <c r="J16" s="78">
        <v>0.03</v>
      </c>
      <c r="K16" s="78">
        <v>0.03</v>
      </c>
      <c r="L16" s="78">
        <v>0.03</v>
      </c>
      <c r="M16" s="78">
        <v>0.03</v>
      </c>
      <c r="N16" s="78">
        <v>0.03</v>
      </c>
      <c r="O16" s="78">
        <v>0.03</v>
      </c>
      <c r="P16" s="78">
        <v>0.03</v>
      </c>
      <c r="Q16" s="78">
        <v>0.03</v>
      </c>
      <c r="R16" s="79">
        <v>0.03</v>
      </c>
    </row>
    <row r="17" spans="2:18" ht="14.5" x14ac:dyDescent="0.35">
      <c r="B17" s="72" t="s">
        <v>112</v>
      </c>
      <c r="C17" s="8"/>
      <c r="D17" s="28" t="s">
        <v>24</v>
      </c>
      <c r="E17" s="8"/>
      <c r="F17" s="8"/>
      <c r="G17" s="8"/>
      <c r="H17" s="78">
        <v>0.03</v>
      </c>
      <c r="I17" s="78">
        <v>0.03</v>
      </c>
      <c r="J17" s="78">
        <v>0.03</v>
      </c>
      <c r="K17" s="78">
        <v>0.03</v>
      </c>
      <c r="L17" s="78">
        <v>0.03</v>
      </c>
      <c r="M17" s="78">
        <v>0.03</v>
      </c>
      <c r="N17" s="78">
        <v>0.03</v>
      </c>
      <c r="O17" s="78">
        <v>0.03</v>
      </c>
      <c r="P17" s="78">
        <v>0.03</v>
      </c>
      <c r="Q17" s="78">
        <v>0.03</v>
      </c>
      <c r="R17" s="79">
        <v>0.03</v>
      </c>
    </row>
    <row r="18" spans="2:18" ht="14.5" x14ac:dyDescent="0.35">
      <c r="B18" s="72" t="s">
        <v>113</v>
      </c>
      <c r="C18" s="8"/>
      <c r="D18" s="28" t="s">
        <v>24</v>
      </c>
      <c r="E18" s="8"/>
      <c r="F18" s="8"/>
      <c r="G18" s="8"/>
      <c r="H18" s="78">
        <v>0.02</v>
      </c>
      <c r="I18" s="78">
        <v>0.02</v>
      </c>
      <c r="J18" s="78">
        <v>0.02</v>
      </c>
      <c r="K18" s="78">
        <v>0.02</v>
      </c>
      <c r="L18" s="78">
        <v>0.02</v>
      </c>
      <c r="M18" s="78">
        <v>0.02</v>
      </c>
      <c r="N18" s="78">
        <v>0.02</v>
      </c>
      <c r="O18" s="78">
        <v>0.02</v>
      </c>
      <c r="P18" s="78">
        <v>0.02</v>
      </c>
      <c r="Q18" s="78">
        <v>0.02</v>
      </c>
      <c r="R18" s="79">
        <v>0.02</v>
      </c>
    </row>
    <row r="19" spans="2:18" ht="14.5" x14ac:dyDescent="0.35">
      <c r="B19" s="72" t="s">
        <v>114</v>
      </c>
      <c r="C19" s="8"/>
      <c r="D19" s="28" t="s">
        <v>24</v>
      </c>
      <c r="E19" s="8"/>
      <c r="F19" s="8"/>
      <c r="G19" s="8"/>
      <c r="H19" s="78">
        <v>0.02</v>
      </c>
      <c r="I19" s="78">
        <v>0.02</v>
      </c>
      <c r="J19" s="78">
        <v>0.02</v>
      </c>
      <c r="K19" s="78">
        <v>0.02</v>
      </c>
      <c r="L19" s="78">
        <v>0.02</v>
      </c>
      <c r="M19" s="78">
        <v>0.02</v>
      </c>
      <c r="N19" s="78">
        <v>0.02</v>
      </c>
      <c r="O19" s="78">
        <v>0.02</v>
      </c>
      <c r="P19" s="78">
        <v>0.02</v>
      </c>
      <c r="Q19" s="78">
        <v>0.02</v>
      </c>
      <c r="R19" s="79">
        <v>0.02</v>
      </c>
    </row>
    <row r="20" spans="2:18" ht="14.5" x14ac:dyDescent="0.35">
      <c r="B20" s="72" t="s">
        <v>115</v>
      </c>
      <c r="C20" s="8"/>
      <c r="D20" s="28" t="s">
        <v>24</v>
      </c>
      <c r="E20" s="8"/>
      <c r="F20" s="8"/>
      <c r="G20" s="8"/>
      <c r="H20" s="78">
        <v>0.02</v>
      </c>
      <c r="I20" s="78">
        <v>0.02</v>
      </c>
      <c r="J20" s="78">
        <v>0.02</v>
      </c>
      <c r="K20" s="78">
        <v>0.02</v>
      </c>
      <c r="L20" s="78">
        <v>0.02</v>
      </c>
      <c r="M20" s="78">
        <v>0.02</v>
      </c>
      <c r="N20" s="78">
        <v>0.02</v>
      </c>
      <c r="O20" s="78">
        <v>0.02</v>
      </c>
      <c r="P20" s="78">
        <v>0.02</v>
      </c>
      <c r="Q20" s="78">
        <v>0.02</v>
      </c>
      <c r="R20" s="79">
        <v>0.02</v>
      </c>
    </row>
    <row r="21" spans="2:18" x14ac:dyDescent="0.3">
      <c r="B21" s="7"/>
      <c r="C21" s="8"/>
      <c r="D21" s="28"/>
      <c r="E21" s="8"/>
      <c r="F21" s="8"/>
      <c r="G21" s="8"/>
      <c r="H21" s="8"/>
      <c r="I21" s="8"/>
      <c r="J21" s="8"/>
      <c r="K21" s="8"/>
      <c r="L21" s="8"/>
      <c r="M21" s="8"/>
      <c r="N21" s="8"/>
      <c r="O21" s="8"/>
      <c r="P21" s="8"/>
      <c r="Q21" s="8"/>
      <c r="R21" s="13"/>
    </row>
    <row r="22" spans="2:18" ht="14.5" x14ac:dyDescent="0.35">
      <c r="B22" s="69" t="s">
        <v>106</v>
      </c>
      <c r="C22" s="8"/>
      <c r="D22" s="28"/>
      <c r="E22" s="8"/>
      <c r="F22" s="8"/>
      <c r="G22" s="8"/>
      <c r="H22" s="73" t="s">
        <v>117</v>
      </c>
      <c r="I22" s="73"/>
      <c r="J22" s="73"/>
      <c r="K22" s="74" t="s">
        <v>118</v>
      </c>
      <c r="L22" s="74"/>
      <c r="M22" s="74"/>
      <c r="N22" s="74"/>
      <c r="O22" s="74"/>
      <c r="P22" s="70" t="s">
        <v>116</v>
      </c>
      <c r="Q22" s="70"/>
      <c r="R22" s="71"/>
    </row>
    <row r="23" spans="2:18" ht="14.5" x14ac:dyDescent="0.35">
      <c r="B23" s="72" t="s">
        <v>108</v>
      </c>
      <c r="C23" s="8"/>
      <c r="D23" s="28" t="s">
        <v>24</v>
      </c>
      <c r="E23" s="8"/>
      <c r="F23" s="8"/>
      <c r="G23" s="8"/>
      <c r="H23" s="80">
        <v>-0.03</v>
      </c>
      <c r="I23" s="80">
        <v>-0.03</v>
      </c>
      <c r="J23" s="80">
        <v>-0.02</v>
      </c>
      <c r="K23" s="80">
        <v>-0.01</v>
      </c>
      <c r="L23" s="80">
        <v>0</v>
      </c>
      <c r="M23" s="80">
        <v>0.01</v>
      </c>
      <c r="N23" s="80">
        <v>0.02</v>
      </c>
      <c r="O23" s="80">
        <v>0.03</v>
      </c>
      <c r="P23" s="80">
        <v>0.03</v>
      </c>
      <c r="Q23" s="80">
        <v>0.03</v>
      </c>
      <c r="R23" s="81">
        <v>0.03</v>
      </c>
    </row>
    <row r="24" spans="2:18" ht="14.5" x14ac:dyDescent="0.35">
      <c r="B24" s="72" t="s">
        <v>109</v>
      </c>
      <c r="C24" s="8"/>
      <c r="D24" s="28" t="s">
        <v>24</v>
      </c>
      <c r="E24" s="8"/>
      <c r="F24" s="8"/>
      <c r="G24" s="8"/>
      <c r="H24" s="80">
        <v>-7.0000000000000007E-2</v>
      </c>
      <c r="I24" s="80">
        <v>-0.05</v>
      </c>
      <c r="J24" s="80">
        <v>-0.03</v>
      </c>
      <c r="K24" s="80">
        <v>-0.02</v>
      </c>
      <c r="L24" s="80">
        <v>-0.01</v>
      </c>
      <c r="M24" s="80">
        <v>0.05</v>
      </c>
      <c r="N24" s="80">
        <v>0.03</v>
      </c>
      <c r="O24" s="80">
        <v>0.03</v>
      </c>
      <c r="P24" s="80">
        <v>0.03</v>
      </c>
      <c r="Q24" s="80">
        <v>0.03</v>
      </c>
      <c r="R24" s="81">
        <v>0.03</v>
      </c>
    </row>
    <row r="25" spans="2:18" ht="14.5" x14ac:dyDescent="0.35">
      <c r="B25" s="72" t="s">
        <v>110</v>
      </c>
      <c r="C25" s="8"/>
      <c r="D25" s="28" t="s">
        <v>24</v>
      </c>
      <c r="E25" s="8"/>
      <c r="F25" s="8"/>
      <c r="G25" s="8"/>
      <c r="H25" s="80">
        <v>7.0000000000000007E-2</v>
      </c>
      <c r="I25" s="80">
        <v>0.08</v>
      </c>
      <c r="J25" s="80">
        <v>0.09</v>
      </c>
      <c r="K25" s="80">
        <v>0.08</v>
      </c>
      <c r="L25" s="80">
        <v>7.0000000000000007E-2</v>
      </c>
      <c r="M25" s="80">
        <v>0.06</v>
      </c>
      <c r="N25" s="80">
        <v>5.5E-2</v>
      </c>
      <c r="O25" s="80">
        <v>0.05</v>
      </c>
      <c r="P25" s="80">
        <v>0.05</v>
      </c>
      <c r="Q25" s="80">
        <v>0.05</v>
      </c>
      <c r="R25" s="81">
        <v>0.05</v>
      </c>
    </row>
    <row r="26" spans="2:18" ht="14.5" x14ac:dyDescent="0.35">
      <c r="B26" s="72" t="s">
        <v>111</v>
      </c>
      <c r="C26" s="8"/>
      <c r="D26" s="28" t="s">
        <v>24</v>
      </c>
      <c r="E26" s="8"/>
      <c r="F26" s="8"/>
      <c r="G26" s="8"/>
      <c r="H26" s="80">
        <v>-0.02</v>
      </c>
      <c r="I26" s="80">
        <v>-0.01</v>
      </c>
      <c r="J26" s="80">
        <v>-0.01</v>
      </c>
      <c r="K26" s="80">
        <v>0</v>
      </c>
      <c r="L26" s="80">
        <v>0.04</v>
      </c>
      <c r="M26" s="80">
        <v>3.5000000000000003E-2</v>
      </c>
      <c r="N26" s="80">
        <v>3.5000000000000003E-2</v>
      </c>
      <c r="O26" s="80">
        <v>0.03</v>
      </c>
      <c r="P26" s="80">
        <v>0.03</v>
      </c>
      <c r="Q26" s="80">
        <v>0.03</v>
      </c>
      <c r="R26" s="81">
        <v>0.03</v>
      </c>
    </row>
    <row r="27" spans="2:18" ht="14.5" x14ac:dyDescent="0.35">
      <c r="B27" s="72" t="s">
        <v>112</v>
      </c>
      <c r="C27" s="8"/>
      <c r="D27" s="28" t="s">
        <v>24</v>
      </c>
      <c r="E27" s="8"/>
      <c r="F27" s="8"/>
      <c r="G27" s="8"/>
      <c r="H27" s="80">
        <v>-0.03</v>
      </c>
      <c r="I27" s="80">
        <v>-0.02</v>
      </c>
      <c r="J27" s="80">
        <v>-0.02</v>
      </c>
      <c r="K27" s="80">
        <v>-0.01</v>
      </c>
      <c r="L27" s="80">
        <v>0.02</v>
      </c>
      <c r="M27" s="80">
        <v>0.05</v>
      </c>
      <c r="N27" s="80">
        <v>0.04</v>
      </c>
      <c r="O27" s="80">
        <v>0.03</v>
      </c>
      <c r="P27" s="80">
        <v>0.03</v>
      </c>
      <c r="Q27" s="80">
        <v>0.03</v>
      </c>
      <c r="R27" s="81">
        <v>0.03</v>
      </c>
    </row>
    <row r="28" spans="2:18" ht="14.5" x14ac:dyDescent="0.35">
      <c r="B28" s="72" t="s">
        <v>113</v>
      </c>
      <c r="C28" s="8"/>
      <c r="D28" s="28" t="s">
        <v>24</v>
      </c>
      <c r="E28" s="8"/>
      <c r="F28" s="8"/>
      <c r="G28" s="8"/>
      <c r="H28" s="80">
        <v>-0.03</v>
      </c>
      <c r="I28" s="80">
        <v>-0.05</v>
      </c>
      <c r="J28" s="80">
        <v>0.05</v>
      </c>
      <c r="K28" s="80">
        <v>0.04</v>
      </c>
      <c r="L28" s="80">
        <v>0.1</v>
      </c>
      <c r="M28" s="80">
        <v>0.05</v>
      </c>
      <c r="N28" s="80">
        <v>0.05</v>
      </c>
      <c r="O28" s="80">
        <v>-0.05</v>
      </c>
      <c r="P28" s="80">
        <v>-0.05</v>
      </c>
      <c r="Q28" s="80">
        <v>0.02</v>
      </c>
      <c r="R28" s="81">
        <v>0.02</v>
      </c>
    </row>
    <row r="29" spans="2:18" ht="14.5" x14ac:dyDescent="0.35">
      <c r="B29" s="72" t="s">
        <v>114</v>
      </c>
      <c r="C29" s="8"/>
      <c r="D29" s="28" t="s">
        <v>24</v>
      </c>
      <c r="E29" s="8"/>
      <c r="F29" s="8"/>
      <c r="G29" s="8"/>
      <c r="H29" s="80">
        <v>7.0000000000000007E-2</v>
      </c>
      <c r="I29" s="80">
        <v>0.1</v>
      </c>
      <c r="J29" s="80">
        <v>0.1</v>
      </c>
      <c r="K29" s="80">
        <v>-0.05</v>
      </c>
      <c r="L29" s="80">
        <v>-0.05</v>
      </c>
      <c r="M29" s="80">
        <v>-0.05</v>
      </c>
      <c r="N29" s="80">
        <v>-0.05</v>
      </c>
      <c r="O29" s="80">
        <v>-0.05</v>
      </c>
      <c r="P29" s="80">
        <v>-0.05</v>
      </c>
      <c r="Q29" s="80">
        <v>-0.03</v>
      </c>
      <c r="R29" s="81">
        <v>0.02</v>
      </c>
    </row>
    <row r="30" spans="2:18" ht="14.5" x14ac:dyDescent="0.35">
      <c r="B30" s="72" t="s">
        <v>115</v>
      </c>
      <c r="C30" s="8"/>
      <c r="D30" s="28" t="s">
        <v>24</v>
      </c>
      <c r="E30" s="8"/>
      <c r="F30" s="8"/>
      <c r="G30" s="8"/>
      <c r="H30" s="80">
        <v>0.2</v>
      </c>
      <c r="I30" s="80">
        <v>0.15</v>
      </c>
      <c r="J30" s="80">
        <v>0.15</v>
      </c>
      <c r="K30" s="80">
        <v>0.1</v>
      </c>
      <c r="L30" s="80">
        <v>-0.05</v>
      </c>
      <c r="M30" s="80">
        <v>-0.05</v>
      </c>
      <c r="N30" s="80">
        <v>-0.05</v>
      </c>
      <c r="O30" s="80">
        <v>-0.1</v>
      </c>
      <c r="P30" s="80">
        <v>-0.05</v>
      </c>
      <c r="Q30" s="80">
        <v>-0.06</v>
      </c>
      <c r="R30" s="81">
        <v>0.02</v>
      </c>
    </row>
    <row r="31" spans="2:18" x14ac:dyDescent="0.3">
      <c r="B31" s="7"/>
      <c r="C31" s="8"/>
      <c r="D31" s="28"/>
      <c r="E31" s="8"/>
      <c r="F31" s="8"/>
      <c r="G31" s="8"/>
      <c r="H31" s="8"/>
      <c r="I31" s="8"/>
      <c r="J31" s="8"/>
      <c r="K31" s="8"/>
      <c r="L31" s="8"/>
      <c r="M31" s="8"/>
      <c r="N31" s="8"/>
      <c r="O31" s="8"/>
      <c r="P31" s="8"/>
      <c r="Q31" s="8"/>
      <c r="R31" s="13"/>
    </row>
    <row r="32" spans="2:18" ht="14.5" x14ac:dyDescent="0.35">
      <c r="B32" s="69" t="s">
        <v>120</v>
      </c>
      <c r="C32" s="8"/>
      <c r="D32" s="28"/>
      <c r="E32" s="8"/>
      <c r="F32" s="8"/>
      <c r="G32" s="8"/>
      <c r="H32" s="75" t="s">
        <v>119</v>
      </c>
      <c r="I32" s="75"/>
      <c r="J32" s="73" t="s">
        <v>117</v>
      </c>
      <c r="K32" s="73"/>
      <c r="L32" s="73"/>
      <c r="M32" s="74" t="s">
        <v>118</v>
      </c>
      <c r="N32" s="74"/>
      <c r="O32" s="74"/>
      <c r="P32" s="70" t="s">
        <v>116</v>
      </c>
      <c r="Q32" s="70"/>
      <c r="R32" s="71"/>
    </row>
    <row r="33" spans="2:18" ht="14.5" x14ac:dyDescent="0.35">
      <c r="B33" s="72" t="s">
        <v>108</v>
      </c>
      <c r="C33" s="8"/>
      <c r="D33" s="28" t="s">
        <v>24</v>
      </c>
      <c r="E33" s="8"/>
      <c r="F33" s="8"/>
      <c r="G33" s="8"/>
      <c r="H33" s="80">
        <v>0.06</v>
      </c>
      <c r="I33" s="80">
        <v>0.05</v>
      </c>
      <c r="J33" s="80">
        <v>-0.03</v>
      </c>
      <c r="K33" s="80">
        <v>-0.03</v>
      </c>
      <c r="L33" s="80">
        <v>-2.5000000000000001E-2</v>
      </c>
      <c r="M33" s="80">
        <v>-0.02</v>
      </c>
      <c r="N33" s="80">
        <v>-0.01</v>
      </c>
      <c r="O33" s="80">
        <v>0.01</v>
      </c>
      <c r="P33" s="80">
        <v>0.03</v>
      </c>
      <c r="Q33" s="80">
        <v>0.03</v>
      </c>
      <c r="R33" s="81">
        <v>0.03</v>
      </c>
    </row>
    <row r="34" spans="2:18" ht="14.5" x14ac:dyDescent="0.35">
      <c r="B34" s="72" t="s">
        <v>109</v>
      </c>
      <c r="C34" s="8"/>
      <c r="D34" s="28" t="s">
        <v>24</v>
      </c>
      <c r="E34" s="8"/>
      <c r="F34" s="8"/>
      <c r="G34" s="8"/>
      <c r="H34" s="80">
        <v>0.08</v>
      </c>
      <c r="I34" s="80">
        <v>7.0000000000000007E-2</v>
      </c>
      <c r="J34" s="80">
        <v>-0.06</v>
      </c>
      <c r="K34" s="80">
        <v>-0.05</v>
      </c>
      <c r="L34" s="80">
        <v>-0.04</v>
      </c>
      <c r="M34" s="80">
        <v>-0.03</v>
      </c>
      <c r="N34" s="80">
        <v>-1.4999999999999999E-2</v>
      </c>
      <c r="O34" s="80">
        <v>0.05</v>
      </c>
      <c r="P34" s="80">
        <v>0.03</v>
      </c>
      <c r="Q34" s="80">
        <v>0.03</v>
      </c>
      <c r="R34" s="81">
        <v>0.03</v>
      </c>
    </row>
    <row r="35" spans="2:18" ht="14.5" x14ac:dyDescent="0.35">
      <c r="B35" s="72" t="s">
        <v>110</v>
      </c>
      <c r="C35" s="8"/>
      <c r="D35" s="28" t="s">
        <v>24</v>
      </c>
      <c r="E35" s="8"/>
      <c r="F35" s="8"/>
      <c r="G35" s="8"/>
      <c r="H35" s="80">
        <v>4.4999999999999998E-2</v>
      </c>
      <c r="I35" s="80">
        <v>0.04</v>
      </c>
      <c r="J35" s="80">
        <v>7.0000000000000007E-2</v>
      </c>
      <c r="K35" s="80">
        <v>0.08</v>
      </c>
      <c r="L35" s="80">
        <v>0.09</v>
      </c>
      <c r="M35" s="80">
        <v>0.08</v>
      </c>
      <c r="N35" s="80">
        <v>7.0000000000000007E-2</v>
      </c>
      <c r="O35" s="80">
        <v>0.06</v>
      </c>
      <c r="P35" s="80">
        <v>0.05</v>
      </c>
      <c r="Q35" s="80">
        <v>0.05</v>
      </c>
      <c r="R35" s="81">
        <v>0.05</v>
      </c>
    </row>
    <row r="36" spans="2:18" ht="14.5" x14ac:dyDescent="0.35">
      <c r="B36" s="72" t="s">
        <v>111</v>
      </c>
      <c r="C36" s="8"/>
      <c r="D36" s="28" t="s">
        <v>24</v>
      </c>
      <c r="E36" s="8"/>
      <c r="F36" s="8"/>
      <c r="G36" s="8"/>
      <c r="H36" s="80">
        <v>0.04</v>
      </c>
      <c r="I36" s="80">
        <v>3.5000000000000003E-2</v>
      </c>
      <c r="J36" s="80">
        <v>-0.02</v>
      </c>
      <c r="K36" s="80">
        <v>-0.01</v>
      </c>
      <c r="L36" s="80">
        <v>-0.01</v>
      </c>
      <c r="M36" s="80">
        <v>0</v>
      </c>
      <c r="N36" s="80">
        <v>0.04</v>
      </c>
      <c r="O36" s="80">
        <v>3.5000000000000003E-2</v>
      </c>
      <c r="P36" s="80">
        <v>0.03</v>
      </c>
      <c r="Q36" s="80">
        <v>0.03</v>
      </c>
      <c r="R36" s="81">
        <v>0.03</v>
      </c>
    </row>
    <row r="37" spans="2:18" ht="14.5" x14ac:dyDescent="0.35">
      <c r="B37" s="72" t="s">
        <v>112</v>
      </c>
      <c r="C37" s="8"/>
      <c r="D37" s="28" t="s">
        <v>24</v>
      </c>
      <c r="E37" s="8"/>
      <c r="F37" s="8"/>
      <c r="G37" s="8"/>
      <c r="H37" s="80">
        <v>0.03</v>
      </c>
      <c r="I37" s="80">
        <v>0.03</v>
      </c>
      <c r="J37" s="80">
        <v>-0.03</v>
      </c>
      <c r="K37" s="80">
        <v>-0.02</v>
      </c>
      <c r="L37" s="80">
        <v>-0.02</v>
      </c>
      <c r="M37" s="80">
        <v>-0.01</v>
      </c>
      <c r="N37" s="80">
        <v>0.02</v>
      </c>
      <c r="O37" s="80">
        <v>0.05</v>
      </c>
      <c r="P37" s="80">
        <v>0.03</v>
      </c>
      <c r="Q37" s="80">
        <v>0.03</v>
      </c>
      <c r="R37" s="81">
        <v>0.03</v>
      </c>
    </row>
    <row r="38" spans="2:18" ht="14.5" x14ac:dyDescent="0.35">
      <c r="B38" s="72" t="s">
        <v>113</v>
      </c>
      <c r="C38" s="8"/>
      <c r="D38" s="28" t="s">
        <v>24</v>
      </c>
      <c r="E38" s="8"/>
      <c r="F38" s="8"/>
      <c r="G38" s="8"/>
      <c r="H38" s="80">
        <v>0.02</v>
      </c>
      <c r="I38" s="80">
        <v>0.02</v>
      </c>
      <c r="J38" s="80">
        <v>-0.03</v>
      </c>
      <c r="K38" s="80">
        <v>-0.05</v>
      </c>
      <c r="L38" s="80">
        <v>0.05</v>
      </c>
      <c r="M38" s="80">
        <v>0.04</v>
      </c>
      <c r="N38" s="80">
        <v>0.1</v>
      </c>
      <c r="O38" s="80">
        <v>0.05</v>
      </c>
      <c r="P38" s="80">
        <v>-0.05</v>
      </c>
      <c r="Q38" s="80">
        <v>0.02</v>
      </c>
      <c r="R38" s="81">
        <v>0.02</v>
      </c>
    </row>
    <row r="39" spans="2:18" ht="14.5" x14ac:dyDescent="0.35">
      <c r="B39" s="72" t="s">
        <v>114</v>
      </c>
      <c r="C39" s="8"/>
      <c r="D39" s="28" t="s">
        <v>24</v>
      </c>
      <c r="E39" s="8"/>
      <c r="F39" s="8"/>
      <c r="G39" s="8"/>
      <c r="H39" s="80">
        <v>0.02</v>
      </c>
      <c r="I39" s="80">
        <v>0.02</v>
      </c>
      <c r="J39" s="80">
        <v>7.0000000000000007E-2</v>
      </c>
      <c r="K39" s="80">
        <v>0.1</v>
      </c>
      <c r="L39" s="80">
        <v>0.1</v>
      </c>
      <c r="M39" s="80">
        <v>-0.05</v>
      </c>
      <c r="N39" s="80">
        <v>-0.05</v>
      </c>
      <c r="O39" s="80">
        <v>-0.05</v>
      </c>
      <c r="P39" s="80">
        <v>-0.05</v>
      </c>
      <c r="Q39" s="80">
        <v>-0.03</v>
      </c>
      <c r="R39" s="81">
        <v>0.02</v>
      </c>
    </row>
    <row r="40" spans="2:18" ht="15" thickBot="1" x14ac:dyDescent="0.4">
      <c r="B40" s="76" t="s">
        <v>115</v>
      </c>
      <c r="C40" s="33"/>
      <c r="D40" s="65" t="s">
        <v>24</v>
      </c>
      <c r="E40" s="33"/>
      <c r="F40" s="33"/>
      <c r="G40" s="33"/>
      <c r="H40" s="82">
        <v>0.02</v>
      </c>
      <c r="I40" s="82">
        <v>0.02</v>
      </c>
      <c r="J40" s="82">
        <v>0.2</v>
      </c>
      <c r="K40" s="82">
        <v>0.15</v>
      </c>
      <c r="L40" s="82">
        <v>0.1</v>
      </c>
      <c r="M40" s="82">
        <v>0.1</v>
      </c>
      <c r="N40" s="82">
        <v>-0.05</v>
      </c>
      <c r="O40" s="82">
        <v>-0.05</v>
      </c>
      <c r="P40" s="82">
        <v>-0.1</v>
      </c>
      <c r="Q40" s="82">
        <v>-0.06</v>
      </c>
      <c r="R40" s="83">
        <v>0.02</v>
      </c>
    </row>
    <row r="41" spans="2:18" ht="14.5" thickBot="1" x14ac:dyDescent="0.35"/>
    <row r="42" spans="2:18" x14ac:dyDescent="0.3">
      <c r="B42" s="22" t="s">
        <v>121</v>
      </c>
      <c r="C42" s="31"/>
      <c r="D42" s="66"/>
      <c r="E42" s="31"/>
      <c r="F42" s="31"/>
      <c r="G42" s="31"/>
      <c r="H42" s="31"/>
      <c r="I42" s="31"/>
      <c r="J42" s="31"/>
      <c r="K42" s="31"/>
      <c r="L42" s="31"/>
      <c r="M42" s="31"/>
      <c r="N42" s="31"/>
      <c r="O42" s="31"/>
      <c r="P42" s="31"/>
      <c r="Q42" s="31"/>
      <c r="R42" s="67"/>
    </row>
    <row r="43" spans="2:18" x14ac:dyDescent="0.3">
      <c r="B43" s="7" t="s">
        <v>122</v>
      </c>
      <c r="C43" s="43">
        <f>+Assumptions!C32</f>
        <v>3.16</v>
      </c>
      <c r="D43" s="28" t="s">
        <v>123</v>
      </c>
      <c r="E43" s="90">
        <f ca="1">+SUM(G43:R43)</f>
        <v>81724082.449667424</v>
      </c>
      <c r="F43" s="8"/>
      <c r="G43" s="90">
        <f>+C43*12*Assumptions!C27</f>
        <v>7061272.8000000007</v>
      </c>
      <c r="H43" s="90">
        <f ca="1">+G43*(1 + OFFSET(H13,(ROWS(H13:H22))*(Assumptions!$K$3-1),0))</f>
        <v>6849434.6160000004</v>
      </c>
      <c r="I43" s="90">
        <f ca="1">+H43*(1 + OFFSET(I13,(ROWS(I13:I22))*(Assumptions!$K$3-1),0))</f>
        <v>6643951.5775199998</v>
      </c>
      <c r="J43" s="90">
        <f ca="1">+I43*(1 + OFFSET(J13,(ROWS(J13:J22))*(Assumptions!$K$3-1),0))</f>
        <v>6511072.5459695999</v>
      </c>
      <c r="K43" s="90">
        <f ca="1">+J43*(1 + OFFSET(K13,(ROWS(K13:K22))*(Assumptions!$K$3-1),0))</f>
        <v>6445961.8205099041</v>
      </c>
      <c r="L43" s="90">
        <f ca="1">+K43*(1 + OFFSET(L13,(ROWS(L13:L22))*(Assumptions!$K$3-1),0))</f>
        <v>6445961.8205099041</v>
      </c>
      <c r="M43" s="90">
        <f ca="1">+L43*(1 + OFFSET(M13,(ROWS(M13:M22))*(Assumptions!$K$3-1),0))</f>
        <v>6510421.4387150034</v>
      </c>
      <c r="N43" s="90">
        <f ca="1">+M43*(1 + OFFSET(N13,(ROWS(N13:N22))*(Assumptions!$K$3-1),0))</f>
        <v>6640629.8674893035</v>
      </c>
      <c r="O43" s="90">
        <f ca="1">+N43*(1 + OFFSET(O13,(ROWS(O13:O22))*(Assumptions!$K$3-1),0))</f>
        <v>6839848.7635139823</v>
      </c>
      <c r="P43" s="90">
        <f ca="1">+O43*(1 + OFFSET(P13,(ROWS(P13:P22))*(Assumptions!$K$3-1),0))</f>
        <v>7045044.2264194023</v>
      </c>
      <c r="Q43" s="90">
        <f ca="1">+P43*(1 + OFFSET(Q13,(ROWS(Q13:Q22))*(Assumptions!$K$3-1),0))</f>
        <v>7256395.5532119842</v>
      </c>
      <c r="R43" s="90">
        <f ca="1">+Q43*(1 + OFFSET(R13,(ROWS(R13:R22))*(Assumptions!$K$3-1),0))</f>
        <v>7474087.419808344</v>
      </c>
    </row>
    <row r="44" spans="2:18" x14ac:dyDescent="0.3">
      <c r="B44" s="7" t="s">
        <v>34</v>
      </c>
      <c r="C44" s="43">
        <f>+Assumptions!C33</f>
        <v>150</v>
      </c>
      <c r="D44" s="28" t="s">
        <v>35</v>
      </c>
      <c r="E44" s="90">
        <f t="shared" ref="E44:E45" ca="1" si="4">+SUM(G44:R44)</f>
        <v>4628532.4708999433</v>
      </c>
      <c r="F44" s="8"/>
      <c r="G44" s="90">
        <f>+C44*Assumptions!C13*12</f>
        <v>421200</v>
      </c>
      <c r="H44" s="90">
        <f ca="1">+G44*(1 + OFFSET(H14,(ROWS(H13:H22))*(Assumptions!$K$3-1),0))</f>
        <v>391716</v>
      </c>
      <c r="I44" s="90">
        <f ca="1">+H44*(1 + OFFSET(I14,(ROWS(I13:I22))*(Assumptions!$K$3-1),0))</f>
        <v>372130.2</v>
      </c>
      <c r="J44" s="90">
        <f ca="1">+I44*(1 + OFFSET(J14,(ROWS(J13:J22))*(Assumptions!$K$3-1),0))</f>
        <v>360966.29399999999</v>
      </c>
      <c r="K44" s="90">
        <f ca="1">+J44*(1 + OFFSET(K14,(ROWS(K13:K22))*(Assumptions!$K$3-1),0))</f>
        <v>353746.96811999998</v>
      </c>
      <c r="L44" s="90">
        <f ca="1">+K44*(1 + OFFSET(L14,(ROWS(L13:L22))*(Assumptions!$K$3-1),0))</f>
        <v>350209.49843879999</v>
      </c>
      <c r="M44" s="90">
        <f ca="1">+L44*(1 + OFFSET(M14,(ROWS(M13:M22))*(Assumptions!$K$3-1),0))</f>
        <v>367719.97336074</v>
      </c>
      <c r="N44" s="90">
        <f ca="1">+M44*(1 + OFFSET(N14,(ROWS(N13:N22))*(Assumptions!$K$3-1),0))</f>
        <v>378751.57256156224</v>
      </c>
      <c r="O44" s="90">
        <f ca="1">+N44*(1 + OFFSET(O14,(ROWS(O13:O22))*(Assumptions!$K$3-1),0))</f>
        <v>390114.11973840912</v>
      </c>
      <c r="P44" s="90">
        <f ca="1">+O44*(1 + OFFSET(P14,(ROWS(P13:P22))*(Assumptions!$K$3-1),0))</f>
        <v>401817.54333056143</v>
      </c>
      <c r="Q44" s="90">
        <f ca="1">+P44*(1 + OFFSET(Q14,(ROWS(Q13:Q22))*(Assumptions!$K$3-1),0))</f>
        <v>413872.06963047828</v>
      </c>
      <c r="R44" s="90">
        <f ca="1">+Q44*(1 + OFFSET(R14,(ROWS(R13:R22))*(Assumptions!$K$3-1),0))</f>
        <v>426288.23171939264</v>
      </c>
    </row>
    <row r="45" spans="2:18" x14ac:dyDescent="0.3">
      <c r="B45" s="7" t="s">
        <v>125</v>
      </c>
      <c r="C45" s="92">
        <f>+Assumptions!C38</f>
        <v>0.05</v>
      </c>
      <c r="D45" s="28" t="s">
        <v>24</v>
      </c>
      <c r="E45" s="90">
        <f t="shared" ca="1" si="4"/>
        <v>-5391610.7766316356</v>
      </c>
      <c r="F45" s="8"/>
      <c r="G45" s="90">
        <f>+-1*((G43*$C$45)+(G44*$C$45))</f>
        <v>-374123.64000000007</v>
      </c>
      <c r="H45" s="90">
        <f ca="1">-(H43+H44)*(OFFSET(H15,(ROWS(H13:H22))*(Assumptions!$K$3-1),0))</f>
        <v>-506880.5431200001</v>
      </c>
      <c r="I45" s="90">
        <f ca="1">-(I43+I44)*(OFFSET(I15,(ROWS(I13:I22))*(Assumptions!$K$3-1),0))</f>
        <v>-561286.54220160004</v>
      </c>
      <c r="J45" s="90">
        <f ca="1">-(J43+J44)*(OFFSET(J15,(ROWS(J13:J22))*(Assumptions!$K$3-1),0))</f>
        <v>-618483.49559726391</v>
      </c>
      <c r="K45" s="90">
        <f ca="1">-(K43+K44)*(OFFSET(K15,(ROWS(K13:K22))*(Assumptions!$K$3-1),0))</f>
        <v>-543976.7030903924</v>
      </c>
      <c r="L45" s="90">
        <f ca="1">-(L43+L44)*(OFFSET(L15,(ROWS(L13:L22))*(Assumptions!$K$3-1),0))</f>
        <v>-475731.99232640932</v>
      </c>
      <c r="M45" s="90">
        <f ca="1">-(M43+M44)*(OFFSET(M15,(ROWS(M13:M22))*(Assumptions!$K$3-1),0))</f>
        <v>-412688.48472454457</v>
      </c>
      <c r="N45" s="90">
        <f ca="1">-(N43+N44)*(OFFSET(N15,(ROWS(N13:N22))*(Assumptions!$K$3-1),0))</f>
        <v>-386065.97920279758</v>
      </c>
      <c r="O45" s="90">
        <f ca="1">-(O43+O44)*(OFFSET(O15,(ROWS(O13:O22))*(Assumptions!$K$3-1),0))</f>
        <v>-361498.1441626196</v>
      </c>
      <c r="P45" s="90">
        <f ca="1">-(P43+P44)*(OFFSET(P15,(ROWS(P13:P22))*(Assumptions!$K$3-1),0))</f>
        <v>-372343.08848749823</v>
      </c>
      <c r="Q45" s="90">
        <f ca="1">-(Q43+Q44)*(OFFSET(Q15,(ROWS(Q13:Q22))*(Assumptions!$K$3-1),0))</f>
        <v>-383513.38114212314</v>
      </c>
      <c r="R45" s="90">
        <f ca="1">-(R43+R44)*(OFFSET(R15,(ROWS(R13:R22))*(Assumptions!$K$3-1),0))</f>
        <v>-395018.78257638682</v>
      </c>
    </row>
    <row r="46" spans="2:18" x14ac:dyDescent="0.3">
      <c r="B46" s="18" t="s">
        <v>126</v>
      </c>
      <c r="C46" s="8"/>
      <c r="D46" s="28"/>
      <c r="E46" s="85">
        <f ca="1">+SUM(G46:R46)</f>
        <v>80961004.14393574</v>
      </c>
      <c r="F46" s="27"/>
      <c r="G46" s="85">
        <f>+G43+G44+G45</f>
        <v>7108349.1600000011</v>
      </c>
      <c r="H46" s="85">
        <f t="shared" ref="H46:R46" ca="1" si="5">+H43+H44+H45</f>
        <v>6734270.0728799999</v>
      </c>
      <c r="I46" s="85">
        <f t="shared" ca="1" si="5"/>
        <v>6454795.2353184</v>
      </c>
      <c r="J46" s="85">
        <f t="shared" ca="1" si="5"/>
        <v>6253555.3443723358</v>
      </c>
      <c r="K46" s="85">
        <f t="shared" ca="1" si="5"/>
        <v>6255732.0855395123</v>
      </c>
      <c r="L46" s="85">
        <f t="shared" ca="1" si="5"/>
        <v>6320439.3266222943</v>
      </c>
      <c r="M46" s="85">
        <f t="shared" ca="1" si="5"/>
        <v>6465452.9273511982</v>
      </c>
      <c r="N46" s="85">
        <f t="shared" ca="1" si="5"/>
        <v>6633315.4608480679</v>
      </c>
      <c r="O46" s="85">
        <f t="shared" ca="1" si="5"/>
        <v>6868464.7390897721</v>
      </c>
      <c r="P46" s="85">
        <f t="shared" ca="1" si="5"/>
        <v>7074518.6812624652</v>
      </c>
      <c r="Q46" s="85">
        <f t="shared" ca="1" si="5"/>
        <v>7286754.2417003401</v>
      </c>
      <c r="R46" s="93">
        <f t="shared" ca="1" si="5"/>
        <v>7505356.8689513495</v>
      </c>
    </row>
    <row r="47" spans="2:18" x14ac:dyDescent="0.3">
      <c r="B47" s="7"/>
      <c r="C47" s="8"/>
      <c r="D47" s="28"/>
      <c r="E47" s="8"/>
      <c r="F47" s="8"/>
      <c r="G47" s="8"/>
      <c r="H47" s="8"/>
      <c r="I47" s="8"/>
      <c r="J47" s="8"/>
      <c r="K47" s="8"/>
      <c r="L47" s="8"/>
      <c r="M47" s="8"/>
      <c r="N47" s="8"/>
      <c r="O47" s="8"/>
      <c r="P47" s="8"/>
      <c r="Q47" s="8"/>
      <c r="R47" s="13"/>
    </row>
    <row r="48" spans="2:18" x14ac:dyDescent="0.3">
      <c r="B48" s="7" t="s">
        <v>38</v>
      </c>
      <c r="C48" s="43">
        <f>+Assumptions!C36</f>
        <v>3300</v>
      </c>
      <c r="D48" s="28" t="s">
        <v>39</v>
      </c>
      <c r="E48" s="90">
        <f ca="1">+SUM(G48:R48)</f>
        <v>-9718228.8025322892</v>
      </c>
      <c r="F48" s="8"/>
      <c r="G48" s="90">
        <f>+-C48*Assumptions!C13</f>
        <v>-772200</v>
      </c>
      <c r="H48" s="90">
        <f ca="1">+G48*(1+OFFSET(H16,ROWS(H13:H22)*(Assumptions!$K$3-1),0))</f>
        <v>-756756</v>
      </c>
      <c r="I48" s="90">
        <f ca="1">+H48*(1+OFFSET(I16,ROWS(I13:I22)*(Assumptions!$K$3-1),0))</f>
        <v>-749188.44</v>
      </c>
      <c r="J48" s="90">
        <f ca="1">+I48*(1+OFFSET(J16,ROWS(J13:J22)*(Assumptions!$K$3-1),0))</f>
        <v>-741696.55559999996</v>
      </c>
      <c r="K48" s="90">
        <f ca="1">+J48*(1+OFFSET(K16,ROWS(K13:K22)*(Assumptions!$K$3-1),0))</f>
        <v>-741696.55559999996</v>
      </c>
      <c r="L48" s="90">
        <f ca="1">+K48*(1+OFFSET(L16,ROWS(L13:L22)*(Assumptions!$K$3-1),0))</f>
        <v>-771364.417824</v>
      </c>
      <c r="M48" s="90">
        <f ca="1">+L48*(1+OFFSET(M16,ROWS(M13:M22)*(Assumptions!$K$3-1),0))</f>
        <v>-798362.17244783998</v>
      </c>
      <c r="N48" s="90">
        <f ca="1">+M48*(1+OFFSET(N16,ROWS(N13:N22)*(Assumptions!$K$3-1),0))</f>
        <v>-826304.84848351427</v>
      </c>
      <c r="O48" s="90">
        <f ca="1">+N48*(1+OFFSET(O16,ROWS(O13:O22)*(Assumptions!$K$3-1),0))</f>
        <v>-851093.99393801973</v>
      </c>
      <c r="P48" s="90">
        <f ca="1">+O48*(1+OFFSET(P16,ROWS(P13:P22)*(Assumptions!$K$3-1),0))</f>
        <v>-876626.81375616032</v>
      </c>
      <c r="Q48" s="90">
        <f ca="1">+P48*(1+OFFSET(Q16,ROWS(Q13:Q22)*(Assumptions!$K$3-1),0))</f>
        <v>-902925.61816884519</v>
      </c>
      <c r="R48" s="91">
        <f ca="1">+Q48*(1+OFFSET(R16,ROWS(R13:R22)*(Assumptions!$K$3-1),0))</f>
        <v>-930013.38671391062</v>
      </c>
    </row>
    <row r="49" spans="2:18" x14ac:dyDescent="0.3">
      <c r="B49" s="7" t="s">
        <v>127</v>
      </c>
      <c r="C49" s="43">
        <f>+Assumptions!C39</f>
        <v>0.3</v>
      </c>
      <c r="D49" s="28" t="s">
        <v>57</v>
      </c>
      <c r="E49" s="90">
        <f>+SUM(G49:R49)</f>
        <v>-9513967.6252873465</v>
      </c>
      <c r="F49" s="8"/>
      <c r="G49" s="90">
        <f>-C49*Assumptions!C27*12</f>
        <v>-670374</v>
      </c>
      <c r="H49" s="90">
        <f>+G49*(1+Assumptions!$C$40)</f>
        <v>-690485.22</v>
      </c>
      <c r="I49" s="90">
        <f>+H49*(1+Assumptions!$C$40)</f>
        <v>-711199.77659999998</v>
      </c>
      <c r="J49" s="90">
        <f>+I49*(1+Assumptions!$C$40)</f>
        <v>-732535.76989800006</v>
      </c>
      <c r="K49" s="90">
        <f>+J49*(1+Assumptions!$C$40)</f>
        <v>-754511.84299494012</v>
      </c>
      <c r="L49" s="90">
        <f>+K49*(1+Assumptions!$C$40)</f>
        <v>-777147.19828478829</v>
      </c>
      <c r="M49" s="90">
        <f>+L49*(1+Assumptions!$C$40)</f>
        <v>-800461.61423333199</v>
      </c>
      <c r="N49" s="90">
        <f>+M49*(1+Assumptions!$C$40)</f>
        <v>-824475.46266033198</v>
      </c>
      <c r="O49" s="90">
        <f>+N49*(1+Assumptions!$C$40)</f>
        <v>-849209.72654014197</v>
      </c>
      <c r="P49" s="90">
        <f>+O49*(1+Assumptions!$C$40)</f>
        <v>-874686.01833634626</v>
      </c>
      <c r="Q49" s="90">
        <f>+P49*(1+Assumptions!$C$40)</f>
        <v>-900926.59888643667</v>
      </c>
      <c r="R49" s="90">
        <f>+Q49*(1+Assumptions!$C$40)</f>
        <v>-927954.39685302984</v>
      </c>
    </row>
    <row r="50" spans="2:18" x14ac:dyDescent="0.3">
      <c r="B50" s="7" t="s">
        <v>43</v>
      </c>
      <c r="C50" s="43">
        <f>+Assumptions!C41</f>
        <v>1500</v>
      </c>
      <c r="D50" s="28" t="s">
        <v>39</v>
      </c>
      <c r="E50" s="90">
        <f ca="1">+SUM(G50:R50)</f>
        <v>-4267041.3531495556</v>
      </c>
      <c r="F50" s="8"/>
      <c r="G50" s="90">
        <f>-C50*Assumptions!C13</f>
        <v>-351000</v>
      </c>
      <c r="H50" s="90">
        <f ca="1">+G50*(1+OFFSET(H17,ROWS(H13:H22)*(Assumptions!$K$3-1),0))</f>
        <v>-340470</v>
      </c>
      <c r="I50" s="90">
        <f ca="1">+H50*(1+OFFSET(I17,ROWS(I13:I22)*(Assumptions!$K$3-1),0))</f>
        <v>-333660.59999999998</v>
      </c>
      <c r="J50" s="90">
        <f ca="1">+I50*(1+OFFSET(J17,ROWS(J13:J22)*(Assumptions!$K$3-1),0))</f>
        <v>-326987.38799999998</v>
      </c>
      <c r="K50" s="90">
        <f ca="1">+J50*(1+OFFSET(K17,ROWS(K13:K22)*(Assumptions!$K$3-1),0))</f>
        <v>-323717.51411999995</v>
      </c>
      <c r="L50" s="90">
        <f ca="1">+K50*(1+OFFSET(L17,ROWS(L13:L22)*(Assumptions!$K$3-1),0))</f>
        <v>-330191.86440239998</v>
      </c>
      <c r="M50" s="90">
        <f ca="1">+L50*(1+OFFSET(M17,ROWS(M13:M22)*(Assumptions!$K$3-1),0))</f>
        <v>-346701.45762251999</v>
      </c>
      <c r="N50" s="90">
        <f ca="1">+M50*(1+OFFSET(N17,ROWS(N13:N22)*(Assumptions!$K$3-1),0))</f>
        <v>-360569.51592742081</v>
      </c>
      <c r="O50" s="90">
        <f ca="1">+N50*(1+OFFSET(O17,ROWS(O13:O22)*(Assumptions!$K$3-1),0))</f>
        <v>-371386.60140524345</v>
      </c>
      <c r="P50" s="90">
        <f ca="1">+O50*(1+OFFSET(P17,ROWS(P13:P22)*(Assumptions!$K$3-1),0))</f>
        <v>-382528.19944740075</v>
      </c>
      <c r="Q50" s="90">
        <f ca="1">+P50*(1+OFFSET(Q17,ROWS(Q13:Q22)*(Assumptions!$K$3-1),0))</f>
        <v>-394004.04543082276</v>
      </c>
      <c r="R50" s="90">
        <f ca="1">+Q50*(1+OFFSET(R17,ROWS(R13:R22)*(Assumptions!$K$3-1),0))</f>
        <v>-405824.16679374746</v>
      </c>
    </row>
    <row r="51" spans="2:18" x14ac:dyDescent="0.3">
      <c r="B51" s="18" t="s">
        <v>128</v>
      </c>
      <c r="C51" s="8"/>
      <c r="D51" s="28"/>
      <c r="E51" s="85">
        <f ca="1">+SUM(G51:R51)</f>
        <v>-23499237.780969191</v>
      </c>
      <c r="F51" s="27"/>
      <c r="G51" s="85">
        <f>+G48+G49+G50</f>
        <v>-1793574</v>
      </c>
      <c r="H51" s="85">
        <f t="shared" ref="H51:R51" ca="1" si="6">+H48+H49+H50</f>
        <v>-1787711.22</v>
      </c>
      <c r="I51" s="85">
        <f t="shared" ca="1" si="6"/>
        <v>-1794048.8166</v>
      </c>
      <c r="J51" s="85">
        <f t="shared" ca="1" si="6"/>
        <v>-1801219.7134980001</v>
      </c>
      <c r="K51" s="85">
        <f t="shared" ca="1" si="6"/>
        <v>-1819925.91271494</v>
      </c>
      <c r="L51" s="85">
        <f t="shared" ca="1" si="6"/>
        <v>-1878703.480511188</v>
      </c>
      <c r="M51" s="85">
        <f t="shared" ca="1" si="6"/>
        <v>-1945525.2443036919</v>
      </c>
      <c r="N51" s="85">
        <f t="shared" ca="1" si="6"/>
        <v>-2011349.8270712672</v>
      </c>
      <c r="O51" s="85">
        <f t="shared" ca="1" si="6"/>
        <v>-2071690.3218834051</v>
      </c>
      <c r="P51" s="85">
        <f t="shared" ca="1" si="6"/>
        <v>-2133841.0315399072</v>
      </c>
      <c r="Q51" s="85">
        <f t="shared" ca="1" si="6"/>
        <v>-2197856.2624861049</v>
      </c>
      <c r="R51" s="93">
        <f t="shared" ca="1" si="6"/>
        <v>-2263791.9503606879</v>
      </c>
    </row>
    <row r="52" spans="2:18" x14ac:dyDescent="0.3">
      <c r="B52" s="7"/>
      <c r="C52" s="8"/>
      <c r="D52" s="28"/>
      <c r="E52" s="8"/>
      <c r="F52" s="8"/>
      <c r="G52" s="8"/>
      <c r="H52" s="8"/>
      <c r="I52" s="8"/>
      <c r="J52" s="8"/>
      <c r="K52" s="8"/>
      <c r="L52" s="8"/>
      <c r="M52" s="8"/>
      <c r="N52" s="8"/>
      <c r="O52" s="8"/>
      <c r="P52" s="8"/>
      <c r="Q52" s="8"/>
      <c r="R52" s="13"/>
    </row>
    <row r="53" spans="2:18" x14ac:dyDescent="0.3">
      <c r="B53" s="18" t="s">
        <v>129</v>
      </c>
      <c r="C53" s="8"/>
      <c r="D53" s="28"/>
      <c r="E53" s="87">
        <f ca="1">+SUM(G53:R53)</f>
        <v>57461766.362966552</v>
      </c>
      <c r="F53" s="8"/>
      <c r="G53" s="87">
        <f>+G46+G51</f>
        <v>5314775.1600000011</v>
      </c>
      <c r="H53" s="87">
        <f t="shared" ref="H53:R53" ca="1" si="7">+H46+H51</f>
        <v>4946558.8528800001</v>
      </c>
      <c r="I53" s="87">
        <f t="shared" ca="1" si="7"/>
        <v>4660746.4187183995</v>
      </c>
      <c r="J53" s="87">
        <f t="shared" ca="1" si="7"/>
        <v>4452335.6308743358</v>
      </c>
      <c r="K53" s="87">
        <f t="shared" ca="1" si="7"/>
        <v>4435806.1728245728</v>
      </c>
      <c r="L53" s="87">
        <f t="shared" ca="1" si="7"/>
        <v>4441735.8461111058</v>
      </c>
      <c r="M53" s="87">
        <f t="shared" ca="1" si="7"/>
        <v>4519927.683047506</v>
      </c>
      <c r="N53" s="87">
        <f t="shared" ca="1" si="7"/>
        <v>4621965.6337768007</v>
      </c>
      <c r="O53" s="87">
        <f t="shared" ca="1" si="7"/>
        <v>4796774.4172063675</v>
      </c>
      <c r="P53" s="87">
        <f t="shared" ca="1" si="7"/>
        <v>4940677.6497225575</v>
      </c>
      <c r="Q53" s="87">
        <f t="shared" ca="1" si="7"/>
        <v>5088897.9792142352</v>
      </c>
      <c r="R53" s="94">
        <f t="shared" ca="1" si="7"/>
        <v>5241564.9185906611</v>
      </c>
    </row>
    <row r="54" spans="2:18" x14ac:dyDescent="0.3">
      <c r="B54" s="18"/>
      <c r="C54" s="8"/>
      <c r="D54" s="28"/>
      <c r="E54" s="87"/>
      <c r="F54" s="8"/>
      <c r="G54" s="87"/>
      <c r="H54" s="87"/>
      <c r="I54" s="87"/>
      <c r="J54" s="87"/>
      <c r="K54" s="87"/>
      <c r="L54" s="87"/>
      <c r="M54" s="87"/>
      <c r="N54" s="87"/>
      <c r="O54" s="87"/>
      <c r="P54" s="87"/>
      <c r="Q54" s="87"/>
      <c r="R54" s="94"/>
    </row>
    <row r="55" spans="2:18" ht="14.5" x14ac:dyDescent="0.35">
      <c r="B55" s="95" t="s">
        <v>154</v>
      </c>
      <c r="C55" s="8"/>
      <c r="D55" s="28"/>
      <c r="E55" s="8"/>
      <c r="F55" s="8"/>
      <c r="G55" s="118">
        <f>+G53/-SUM($G$62:G65)</f>
        <v>4.3851280198019808E-2</v>
      </c>
      <c r="H55" s="118">
        <f ca="1">+H53/-SUM($G$62:H65)</f>
        <v>4.0813191855445546E-2</v>
      </c>
      <c r="I55" s="118">
        <f ca="1">+I53/-SUM($G$62:I65)</f>
        <v>3.845500345477227E-2</v>
      </c>
      <c r="J55" s="118">
        <f ca="1">+J53/-SUM($G$62:J65)</f>
        <v>3.6735442498963169E-2</v>
      </c>
      <c r="K55" s="118">
        <f ca="1">+K53/-SUM($G$62:K65)</f>
        <v>3.6599060831885917E-2</v>
      </c>
      <c r="L55" s="118">
        <f ca="1">+L53/-SUM($G$62:L65)</f>
        <v>3.6647985528969522E-2</v>
      </c>
      <c r="M55" s="118">
        <f ca="1">+M53/-SUM($G$62:M65)</f>
        <v>3.7293132698411766E-2</v>
      </c>
      <c r="N55" s="118">
        <f ca="1">+N53/-SUM($G$62:N65)</f>
        <v>3.8135029981656771E-2</v>
      </c>
      <c r="O55" s="118">
        <f ca="1">+O53/-SUM($G$62:O65)</f>
        <v>3.9577346676620197E-2</v>
      </c>
      <c r="P55" s="118">
        <f ca="1">+P53/-SUM($G$62:P65)</f>
        <v>4.0764667076918788E-2</v>
      </c>
      <c r="Q55" s="118">
        <f ca="1">+Q53/-SUM($G$62:Q65)</f>
        <v>4.1987607089226366E-2</v>
      </c>
      <c r="R55" s="118">
        <f ca="1">+R53/-SUM($G$62:R65)</f>
        <v>4.3247235301903143E-2</v>
      </c>
    </row>
    <row r="56" spans="2:18" ht="14.5" x14ac:dyDescent="0.35">
      <c r="B56" s="95" t="s">
        <v>130</v>
      </c>
      <c r="C56" s="8"/>
      <c r="D56" s="28"/>
      <c r="E56" s="8"/>
      <c r="F56" s="8"/>
      <c r="G56" s="96">
        <f>+G53/G46</f>
        <v>0.74768065557432473</v>
      </c>
      <c r="H56" s="96">
        <f t="shared" ref="H56:R56" ca="1" si="8">+H53/H46</f>
        <v>0.73453526504685296</v>
      </c>
      <c r="I56" s="96">
        <f t="shared" ca="1" si="8"/>
        <v>0.72205953075264295</v>
      </c>
      <c r="J56" s="96">
        <f t="shared" ca="1" si="8"/>
        <v>0.71196869391762185</v>
      </c>
      <c r="K56" s="96">
        <f t="shared" ca="1" si="8"/>
        <v>0.70907866771951378</v>
      </c>
      <c r="L56" s="96">
        <f t="shared" ca="1" si="8"/>
        <v>0.70275745348936269</v>
      </c>
      <c r="M56" s="96">
        <f t="shared" ca="1" si="8"/>
        <v>0.69908910231587662</v>
      </c>
      <c r="N56" s="96">
        <f t="shared" ca="1" si="8"/>
        <v>0.69678061612735109</v>
      </c>
      <c r="O56" s="96">
        <f t="shared" ca="1" si="8"/>
        <v>0.69837650762141779</v>
      </c>
      <c r="P56" s="96">
        <f t="shared" ca="1" si="8"/>
        <v>0.69837650762141767</v>
      </c>
      <c r="Q56" s="96">
        <f t="shared" ca="1" si="8"/>
        <v>0.69837650762141767</v>
      </c>
      <c r="R56" s="97">
        <f t="shared" ca="1" si="8"/>
        <v>0.69837650762141756</v>
      </c>
    </row>
    <row r="57" spans="2:18" x14ac:dyDescent="0.3">
      <c r="B57" s="7"/>
      <c r="C57" s="8"/>
      <c r="D57" s="28"/>
      <c r="E57" s="8"/>
      <c r="F57" s="8"/>
      <c r="G57" s="8"/>
      <c r="H57" s="8"/>
      <c r="I57" s="8"/>
      <c r="J57" s="8"/>
      <c r="K57" s="8"/>
      <c r="L57" s="8"/>
      <c r="M57" s="8"/>
      <c r="N57" s="8"/>
      <c r="O57" s="8"/>
      <c r="P57" s="8"/>
      <c r="Q57" s="8"/>
      <c r="R57" s="13"/>
    </row>
    <row r="58" spans="2:18" x14ac:dyDescent="0.3">
      <c r="B58" s="7" t="s">
        <v>131</v>
      </c>
      <c r="C58" s="92">
        <v>0</v>
      </c>
      <c r="D58" s="28" t="s">
        <v>132</v>
      </c>
      <c r="E58" s="98">
        <f ca="1">+SUM(G58:R58)</f>
        <v>0</v>
      </c>
      <c r="F58" s="98"/>
      <c r="G58" s="98">
        <f>-G53*$C$58</f>
        <v>0</v>
      </c>
      <c r="H58" s="98">
        <f t="shared" ref="F58:R58" ca="1" si="9">-H53*$C$58</f>
        <v>0</v>
      </c>
      <c r="I58" s="98">
        <f t="shared" ca="1" si="9"/>
        <v>0</v>
      </c>
      <c r="J58" s="98">
        <f t="shared" ca="1" si="9"/>
        <v>0</v>
      </c>
      <c r="K58" s="98">
        <f t="shared" ca="1" si="9"/>
        <v>0</v>
      </c>
      <c r="L58" s="98">
        <f t="shared" ca="1" si="9"/>
        <v>0</v>
      </c>
      <c r="M58" s="98">
        <f t="shared" ca="1" si="9"/>
        <v>0</v>
      </c>
      <c r="N58" s="98">
        <f t="shared" ca="1" si="9"/>
        <v>0</v>
      </c>
      <c r="O58" s="98">
        <f t="shared" ca="1" si="9"/>
        <v>0</v>
      </c>
      <c r="P58" s="98">
        <f t="shared" ca="1" si="9"/>
        <v>0</v>
      </c>
      <c r="Q58" s="98">
        <f t="shared" ca="1" si="9"/>
        <v>0</v>
      </c>
      <c r="R58" s="99">
        <f t="shared" ca="1" si="9"/>
        <v>0</v>
      </c>
    </row>
    <row r="59" spans="2:18" ht="14.5" thickBot="1" x14ac:dyDescent="0.35">
      <c r="B59" s="100" t="s">
        <v>133</v>
      </c>
      <c r="C59" s="33"/>
      <c r="D59" s="65"/>
      <c r="E59" s="101">
        <f ca="1">+SUM(G59:R59)</f>
        <v>57461766.362966552</v>
      </c>
      <c r="F59" s="102"/>
      <c r="G59" s="101">
        <f>+G53+G58</f>
        <v>5314775.1600000011</v>
      </c>
      <c r="H59" s="101">
        <f t="shared" ref="H59:R59" ca="1" si="10">+H53+H58</f>
        <v>4946558.8528800001</v>
      </c>
      <c r="I59" s="101">
        <f t="shared" ca="1" si="10"/>
        <v>4660746.4187183995</v>
      </c>
      <c r="J59" s="101">
        <f t="shared" ca="1" si="10"/>
        <v>4452335.6308743358</v>
      </c>
      <c r="K59" s="101">
        <f t="shared" ca="1" si="10"/>
        <v>4435806.1728245728</v>
      </c>
      <c r="L59" s="101">
        <f t="shared" ca="1" si="10"/>
        <v>4441735.8461111058</v>
      </c>
      <c r="M59" s="101">
        <f t="shared" ca="1" si="10"/>
        <v>4519927.683047506</v>
      </c>
      <c r="N59" s="101">
        <f t="shared" ca="1" si="10"/>
        <v>4621965.6337768007</v>
      </c>
      <c r="O59" s="101">
        <f t="shared" ca="1" si="10"/>
        <v>4796774.4172063675</v>
      </c>
      <c r="P59" s="101">
        <f t="shared" ca="1" si="10"/>
        <v>4940677.6497225575</v>
      </c>
      <c r="Q59" s="101">
        <f t="shared" ca="1" si="10"/>
        <v>5088897.9792142352</v>
      </c>
      <c r="R59" s="103">
        <f t="shared" ca="1" si="10"/>
        <v>5241564.9185906611</v>
      </c>
    </row>
    <row r="60" spans="2:18" ht="14.5" thickBot="1" x14ac:dyDescent="0.35"/>
    <row r="61" spans="2:18" x14ac:dyDescent="0.3">
      <c r="B61" s="22" t="s">
        <v>134</v>
      </c>
      <c r="C61" s="31"/>
      <c r="D61" s="66"/>
      <c r="E61" s="31"/>
      <c r="F61" s="31"/>
      <c r="G61" s="31"/>
      <c r="H61" s="31"/>
      <c r="I61" s="31"/>
      <c r="J61" s="31"/>
      <c r="K61" s="31"/>
      <c r="L61" s="31"/>
      <c r="M61" s="31"/>
      <c r="N61" s="31"/>
      <c r="O61" s="31"/>
      <c r="P61" s="31"/>
      <c r="Q61" s="31"/>
      <c r="R61" s="67"/>
    </row>
    <row r="62" spans="2:18" x14ac:dyDescent="0.3">
      <c r="B62" s="7" t="s">
        <v>135</v>
      </c>
      <c r="C62" s="8"/>
      <c r="D62" s="28"/>
      <c r="E62" s="98">
        <f>+SUM(G62:R62)</f>
        <v>-120000000</v>
      </c>
      <c r="F62" s="98"/>
      <c r="G62" s="98">
        <f>+IF(G$5=0,-Assumptions!$G$12,0)</f>
        <v>-120000000</v>
      </c>
      <c r="H62" s="98">
        <f>+IF(H$5=0,-Assumptions!$G$12,0)</f>
        <v>0</v>
      </c>
      <c r="I62" s="98">
        <f>+IF(I$5=0,-Assumptions!$G$12,0)</f>
        <v>0</v>
      </c>
      <c r="J62" s="98">
        <f>+IF(J$5=0,-Assumptions!$G$12,0)</f>
        <v>0</v>
      </c>
      <c r="K62" s="98">
        <f>+IF(K$5=0,-Assumptions!$G$12,0)</f>
        <v>0</v>
      </c>
      <c r="L62" s="98">
        <f>+IF(L$5=0,-Assumptions!$G$12,0)</f>
        <v>0</v>
      </c>
      <c r="M62" s="98">
        <f>+IF(M$5=0,-Assumptions!$G$12,0)</f>
        <v>0</v>
      </c>
      <c r="N62" s="98">
        <f>+IF(N$5=0,-Assumptions!$G$12,0)</f>
        <v>0</v>
      </c>
      <c r="O62" s="98">
        <f>+IF(O$5=0,-Assumptions!$G$12,0)</f>
        <v>0</v>
      </c>
      <c r="P62" s="98">
        <f>+IF(P$5=0,-Assumptions!$G$12,0)</f>
        <v>0</v>
      </c>
      <c r="Q62" s="98">
        <f>+IF(Q$5=0,-Assumptions!$G$12,0)</f>
        <v>0</v>
      </c>
      <c r="R62" s="99">
        <f>+IF(R$5=0,-Assumptions!$G$12,0)</f>
        <v>0</v>
      </c>
    </row>
    <row r="63" spans="2:18" x14ac:dyDescent="0.3">
      <c r="B63" s="7" t="s">
        <v>155</v>
      </c>
      <c r="C63" s="92">
        <f>+Assumptions!G11</f>
        <v>0.01</v>
      </c>
      <c r="D63" s="28" t="s">
        <v>136</v>
      </c>
      <c r="E63" s="98">
        <f>+SUM(G63:R63)</f>
        <v>-1200000</v>
      </c>
      <c r="F63" s="98"/>
      <c r="G63" s="98">
        <f>+IF(G5=0,G62*$C$63,0)</f>
        <v>-1200000</v>
      </c>
      <c r="H63" s="98">
        <f t="shared" ref="H63:R63" si="11">+IF(H5=0,H62*$C$63,0)</f>
        <v>0</v>
      </c>
      <c r="I63" s="98">
        <f t="shared" si="11"/>
        <v>0</v>
      </c>
      <c r="J63" s="98">
        <f t="shared" si="11"/>
        <v>0</v>
      </c>
      <c r="K63" s="98">
        <f t="shared" si="11"/>
        <v>0</v>
      </c>
      <c r="L63" s="98">
        <f t="shared" si="11"/>
        <v>0</v>
      </c>
      <c r="M63" s="98">
        <f t="shared" si="11"/>
        <v>0</v>
      </c>
      <c r="N63" s="98">
        <f t="shared" si="11"/>
        <v>0</v>
      </c>
      <c r="O63" s="98">
        <f t="shared" si="11"/>
        <v>0</v>
      </c>
      <c r="P63" s="98">
        <f t="shared" si="11"/>
        <v>0</v>
      </c>
      <c r="Q63" s="98">
        <f t="shared" si="11"/>
        <v>0</v>
      </c>
      <c r="R63" s="98">
        <f t="shared" si="11"/>
        <v>0</v>
      </c>
    </row>
    <row r="64" spans="2:18" x14ac:dyDescent="0.3">
      <c r="B64" s="7" t="s">
        <v>50</v>
      </c>
      <c r="C64" s="92">
        <f>+Assumptions!G9</f>
        <v>0</v>
      </c>
      <c r="D64" s="28" t="s">
        <v>136</v>
      </c>
      <c r="E64" s="98">
        <f t="shared" ref="E64:E73" si="12">+SUM(G64:R64)</f>
        <v>0</v>
      </c>
      <c r="F64" s="8"/>
      <c r="G64" s="98">
        <f>+IF(G$5=0,-Assumptions!$G$12*C64,0)</f>
        <v>0</v>
      </c>
      <c r="H64" s="98">
        <f>+IF(H$5=0,-Assumptions!$G$12*D64,0)</f>
        <v>0</v>
      </c>
      <c r="I64" s="98">
        <f>+IF(I$5=0,-Assumptions!$G$12*E64,0)</f>
        <v>0</v>
      </c>
      <c r="J64" s="98">
        <f>+IF(J$5=0,-Assumptions!$G$12*F64,0)</f>
        <v>0</v>
      </c>
      <c r="K64" s="98">
        <f>+IF(K$5=0,-Assumptions!$G$12*G64,0)</f>
        <v>0</v>
      </c>
      <c r="L64" s="98">
        <f>+IF(L$5=0,-Assumptions!$G$12*H64,0)</f>
        <v>0</v>
      </c>
      <c r="M64" s="98">
        <f>+IF(M$5=0,-Assumptions!$G$12*I64,0)</f>
        <v>0</v>
      </c>
      <c r="N64" s="98">
        <f>+IF(N$5=0,-Assumptions!$G$12*J64,0)</f>
        <v>0</v>
      </c>
      <c r="O64" s="98">
        <f>+IF(O$5=0,-Assumptions!$G$12*K64,0)</f>
        <v>0</v>
      </c>
      <c r="P64" s="98">
        <f>+IF(P$5=0,-Assumptions!$G$12*L64,0)</f>
        <v>0</v>
      </c>
      <c r="Q64" s="98">
        <f>+IF(Q$5=0,-Assumptions!$G$12*M64,0)</f>
        <v>0</v>
      </c>
      <c r="R64" s="99">
        <f>+IF(R$5=0,-Assumptions!$G$12*N64,0)</f>
        <v>0</v>
      </c>
    </row>
    <row r="65" spans="2:18" x14ac:dyDescent="0.3">
      <c r="B65" s="7" t="s">
        <v>51</v>
      </c>
      <c r="C65" s="98">
        <v>0</v>
      </c>
      <c r="D65" s="28"/>
      <c r="E65" s="98">
        <f t="shared" si="12"/>
        <v>0</v>
      </c>
      <c r="F65" s="8"/>
      <c r="G65" s="98">
        <f>+IF(G$5=0,-C65,0)</f>
        <v>0</v>
      </c>
      <c r="H65" s="98">
        <f t="shared" ref="H65:R65" si="13">+IF(H$5=0,-D65,0)</f>
        <v>0</v>
      </c>
      <c r="I65" s="98">
        <f t="shared" si="13"/>
        <v>0</v>
      </c>
      <c r="J65" s="98">
        <f t="shared" si="13"/>
        <v>0</v>
      </c>
      <c r="K65" s="98">
        <f t="shared" si="13"/>
        <v>0</v>
      </c>
      <c r="L65" s="98">
        <f t="shared" si="13"/>
        <v>0</v>
      </c>
      <c r="M65" s="98">
        <f t="shared" si="13"/>
        <v>0</v>
      </c>
      <c r="N65" s="98">
        <f t="shared" si="13"/>
        <v>0</v>
      </c>
      <c r="O65" s="98">
        <f t="shared" si="13"/>
        <v>0</v>
      </c>
      <c r="P65" s="98">
        <f t="shared" si="13"/>
        <v>0</v>
      </c>
      <c r="Q65" s="98">
        <f t="shared" si="13"/>
        <v>0</v>
      </c>
      <c r="R65" s="99">
        <f t="shared" si="13"/>
        <v>0</v>
      </c>
    </row>
    <row r="66" spans="2:18" x14ac:dyDescent="0.3">
      <c r="B66" s="7" t="s">
        <v>61</v>
      </c>
      <c r="C66" s="98">
        <f>+Assumptions!G16</f>
        <v>2000</v>
      </c>
      <c r="D66" s="28" t="s">
        <v>39</v>
      </c>
      <c r="E66" s="98">
        <f t="shared" ca="1" si="12"/>
        <v>-5493853.3753961809</v>
      </c>
      <c r="F66" s="8"/>
      <c r="G66" s="98">
        <f>+-C66*Assumptions!$C$13</f>
        <v>-468000</v>
      </c>
      <c r="H66" s="98">
        <f ca="1">+G66*(1+OFFSET(H18,ROWS(H13:H22)*(Assumptions!$K$3-1),0))</f>
        <v>-453960</v>
      </c>
      <c r="I66" s="98">
        <f ca="1">+H66*(1+OFFSET(I18,ROWS(I13:I22)*(Assumptions!$K$3-1),0))</f>
        <v>-431262</v>
      </c>
      <c r="J66" s="98">
        <f ca="1">+I66*(1+OFFSET(J18,ROWS(J13:J22)*(Assumptions!$K$3-1),0))</f>
        <v>-452825.10000000003</v>
      </c>
      <c r="K66" s="98">
        <f ca="1">+J66*(1+OFFSET(K18,ROWS(K13:K22)*(Assumptions!$K$3-1),0))</f>
        <v>-470938.10400000005</v>
      </c>
      <c r="L66" s="98">
        <f ca="1">+K66*(1+OFFSET(L18,ROWS(L13:L22)*(Assumptions!$K$3-1),0))</f>
        <v>-518031.91440000013</v>
      </c>
      <c r="M66" s="98">
        <f ca="1">+L66*(1+OFFSET(M18,ROWS(M13:M22)*(Assumptions!$K$3-1),0))</f>
        <v>-543933.51012000011</v>
      </c>
      <c r="N66" s="98">
        <f ca="1">+M66*(1+OFFSET(N18,ROWS(N13:N22)*(Assumptions!$K$3-1),0))</f>
        <v>-571130.18562600017</v>
      </c>
      <c r="O66" s="98">
        <f ca="1">+N66*(1+OFFSET(O18,ROWS(O13:O22)*(Assumptions!$K$3-1),0))</f>
        <v>-542573.67634470016</v>
      </c>
      <c r="P66" s="98">
        <f ca="1">+O66*(1+OFFSET(P18,ROWS(P13:P22)*(Assumptions!$K$3-1),0))</f>
        <v>-515444.9925274651</v>
      </c>
      <c r="Q66" s="98">
        <f ca="1">+P66*(1+OFFSET(Q18,ROWS(Q13:Q22)*(Assumptions!$K$3-1),0))</f>
        <v>-525753.8923780144</v>
      </c>
      <c r="R66" s="99">
        <v>0</v>
      </c>
    </row>
    <row r="67" spans="2:18" x14ac:dyDescent="0.3">
      <c r="B67" s="7" t="s">
        <v>137</v>
      </c>
      <c r="C67" s="8">
        <f>+Assumptions!G17</f>
        <v>800</v>
      </c>
      <c r="D67" s="28" t="s">
        <v>39</v>
      </c>
      <c r="E67" s="98">
        <f t="shared" ca="1" si="12"/>
        <v>-2242922.9138066764</v>
      </c>
      <c r="F67" s="8"/>
      <c r="G67" s="98">
        <f>+-C67*Assumptions!$C$13</f>
        <v>-187200</v>
      </c>
      <c r="H67" s="98">
        <f ca="1">+G67*(1+OFFSET(H19,ROWS(H13:H22)*(Assumptions!$K$3-1),0))</f>
        <v>-200304</v>
      </c>
      <c r="I67" s="98">
        <f ca="1">+H67*(1+OFFSET(I19,ROWS(I13:I22)*(Assumptions!$K$3-1),0))</f>
        <v>-220334.40000000002</v>
      </c>
      <c r="J67" s="98">
        <f ca="1">+I67*(1+OFFSET(J19,ROWS(J13:J22)*(Assumptions!$K$3-1),0))</f>
        <v>-242367.84000000005</v>
      </c>
      <c r="K67" s="98">
        <f ca="1">+J67*(1+OFFSET(K19,ROWS(K13:K22)*(Assumptions!$K$3-1),0))</f>
        <v>-230249.44800000003</v>
      </c>
      <c r="L67" s="98">
        <f ca="1">+K67*(1+OFFSET(L19,ROWS(L13:L22)*(Assumptions!$K$3-1),0))</f>
        <v>-218736.97560000003</v>
      </c>
      <c r="M67" s="98">
        <f ca="1">+L67*(1+OFFSET(M19,ROWS(M13:M22)*(Assumptions!$K$3-1),0))</f>
        <v>-207800.12682000003</v>
      </c>
      <c r="N67" s="98">
        <f ca="1">+M67*(1+OFFSET(N19,ROWS(N13:N22)*(Assumptions!$K$3-1),0))</f>
        <v>-197410.12047900003</v>
      </c>
      <c r="O67" s="98">
        <f ca="1">+N67*(1+OFFSET(O19,ROWS(O13:O22)*(Assumptions!$K$3-1),0))</f>
        <v>-187539.61445505003</v>
      </c>
      <c r="P67" s="98">
        <f ca="1">+O67*(1+OFFSET(P19,ROWS(P13:P22)*(Assumptions!$K$3-1),0))</f>
        <v>-178162.63373229752</v>
      </c>
      <c r="Q67" s="98">
        <f ca="1">+P67*(1+OFFSET(Q19,ROWS(Q13:Q22)*(Assumptions!$K$3-1),0))</f>
        <v>-172817.75472032858</v>
      </c>
      <c r="R67" s="99">
        <v>0</v>
      </c>
    </row>
    <row r="68" spans="2:18" x14ac:dyDescent="0.3">
      <c r="B68" s="7" t="s">
        <v>138</v>
      </c>
      <c r="C68" s="8">
        <f>+Assumptions!G18</f>
        <v>600</v>
      </c>
      <c r="D68" s="28" t="s">
        <v>39</v>
      </c>
      <c r="E68" s="98">
        <f t="shared" ca="1" si="12"/>
        <v>-2172407.1035614153</v>
      </c>
      <c r="F68" s="8"/>
      <c r="G68" s="98">
        <f>+-C68*Assumptions!$C$13</f>
        <v>-140400</v>
      </c>
      <c r="H68" s="98">
        <f ca="1">+G68*(1+OFFSET(H20,ROWS(H13:H22)*(Assumptions!$K$3-1),0))</f>
        <v>-168480</v>
      </c>
      <c r="I68" s="98">
        <f ca="1">+H68*(1+OFFSET(I20,ROWS(I13:I22)*(Assumptions!$K$3-1),0))</f>
        <v>-193751.99999999997</v>
      </c>
      <c r="J68" s="98">
        <f ca="1">+I68*(1+OFFSET(J20,ROWS(J13:J22)*(Assumptions!$K$3-1),0))</f>
        <v>-222814.79999999996</v>
      </c>
      <c r="K68" s="98">
        <f ca="1">+J68*(1+OFFSET(K20,ROWS(K13:K22)*(Assumptions!$K$3-1),0))</f>
        <v>-245096.27999999997</v>
      </c>
      <c r="L68" s="98">
        <f ca="1">+K68*(1+OFFSET(L20,ROWS(L13:L22)*(Assumptions!$K$3-1),0))</f>
        <v>-232841.46599999996</v>
      </c>
      <c r="M68" s="98">
        <f ca="1">+L68*(1+OFFSET(M20,ROWS(M13:M22)*(Assumptions!$K$3-1),0))</f>
        <v>-221199.39269999994</v>
      </c>
      <c r="N68" s="98">
        <f ca="1">+M68*(1+OFFSET(N20,ROWS(N13:N22)*(Assumptions!$K$3-1),0))</f>
        <v>-210139.42306499992</v>
      </c>
      <c r="O68" s="98">
        <f ca="1">+N68*(1+OFFSET(O20,ROWS(O13:O22)*(Assumptions!$K$3-1),0))</f>
        <v>-189125.48075849994</v>
      </c>
      <c r="P68" s="98">
        <f ca="1">+O68*(1+OFFSET(P20,ROWS(P13:P22)*(Assumptions!$K$3-1),0))</f>
        <v>-179669.20672057493</v>
      </c>
      <c r="Q68" s="98">
        <f ca="1">+P68*(1+OFFSET(Q20,ROWS(Q13:Q22)*(Assumptions!$K$3-1),0))</f>
        <v>-168889.05431734043</v>
      </c>
      <c r="R68" s="99">
        <v>0</v>
      </c>
    </row>
    <row r="69" spans="2:18" x14ac:dyDescent="0.3">
      <c r="B69" s="7"/>
      <c r="C69" s="8"/>
      <c r="D69" s="28"/>
      <c r="E69" s="8"/>
      <c r="F69" s="8"/>
      <c r="G69" s="8"/>
      <c r="H69" s="8"/>
      <c r="I69" s="8"/>
      <c r="J69" s="8"/>
      <c r="K69" s="8"/>
      <c r="L69" s="8"/>
      <c r="M69" s="8"/>
      <c r="N69" s="8"/>
      <c r="O69" s="8"/>
      <c r="P69" s="8"/>
      <c r="Q69" s="8"/>
      <c r="R69" s="13"/>
    </row>
    <row r="70" spans="2:18" x14ac:dyDescent="0.3">
      <c r="B70" s="7" t="s">
        <v>139</v>
      </c>
      <c r="C70" s="8"/>
      <c r="D70" s="28"/>
      <c r="E70" s="98">
        <f t="shared" ca="1" si="12"/>
        <v>131039122.96476653</v>
      </c>
      <c r="F70" s="8"/>
      <c r="G70" s="98">
        <f>+IF(G5=Assumptions!$G$5,-Assumptions!$G$25,0)</f>
        <v>0</v>
      </c>
      <c r="H70" s="98">
        <f>+IF(H5=Assumptions!$G$5,-Assumptions!$G$25,0)</f>
        <v>0</v>
      </c>
      <c r="I70" s="98">
        <f>+IF(I5=Assumptions!$G$5,-Assumptions!$G$25,0)</f>
        <v>0</v>
      </c>
      <c r="J70" s="98">
        <f>+IF(J5=Assumptions!$G$5,-Assumptions!$G$25,0)</f>
        <v>0</v>
      </c>
      <c r="K70" s="98">
        <f>+IF(K5=Assumptions!$G$5,-Assumptions!$G$25,0)</f>
        <v>0</v>
      </c>
      <c r="L70" s="98">
        <f>+IF(L5=Assumptions!$G$5,-Assumptions!$G$25,0)</f>
        <v>0</v>
      </c>
      <c r="M70" s="98">
        <f>+IF(M5=Assumptions!$G$5,-Assumptions!$G$25,0)</f>
        <v>0</v>
      </c>
      <c r="N70" s="98">
        <f>+IF(N5=Assumptions!$G$5,-Assumptions!$G$25,0)</f>
        <v>0</v>
      </c>
      <c r="O70" s="98">
        <f>+IF(O5=Assumptions!$G$5,-Assumptions!$G$25,0)</f>
        <v>0</v>
      </c>
      <c r="P70" s="98">
        <f>+IF(P5=Assumptions!$G$5,-Assumptions!$G$25,0)</f>
        <v>0</v>
      </c>
      <c r="Q70" s="98">
        <f ca="1">+IF(Q5=Assumptions!$G$5,Assumptions!$G$25,0)</f>
        <v>131039122.96476653</v>
      </c>
      <c r="R70" s="99">
        <f>+IF(R5=Assumptions!$G$5,-Assumptions!$G$25,0)</f>
        <v>0</v>
      </c>
    </row>
    <row r="71" spans="2:18" x14ac:dyDescent="0.3">
      <c r="B71" s="7" t="s">
        <v>140</v>
      </c>
      <c r="C71" s="92">
        <f>+Assumptions!G28</f>
        <v>0.02</v>
      </c>
      <c r="D71" s="28" t="s">
        <v>141</v>
      </c>
      <c r="E71" s="98">
        <f t="shared" ca="1" si="12"/>
        <v>-2620782.4592953306</v>
      </c>
      <c r="F71" s="8"/>
      <c r="G71" s="98">
        <f>-G70*$C$71</f>
        <v>0</v>
      </c>
      <c r="H71" s="98">
        <f t="shared" ref="H71:R71" si="14">-H70*$C$71</f>
        <v>0</v>
      </c>
      <c r="I71" s="98">
        <f t="shared" si="14"/>
        <v>0</v>
      </c>
      <c r="J71" s="98">
        <f t="shared" si="14"/>
        <v>0</v>
      </c>
      <c r="K71" s="98">
        <f t="shared" si="14"/>
        <v>0</v>
      </c>
      <c r="L71" s="98">
        <f t="shared" si="14"/>
        <v>0</v>
      </c>
      <c r="M71" s="98">
        <f t="shared" si="14"/>
        <v>0</v>
      </c>
      <c r="N71" s="98">
        <f t="shared" si="14"/>
        <v>0</v>
      </c>
      <c r="O71" s="98">
        <f t="shared" si="14"/>
        <v>0</v>
      </c>
      <c r="P71" s="98">
        <f t="shared" si="14"/>
        <v>0</v>
      </c>
      <c r="Q71" s="98">
        <f t="shared" ca="1" si="14"/>
        <v>-2620782.4592953306</v>
      </c>
      <c r="R71" s="99">
        <f t="shared" si="14"/>
        <v>0</v>
      </c>
    </row>
    <row r="72" spans="2:18" x14ac:dyDescent="0.3">
      <c r="B72" s="7" t="s">
        <v>75</v>
      </c>
      <c r="C72" s="92">
        <v>0</v>
      </c>
      <c r="D72" s="28"/>
      <c r="E72" s="98">
        <f t="shared" ca="1" si="12"/>
        <v>0</v>
      </c>
      <c r="F72" s="8"/>
      <c r="G72" s="98">
        <f>-G70*$C$72</f>
        <v>0</v>
      </c>
      <c r="H72" s="98">
        <f t="shared" ref="H72:R72" si="15">-H70*$C$72</f>
        <v>0</v>
      </c>
      <c r="I72" s="98">
        <f t="shared" si="15"/>
        <v>0</v>
      </c>
      <c r="J72" s="98">
        <f t="shared" si="15"/>
        <v>0</v>
      </c>
      <c r="K72" s="98">
        <f t="shared" si="15"/>
        <v>0</v>
      </c>
      <c r="L72" s="98">
        <f t="shared" si="15"/>
        <v>0</v>
      </c>
      <c r="M72" s="98">
        <f t="shared" si="15"/>
        <v>0</v>
      </c>
      <c r="N72" s="98">
        <f t="shared" si="15"/>
        <v>0</v>
      </c>
      <c r="O72" s="98">
        <f t="shared" si="15"/>
        <v>0</v>
      </c>
      <c r="P72" s="98">
        <f t="shared" si="15"/>
        <v>0</v>
      </c>
      <c r="Q72" s="98">
        <f t="shared" ca="1" si="15"/>
        <v>0</v>
      </c>
      <c r="R72" s="99">
        <f t="shared" si="15"/>
        <v>0</v>
      </c>
    </row>
    <row r="73" spans="2:18" x14ac:dyDescent="0.3">
      <c r="B73" s="7" t="s">
        <v>76</v>
      </c>
      <c r="C73" s="92">
        <v>0</v>
      </c>
      <c r="D73" s="28"/>
      <c r="E73" s="98">
        <f t="shared" ca="1" si="12"/>
        <v>0</v>
      </c>
      <c r="F73" s="8"/>
      <c r="G73" s="98">
        <f ca="1">($E$70+$E$62)*$C$73</f>
        <v>0</v>
      </c>
      <c r="H73" s="98">
        <f t="shared" ref="H73:R73" ca="1" si="16">($E$70+$E$62)*$C$73</f>
        <v>0</v>
      </c>
      <c r="I73" s="98">
        <f t="shared" ca="1" si="16"/>
        <v>0</v>
      </c>
      <c r="J73" s="98">
        <f t="shared" ca="1" si="16"/>
        <v>0</v>
      </c>
      <c r="K73" s="98">
        <f t="shared" ca="1" si="16"/>
        <v>0</v>
      </c>
      <c r="L73" s="98">
        <f t="shared" ca="1" si="16"/>
        <v>0</v>
      </c>
      <c r="M73" s="98">
        <f t="shared" ca="1" si="16"/>
        <v>0</v>
      </c>
      <c r="N73" s="98">
        <f t="shared" ca="1" si="16"/>
        <v>0</v>
      </c>
      <c r="O73" s="98">
        <f t="shared" ca="1" si="16"/>
        <v>0</v>
      </c>
      <c r="P73" s="98">
        <f t="shared" ca="1" si="16"/>
        <v>0</v>
      </c>
      <c r="Q73" s="98">
        <f t="shared" ca="1" si="16"/>
        <v>0</v>
      </c>
      <c r="R73" s="99">
        <f t="shared" ca="1" si="16"/>
        <v>0</v>
      </c>
    </row>
    <row r="74" spans="2:18" ht="14.5" thickBot="1" x14ac:dyDescent="0.35">
      <c r="B74" s="100" t="s">
        <v>142</v>
      </c>
      <c r="C74" s="33"/>
      <c r="D74" s="65"/>
      <c r="E74" s="33"/>
      <c r="F74" s="33"/>
      <c r="G74" s="106">
        <f>+G62+G63</f>
        <v>-121200000</v>
      </c>
      <c r="H74" s="106">
        <f t="shared" ref="H74:R74" ca="1" si="17">+SUM(H62:H73)</f>
        <v>-822744</v>
      </c>
      <c r="I74" s="106">
        <f t="shared" ca="1" si="17"/>
        <v>-845348.4</v>
      </c>
      <c r="J74" s="106">
        <f t="shared" ca="1" si="17"/>
        <v>-918007.74</v>
      </c>
      <c r="K74" s="106">
        <f t="shared" ca="1" si="17"/>
        <v>-946283.83200000017</v>
      </c>
      <c r="L74" s="106">
        <f t="shared" ca="1" si="17"/>
        <v>-969610.35600000015</v>
      </c>
      <c r="M74" s="106">
        <f t="shared" ca="1" si="17"/>
        <v>-972933.02964000008</v>
      </c>
      <c r="N74" s="106">
        <f t="shared" ca="1" si="17"/>
        <v>-978679.72917000018</v>
      </c>
      <c r="O74" s="106">
        <f t="shared" ca="1" si="17"/>
        <v>-919238.77155825018</v>
      </c>
      <c r="P74" s="106">
        <f t="shared" ca="1" si="17"/>
        <v>-873276.83298033755</v>
      </c>
      <c r="Q74" s="106">
        <f t="shared" ca="1" si="17"/>
        <v>127550879.80405551</v>
      </c>
      <c r="R74" s="107">
        <f t="shared" ca="1" si="17"/>
        <v>0</v>
      </c>
    </row>
    <row r="75" spans="2:18" ht="14.5" thickBot="1" x14ac:dyDescent="0.35"/>
    <row r="76" spans="2:18" x14ac:dyDescent="0.3">
      <c r="B76" s="109" t="s">
        <v>143</v>
      </c>
      <c r="C76" s="110"/>
      <c r="D76" s="111"/>
      <c r="E76" s="110"/>
      <c r="F76" s="110"/>
      <c r="G76" s="110"/>
      <c r="H76" s="110"/>
      <c r="I76" s="110"/>
      <c r="J76" s="110"/>
      <c r="K76" s="110"/>
      <c r="L76" s="110"/>
      <c r="M76" s="110"/>
      <c r="N76" s="110"/>
      <c r="O76" s="110"/>
      <c r="P76" s="110"/>
      <c r="Q76" s="110"/>
      <c r="R76" s="56"/>
    </row>
    <row r="77" spans="2:18" x14ac:dyDescent="0.3">
      <c r="B77" s="7" t="s">
        <v>121</v>
      </c>
      <c r="C77" s="8"/>
      <c r="D77" s="28"/>
      <c r="E77" s="98">
        <f ca="1">+SUM(G77:Q77)</f>
        <v>46905426.284375891</v>
      </c>
      <c r="F77" s="8"/>
      <c r="G77" s="98"/>
      <c r="H77" s="98">
        <f t="shared" ref="H77:Q77" ca="1" si="18">+H59</f>
        <v>4946558.8528800001</v>
      </c>
      <c r="I77" s="98">
        <f t="shared" ca="1" si="18"/>
        <v>4660746.4187183995</v>
      </c>
      <c r="J77" s="98">
        <f t="shared" ca="1" si="18"/>
        <v>4452335.6308743358</v>
      </c>
      <c r="K77" s="98">
        <f t="shared" ca="1" si="18"/>
        <v>4435806.1728245728</v>
      </c>
      <c r="L77" s="98">
        <f t="shared" ca="1" si="18"/>
        <v>4441735.8461111058</v>
      </c>
      <c r="M77" s="98">
        <f t="shared" ca="1" si="18"/>
        <v>4519927.683047506</v>
      </c>
      <c r="N77" s="98">
        <f t="shared" ca="1" si="18"/>
        <v>4621965.6337768007</v>
      </c>
      <c r="O77" s="98">
        <f t="shared" ca="1" si="18"/>
        <v>4796774.4172063675</v>
      </c>
      <c r="P77" s="98">
        <f t="shared" ca="1" si="18"/>
        <v>4940677.6497225575</v>
      </c>
      <c r="Q77" s="98">
        <f t="shared" ca="1" si="18"/>
        <v>5088897.9792142352</v>
      </c>
      <c r="R77" s="13"/>
    </row>
    <row r="78" spans="2:18" x14ac:dyDescent="0.3">
      <c r="B78" s="7" t="s">
        <v>134</v>
      </c>
      <c r="C78" s="8"/>
      <c r="D78" s="28"/>
      <c r="E78" s="98">
        <f ca="1">+SUM(G78:Q78)</f>
        <v>-1895242.8872930855</v>
      </c>
      <c r="F78" s="8"/>
      <c r="G78" s="98">
        <f>+G74</f>
        <v>-121200000</v>
      </c>
      <c r="H78" s="98">
        <f t="shared" ref="H78:Q78" ca="1" si="19">+H74</f>
        <v>-822744</v>
      </c>
      <c r="I78" s="98">
        <f t="shared" ca="1" si="19"/>
        <v>-845348.4</v>
      </c>
      <c r="J78" s="98">
        <f t="shared" ca="1" si="19"/>
        <v>-918007.74</v>
      </c>
      <c r="K78" s="98">
        <f t="shared" ca="1" si="19"/>
        <v>-946283.83200000017</v>
      </c>
      <c r="L78" s="98">
        <f t="shared" ca="1" si="19"/>
        <v>-969610.35600000015</v>
      </c>
      <c r="M78" s="98">
        <f t="shared" ca="1" si="19"/>
        <v>-972933.02964000008</v>
      </c>
      <c r="N78" s="98">
        <f t="shared" ca="1" si="19"/>
        <v>-978679.72917000018</v>
      </c>
      <c r="O78" s="98">
        <f t="shared" ca="1" si="19"/>
        <v>-919238.77155825018</v>
      </c>
      <c r="P78" s="98">
        <f t="shared" ca="1" si="19"/>
        <v>-873276.83298033755</v>
      </c>
      <c r="Q78" s="98">
        <f t="shared" ca="1" si="19"/>
        <v>127550879.80405551</v>
      </c>
      <c r="R78" s="13"/>
    </row>
    <row r="79" spans="2:18" x14ac:dyDescent="0.3">
      <c r="B79" s="18" t="s">
        <v>143</v>
      </c>
      <c r="C79" s="8"/>
      <c r="D79" s="28"/>
      <c r="E79" s="104">
        <f ca="1">+SUM(G79:Q79)</f>
        <v>45010183.397082835</v>
      </c>
      <c r="F79" s="8"/>
      <c r="G79" s="89">
        <f>+SUM(G77:G78)</f>
        <v>-121200000</v>
      </c>
      <c r="H79" s="89">
        <f t="shared" ref="H79:Q79" ca="1" si="20">+SUM(H77:H78)</f>
        <v>4123814.8528800001</v>
      </c>
      <c r="I79" s="89">
        <f t="shared" ca="1" si="20"/>
        <v>3815398.0187183996</v>
      </c>
      <c r="J79" s="89">
        <f t="shared" ca="1" si="20"/>
        <v>3534327.8908743355</v>
      </c>
      <c r="K79" s="89">
        <f t="shared" ca="1" si="20"/>
        <v>3489522.3408245724</v>
      </c>
      <c r="L79" s="89">
        <f t="shared" ca="1" si="20"/>
        <v>3472125.4901111056</v>
      </c>
      <c r="M79" s="89">
        <f t="shared" ca="1" si="20"/>
        <v>3546994.6534075057</v>
      </c>
      <c r="N79" s="89">
        <f t="shared" ca="1" si="20"/>
        <v>3643285.9046068005</v>
      </c>
      <c r="O79" s="89">
        <f t="shared" ca="1" si="20"/>
        <v>3877535.6456481172</v>
      </c>
      <c r="P79" s="89">
        <f t="shared" ca="1" si="20"/>
        <v>4067400.81674222</v>
      </c>
      <c r="Q79" s="89">
        <f t="shared" ca="1" si="20"/>
        <v>132639777.78326975</v>
      </c>
      <c r="R79" s="13"/>
    </row>
    <row r="80" spans="2:18" ht="14.5" thickBot="1" x14ac:dyDescent="0.35">
      <c r="B80" s="20" t="s">
        <v>94</v>
      </c>
      <c r="C80" s="112">
        <f ca="1">+XIRR(G79:Q79,G3:Q3)</f>
        <v>3.6138728260993958E-2</v>
      </c>
      <c r="D80" s="65"/>
      <c r="E80" s="33"/>
      <c r="F80" s="33"/>
      <c r="G80" s="33"/>
      <c r="H80" s="33"/>
      <c r="I80" s="33"/>
      <c r="J80" s="33"/>
      <c r="K80" s="33"/>
      <c r="L80" s="33"/>
      <c r="M80" s="33"/>
      <c r="N80" s="33"/>
      <c r="O80" s="33"/>
      <c r="P80" s="33"/>
      <c r="Q80" s="33"/>
      <c r="R80" s="29"/>
    </row>
    <row r="81" spans="2:18" ht="14.5" thickBot="1" x14ac:dyDescent="0.35"/>
    <row r="82" spans="2:18" x14ac:dyDescent="0.3">
      <c r="B82" s="22" t="s">
        <v>144</v>
      </c>
      <c r="C82" s="31"/>
      <c r="D82" s="66"/>
      <c r="E82" s="31"/>
      <c r="F82" s="31"/>
      <c r="G82" s="31"/>
      <c r="H82" s="31"/>
      <c r="I82" s="31"/>
      <c r="J82" s="31"/>
      <c r="K82" s="31"/>
      <c r="L82" s="31"/>
      <c r="M82" s="31"/>
      <c r="N82" s="31"/>
      <c r="O82" s="31"/>
      <c r="P82" s="31"/>
      <c r="Q82" s="31"/>
      <c r="R82" s="67"/>
    </row>
    <row r="83" spans="2:18" x14ac:dyDescent="0.3">
      <c r="B83" s="7" t="s">
        <v>145</v>
      </c>
      <c r="C83" s="113">
        <f>+Assumptions!G38</f>
        <v>0.7</v>
      </c>
      <c r="D83" s="28" t="s">
        <v>147</v>
      </c>
      <c r="E83" s="98">
        <f>+SUM(G83:Q83)</f>
        <v>84000000</v>
      </c>
      <c r="F83" s="8"/>
      <c r="G83" s="98">
        <f>+-IF(G5=0,$C$83*$E$62,0)</f>
        <v>84000000</v>
      </c>
      <c r="H83" s="98">
        <f t="shared" ref="H83:Q83" si="21">+-IF(H5=0,$C$83*$E$62,0)</f>
        <v>0</v>
      </c>
      <c r="I83" s="98">
        <f t="shared" si="21"/>
        <v>0</v>
      </c>
      <c r="J83" s="98">
        <f t="shared" si="21"/>
        <v>0</v>
      </c>
      <c r="K83" s="98">
        <f t="shared" si="21"/>
        <v>0</v>
      </c>
      <c r="L83" s="98">
        <f t="shared" si="21"/>
        <v>0</v>
      </c>
      <c r="M83" s="98">
        <f t="shared" si="21"/>
        <v>0</v>
      </c>
      <c r="N83" s="98">
        <f t="shared" si="21"/>
        <v>0</v>
      </c>
      <c r="O83" s="98">
        <f t="shared" si="21"/>
        <v>0</v>
      </c>
      <c r="P83" s="98">
        <f t="shared" si="21"/>
        <v>0</v>
      </c>
      <c r="Q83" s="98">
        <f t="shared" si="21"/>
        <v>0</v>
      </c>
      <c r="R83" s="13"/>
    </row>
    <row r="84" spans="2:18" x14ac:dyDescent="0.3">
      <c r="B84" s="7" t="s">
        <v>146</v>
      </c>
      <c r="C84" s="92">
        <f>+Assumptions!G40</f>
        <v>0.04</v>
      </c>
      <c r="D84" s="28" t="s">
        <v>24</v>
      </c>
      <c r="E84" s="98">
        <f t="shared" ref="E84:E86" si="22">+SUM(G84:Q84)</f>
        <v>-30595396.534491941</v>
      </c>
      <c r="F84" s="8"/>
      <c r="G84" s="98"/>
      <c r="H84" s="98">
        <f>+IPMT($C$84,H4-$G$4,Assumptions!$G$41,'Cash Flow'!$G$83)</f>
        <v>-3360000</v>
      </c>
      <c r="I84" s="98">
        <f>+IPMT($C$84,I4-$G$4,Assumptions!$G$41,'Cash Flow'!$G$83)</f>
        <v>-3300090.8669108981</v>
      </c>
      <c r="J84" s="98">
        <f>+IPMT($C$84,J4-$G$4,Assumptions!$G$41,'Cash Flow'!$G$83)</f>
        <v>-3237785.3684982317</v>
      </c>
      <c r="K84" s="98">
        <f>+IPMT($C$84,K4-$G$4,Assumptions!$G$41,'Cash Flow'!$G$83)</f>
        <v>-3172987.6501490586</v>
      </c>
      <c r="L84" s="98">
        <f>+IPMT($C$84,L4-$G$4,Assumptions!$G$41,'Cash Flow'!$G$83)</f>
        <v>-3105598.0230659195</v>
      </c>
      <c r="M84" s="98">
        <f>+IPMT($C$84,M4-$G$4,Assumptions!$G$41,'Cash Flow'!$G$83)</f>
        <v>-3035512.8108994546</v>
      </c>
      <c r="N84" s="98">
        <f>+IPMT($C$84,N4-$G$4,Assumptions!$G$41,'Cash Flow'!$G$83)</f>
        <v>-2962624.1902463301</v>
      </c>
      <c r="O84" s="98">
        <f>+IPMT($C$84,O4-$G$4,Assumptions!$G$41,'Cash Flow'!$G$83)</f>
        <v>-2886820.0247670813</v>
      </c>
      <c r="P84" s="98">
        <f>+IPMT($C$84,P4-$G$4,Assumptions!$G$41,'Cash Flow'!$G$83)</f>
        <v>-2807983.6926686619</v>
      </c>
      <c r="Q84" s="98">
        <f>+IPMT($C$84,Q4-$G$4,Assumptions!$G$41,'Cash Flow'!$G$83)</f>
        <v>-2725993.9072863073</v>
      </c>
      <c r="R84" s="13"/>
    </row>
    <row r="85" spans="2:18" x14ac:dyDescent="0.3">
      <c r="B85" s="7" t="s">
        <v>148</v>
      </c>
      <c r="C85" s="8"/>
      <c r="D85" s="28"/>
      <c r="E85" s="98">
        <f t="shared" si="22"/>
        <v>-17981886.737783581</v>
      </c>
      <c r="F85" s="8"/>
      <c r="G85" s="98"/>
      <c r="H85" s="98">
        <f>+PPMT($C$84,H4-$G$4,Assumptions!$G$41,'Cash Flow'!$G$83)</f>
        <v>-1497728.3272275527</v>
      </c>
      <c r="I85" s="98">
        <f>+PPMT($C$84,I4-$G$4,Assumptions!$G$41,'Cash Flow'!$G$83)</f>
        <v>-1557637.4603166541</v>
      </c>
      <c r="J85" s="98">
        <f>+PPMT($C$84,J4-$G$4,Assumptions!$G$41,'Cash Flow'!$G$83)</f>
        <v>-1619942.9587293204</v>
      </c>
      <c r="K85" s="98">
        <f>+PPMT($C$84,K4-$G$4,Assumptions!$G$41,'Cash Flow'!$G$83)</f>
        <v>-1684740.6770784932</v>
      </c>
      <c r="L85" s="98">
        <f>+PPMT($C$84,L4-$G$4,Assumptions!$G$41,'Cash Flow'!$G$83)</f>
        <v>-1752130.3041616329</v>
      </c>
      <c r="M85" s="98">
        <f>+PPMT($C$84,M4-$G$4,Assumptions!$G$41,'Cash Flow'!$G$83)</f>
        <v>-1822215.5163280985</v>
      </c>
      <c r="N85" s="98">
        <f>+PPMT($C$84,N4-$G$4,Assumptions!$G$41,'Cash Flow'!$G$83)</f>
        <v>-1895104.1369812223</v>
      </c>
      <c r="O85" s="98">
        <f>+PPMT($C$84,O4-$G$4,Assumptions!$G$41,'Cash Flow'!$G$83)</f>
        <v>-1970908.3024604714</v>
      </c>
      <c r="P85" s="98">
        <f>+PPMT($C$84,P4-$G$4,Assumptions!$G$41,'Cash Flow'!$G$83)</f>
        <v>-2049744.63455889</v>
      </c>
      <c r="Q85" s="98">
        <f>+PPMT($C$84,Q4-$G$4,Assumptions!$G$41,'Cash Flow'!$G$83)</f>
        <v>-2131734.4199412456</v>
      </c>
      <c r="R85" s="13"/>
    </row>
    <row r="86" spans="2:18" x14ac:dyDescent="0.3">
      <c r="B86" s="7" t="s">
        <v>88</v>
      </c>
      <c r="C86" s="92">
        <f>+Assumptions!G43</f>
        <v>0.01</v>
      </c>
      <c r="D86" s="28" t="s">
        <v>149</v>
      </c>
      <c r="E86" s="98">
        <f t="shared" si="22"/>
        <v>-840000</v>
      </c>
      <c r="F86" s="8"/>
      <c r="G86" s="98">
        <f>+-IF(G5=0,$E$83*$C$86,0)</f>
        <v>-840000</v>
      </c>
      <c r="H86" s="98">
        <f t="shared" ref="H86:Q86" si="23">+IF(H5=0,$E$83*$C$86,0)</f>
        <v>0</v>
      </c>
      <c r="I86" s="98">
        <f t="shared" si="23"/>
        <v>0</v>
      </c>
      <c r="J86" s="98">
        <f t="shared" si="23"/>
        <v>0</v>
      </c>
      <c r="K86" s="98">
        <f t="shared" si="23"/>
        <v>0</v>
      </c>
      <c r="L86" s="98">
        <f t="shared" si="23"/>
        <v>0</v>
      </c>
      <c r="M86" s="98">
        <f t="shared" si="23"/>
        <v>0</v>
      </c>
      <c r="N86" s="98">
        <f t="shared" si="23"/>
        <v>0</v>
      </c>
      <c r="O86" s="98">
        <f t="shared" si="23"/>
        <v>0</v>
      </c>
      <c r="P86" s="98">
        <f t="shared" si="23"/>
        <v>0</v>
      </c>
      <c r="Q86" s="98">
        <f t="shared" si="23"/>
        <v>0</v>
      </c>
      <c r="R86" s="13"/>
    </row>
    <row r="87" spans="2:18" x14ac:dyDescent="0.3">
      <c r="B87" s="18" t="s">
        <v>150</v>
      </c>
      <c r="C87" s="92"/>
      <c r="D87" s="28"/>
      <c r="E87" s="98"/>
      <c r="F87" s="8"/>
      <c r="G87" s="98"/>
      <c r="H87" s="104">
        <f t="shared" ref="H87:P87" si="24">+IF(H5=10,$E$83+$E$85,0)</f>
        <v>0</v>
      </c>
      <c r="I87" s="104">
        <f t="shared" si="24"/>
        <v>0</v>
      </c>
      <c r="J87" s="104">
        <f t="shared" si="24"/>
        <v>0</v>
      </c>
      <c r="K87" s="104">
        <f t="shared" si="24"/>
        <v>0</v>
      </c>
      <c r="L87" s="104">
        <f t="shared" si="24"/>
        <v>0</v>
      </c>
      <c r="M87" s="104">
        <f t="shared" si="24"/>
        <v>0</v>
      </c>
      <c r="N87" s="104">
        <f t="shared" si="24"/>
        <v>0</v>
      </c>
      <c r="O87" s="104">
        <f t="shared" si="24"/>
        <v>0</v>
      </c>
      <c r="P87" s="104">
        <f t="shared" si="24"/>
        <v>0</v>
      </c>
      <c r="Q87" s="104">
        <f>+IF(Q5=10,$E$83+$E$85,0)</f>
        <v>66018113.262216419</v>
      </c>
      <c r="R87" s="13"/>
    </row>
    <row r="88" spans="2:18" x14ac:dyDescent="0.3">
      <c r="B88" s="7" t="s">
        <v>151</v>
      </c>
      <c r="C88" s="92">
        <f>+Assumptions!G44</f>
        <v>0.03</v>
      </c>
      <c r="D88" s="28" t="s">
        <v>152</v>
      </c>
      <c r="E88" s="98">
        <f>+SUM(H88:Q88)</f>
        <v>-1980543.3978664924</v>
      </c>
      <c r="F88" s="8"/>
      <c r="G88" s="98"/>
      <c r="H88" s="98">
        <f t="shared" ref="H88:P88" si="25">+IF(H5=10,-H87*$C$88,0)</f>
        <v>0</v>
      </c>
      <c r="I88" s="98">
        <f t="shared" si="25"/>
        <v>0</v>
      </c>
      <c r="J88" s="98">
        <f t="shared" si="25"/>
        <v>0</v>
      </c>
      <c r="K88" s="98">
        <f t="shared" si="25"/>
        <v>0</v>
      </c>
      <c r="L88" s="98">
        <f t="shared" si="25"/>
        <v>0</v>
      </c>
      <c r="M88" s="98">
        <f t="shared" si="25"/>
        <v>0</v>
      </c>
      <c r="N88" s="98">
        <f t="shared" si="25"/>
        <v>0</v>
      </c>
      <c r="O88" s="98">
        <f t="shared" si="25"/>
        <v>0</v>
      </c>
      <c r="P88" s="98">
        <f t="shared" si="25"/>
        <v>0</v>
      </c>
      <c r="Q88" s="98">
        <f>+IF(Q5=10,-Q87*$C$88,0)</f>
        <v>-1980543.3978664924</v>
      </c>
      <c r="R88" s="13"/>
    </row>
    <row r="89" spans="2:18" ht="14.5" thickBot="1" x14ac:dyDescent="0.35">
      <c r="B89" s="100" t="s">
        <v>144</v>
      </c>
      <c r="C89" s="33"/>
      <c r="D89" s="65"/>
      <c r="E89" s="115">
        <f>+SUM(G89:Q89)</f>
        <v>0</v>
      </c>
      <c r="F89" s="116"/>
      <c r="G89" s="101">
        <f>+G83</f>
        <v>84000000</v>
      </c>
      <c r="H89" s="101">
        <f>+H83+H85</f>
        <v>-1497728.3272275527</v>
      </c>
      <c r="I89" s="101">
        <f t="shared" ref="I89:P89" si="26">+I83+I85</f>
        <v>-1557637.4603166541</v>
      </c>
      <c r="J89" s="101">
        <f t="shared" si="26"/>
        <v>-1619942.9587293204</v>
      </c>
      <c r="K89" s="101">
        <f t="shared" si="26"/>
        <v>-1684740.6770784932</v>
      </c>
      <c r="L89" s="101">
        <f t="shared" si="26"/>
        <v>-1752130.3041616329</v>
      </c>
      <c r="M89" s="101">
        <f t="shared" si="26"/>
        <v>-1822215.5163280985</v>
      </c>
      <c r="N89" s="101">
        <f t="shared" si="26"/>
        <v>-1895104.1369812223</v>
      </c>
      <c r="O89" s="101">
        <f t="shared" si="26"/>
        <v>-1970908.3024604714</v>
      </c>
      <c r="P89" s="101">
        <f t="shared" si="26"/>
        <v>-2049744.63455889</v>
      </c>
      <c r="Q89" s="101">
        <f>+Q83+Q85-Q87</f>
        <v>-68149847.682157665</v>
      </c>
      <c r="R89" s="114"/>
    </row>
    <row r="91" spans="2:18" x14ac:dyDescent="0.3">
      <c r="B91" s="1" t="s">
        <v>153</v>
      </c>
      <c r="C91" s="1"/>
      <c r="D91" s="4"/>
      <c r="E91" s="1"/>
      <c r="F91" s="1"/>
      <c r="G91" s="117"/>
      <c r="H91" s="1"/>
      <c r="I91" s="1"/>
      <c r="J91" s="1"/>
      <c r="K91" s="1"/>
      <c r="L91" s="1"/>
      <c r="M91" s="1"/>
      <c r="N91" s="1"/>
      <c r="O91" s="1"/>
      <c r="P91" s="1"/>
      <c r="Q91" s="1"/>
      <c r="R91" s="1"/>
    </row>
    <row r="92" spans="2:18" x14ac:dyDescent="0.3">
      <c r="B92" s="2" t="s">
        <v>129</v>
      </c>
      <c r="E92" s="84">
        <f ca="1">+SUM(G92:Q92)</f>
        <v>46905426.284375891</v>
      </c>
      <c r="H92" s="84">
        <f ca="1">+H53</f>
        <v>4946558.8528800001</v>
      </c>
      <c r="I92" s="84">
        <f t="shared" ref="I92:Q92" ca="1" si="27">+I53</f>
        <v>4660746.4187183995</v>
      </c>
      <c r="J92" s="84">
        <f t="shared" ca="1" si="27"/>
        <v>4452335.6308743358</v>
      </c>
      <c r="K92" s="84">
        <f t="shared" ca="1" si="27"/>
        <v>4435806.1728245728</v>
      </c>
      <c r="L92" s="84">
        <f t="shared" ca="1" si="27"/>
        <v>4441735.8461111058</v>
      </c>
      <c r="M92" s="84">
        <f t="shared" ca="1" si="27"/>
        <v>4519927.683047506</v>
      </c>
      <c r="N92" s="84">
        <f t="shared" ca="1" si="27"/>
        <v>4621965.6337768007</v>
      </c>
      <c r="O92" s="84">
        <f t="shared" ca="1" si="27"/>
        <v>4796774.4172063675</v>
      </c>
      <c r="P92" s="84">
        <f t="shared" ca="1" si="27"/>
        <v>4940677.6497225575</v>
      </c>
      <c r="Q92" s="84">
        <f t="shared" ca="1" si="27"/>
        <v>5088897.9792142352</v>
      </c>
    </row>
    <row r="93" spans="2:18" x14ac:dyDescent="0.3">
      <c r="B93" s="2" t="s">
        <v>146</v>
      </c>
      <c r="E93" s="84">
        <f t="shared" ref="E93:E97" si="28">+SUM(G93:Q93)</f>
        <v>-30595396.534491941</v>
      </c>
      <c r="H93" s="88">
        <f>+H84</f>
        <v>-3360000</v>
      </c>
      <c r="I93" s="88">
        <f t="shared" ref="I93:Q93" si="29">+I84</f>
        <v>-3300090.8669108981</v>
      </c>
      <c r="J93" s="88">
        <f t="shared" si="29"/>
        <v>-3237785.3684982317</v>
      </c>
      <c r="K93" s="88">
        <f t="shared" si="29"/>
        <v>-3172987.6501490586</v>
      </c>
      <c r="L93" s="88">
        <f t="shared" si="29"/>
        <v>-3105598.0230659195</v>
      </c>
      <c r="M93" s="88">
        <f t="shared" si="29"/>
        <v>-3035512.8108994546</v>
      </c>
      <c r="N93" s="88">
        <f t="shared" si="29"/>
        <v>-2962624.1902463301</v>
      </c>
      <c r="O93" s="88">
        <f t="shared" si="29"/>
        <v>-2886820.0247670813</v>
      </c>
      <c r="P93" s="88">
        <f t="shared" si="29"/>
        <v>-2807983.6926686619</v>
      </c>
      <c r="Q93" s="88">
        <f t="shared" si="29"/>
        <v>-2725993.9072863073</v>
      </c>
    </row>
    <row r="94" spans="2:18" x14ac:dyDescent="0.3">
      <c r="B94" s="2" t="s">
        <v>88</v>
      </c>
      <c r="E94" s="84">
        <f t="shared" si="28"/>
        <v>-840000</v>
      </c>
      <c r="G94" s="88">
        <f>+G86</f>
        <v>-840000</v>
      </c>
      <c r="H94" s="88">
        <f t="shared" ref="H94:Q94" si="30">+H86</f>
        <v>0</v>
      </c>
      <c r="I94" s="88">
        <f t="shared" si="30"/>
        <v>0</v>
      </c>
      <c r="J94" s="88">
        <f t="shared" si="30"/>
        <v>0</v>
      </c>
      <c r="K94" s="88">
        <f t="shared" si="30"/>
        <v>0</v>
      </c>
      <c r="L94" s="88">
        <f t="shared" si="30"/>
        <v>0</v>
      </c>
      <c r="M94" s="88">
        <f t="shared" si="30"/>
        <v>0</v>
      </c>
      <c r="N94" s="88">
        <f t="shared" si="30"/>
        <v>0</v>
      </c>
      <c r="O94" s="88">
        <f t="shared" si="30"/>
        <v>0</v>
      </c>
      <c r="P94" s="88">
        <f t="shared" si="30"/>
        <v>0</v>
      </c>
      <c r="Q94" s="88">
        <f t="shared" si="30"/>
        <v>0</v>
      </c>
    </row>
    <row r="95" spans="2:18" x14ac:dyDescent="0.3">
      <c r="B95" s="2" t="s">
        <v>151</v>
      </c>
      <c r="E95" s="84">
        <f t="shared" si="28"/>
        <v>-1980543.3978664924</v>
      </c>
      <c r="H95" s="88">
        <f>+H88</f>
        <v>0</v>
      </c>
      <c r="I95" s="88">
        <f t="shared" ref="I95:Q95" si="31">+I88</f>
        <v>0</v>
      </c>
      <c r="J95" s="88">
        <f t="shared" si="31"/>
        <v>0</v>
      </c>
      <c r="K95" s="88">
        <f t="shared" si="31"/>
        <v>0</v>
      </c>
      <c r="L95" s="88">
        <f t="shared" si="31"/>
        <v>0</v>
      </c>
      <c r="M95" s="88">
        <f t="shared" si="31"/>
        <v>0</v>
      </c>
      <c r="N95" s="88">
        <f t="shared" si="31"/>
        <v>0</v>
      </c>
      <c r="O95" s="88">
        <f t="shared" si="31"/>
        <v>0</v>
      </c>
      <c r="P95" s="88">
        <f t="shared" si="31"/>
        <v>0</v>
      </c>
      <c r="Q95" s="119">
        <f t="shared" si="31"/>
        <v>-1980543.3978664924</v>
      </c>
    </row>
    <row r="96" spans="2:18" x14ac:dyDescent="0.3">
      <c r="B96" s="2" t="s">
        <v>131</v>
      </c>
      <c r="C96" s="52">
        <v>0</v>
      </c>
      <c r="D96" s="5" t="s">
        <v>132</v>
      </c>
      <c r="E96" s="88">
        <f t="shared" ca="1" si="28"/>
        <v>0</v>
      </c>
      <c r="G96" s="88">
        <f>+IF(SUM(G92:G95)&gt;0,-SUM(G92:G95)*$C$96,0)</f>
        <v>0</v>
      </c>
      <c r="H96" s="88">
        <f t="shared" ref="H96:Q96" ca="1" si="32">+IF(SUM(H92:H95)&gt;0,-SUM(H92:H95)*$C$96,0)</f>
        <v>0</v>
      </c>
      <c r="I96" s="88">
        <f t="shared" ca="1" si="32"/>
        <v>0</v>
      </c>
      <c r="J96" s="88">
        <f t="shared" ca="1" si="32"/>
        <v>0</v>
      </c>
      <c r="K96" s="88">
        <f t="shared" ca="1" si="32"/>
        <v>0</v>
      </c>
      <c r="L96" s="88">
        <f t="shared" ca="1" si="32"/>
        <v>0</v>
      </c>
      <c r="M96" s="88">
        <f t="shared" ca="1" si="32"/>
        <v>0</v>
      </c>
      <c r="N96" s="88">
        <f t="shared" ca="1" si="32"/>
        <v>0</v>
      </c>
      <c r="O96" s="88">
        <f t="shared" ca="1" si="32"/>
        <v>0</v>
      </c>
      <c r="P96" s="88">
        <f t="shared" ca="1" si="32"/>
        <v>0</v>
      </c>
      <c r="Q96" s="88">
        <f t="shared" ca="1" si="32"/>
        <v>0</v>
      </c>
    </row>
    <row r="97" spans="2:18" x14ac:dyDescent="0.3">
      <c r="B97" s="6" t="s">
        <v>133</v>
      </c>
      <c r="E97" s="89">
        <f t="shared" ca="1" si="28"/>
        <v>13489486.352017447</v>
      </c>
      <c r="F97" s="27"/>
      <c r="G97" s="89">
        <f>+SUM(G92:G96)</f>
        <v>-840000</v>
      </c>
      <c r="H97" s="89">
        <f t="shared" ref="H97:Q97" ca="1" si="33">+SUM(H92:H96)</f>
        <v>1586558.8528800001</v>
      </c>
      <c r="I97" s="89">
        <f t="shared" ca="1" si="33"/>
        <v>1360655.5518075014</v>
      </c>
      <c r="J97" s="89">
        <f t="shared" ca="1" si="33"/>
        <v>1214550.262376104</v>
      </c>
      <c r="K97" s="89">
        <f t="shared" ca="1" si="33"/>
        <v>1262818.5226755142</v>
      </c>
      <c r="L97" s="89">
        <f t="shared" ca="1" si="33"/>
        <v>1336137.8230451862</v>
      </c>
      <c r="M97" s="89">
        <f t="shared" ca="1" si="33"/>
        <v>1484414.8721480514</v>
      </c>
      <c r="N97" s="89">
        <f t="shared" ca="1" si="33"/>
        <v>1659341.4435304706</v>
      </c>
      <c r="O97" s="89">
        <f t="shared" ca="1" si="33"/>
        <v>1909954.3924392862</v>
      </c>
      <c r="P97" s="89">
        <f t="shared" ca="1" si="33"/>
        <v>2132693.9570538956</v>
      </c>
      <c r="Q97" s="89">
        <f t="shared" ca="1" si="33"/>
        <v>382360.67406143551</v>
      </c>
      <c r="R97" s="27"/>
    </row>
    <row r="99" spans="2:18" x14ac:dyDescent="0.3">
      <c r="B99" s="2" t="s">
        <v>156</v>
      </c>
      <c r="E99" s="88">
        <f ca="1">+SUM(G99:Q99)</f>
        <v>13489486.352017447</v>
      </c>
      <c r="G99" s="88">
        <f>+G97</f>
        <v>-840000</v>
      </c>
      <c r="H99" s="88">
        <f t="shared" ref="H99:Q99" ca="1" si="34">+H97</f>
        <v>1586558.8528800001</v>
      </c>
      <c r="I99" s="88">
        <f t="shared" ca="1" si="34"/>
        <v>1360655.5518075014</v>
      </c>
      <c r="J99" s="88">
        <f t="shared" ca="1" si="34"/>
        <v>1214550.262376104</v>
      </c>
      <c r="K99" s="88">
        <f t="shared" ca="1" si="34"/>
        <v>1262818.5226755142</v>
      </c>
      <c r="L99" s="88">
        <f t="shared" ca="1" si="34"/>
        <v>1336137.8230451862</v>
      </c>
      <c r="M99" s="88">
        <f t="shared" ca="1" si="34"/>
        <v>1484414.8721480514</v>
      </c>
      <c r="N99" s="88">
        <f t="shared" ca="1" si="34"/>
        <v>1659341.4435304706</v>
      </c>
      <c r="O99" s="88">
        <f t="shared" ca="1" si="34"/>
        <v>1909954.3924392862</v>
      </c>
      <c r="P99" s="88">
        <f t="shared" ca="1" si="34"/>
        <v>2132693.9570538956</v>
      </c>
      <c r="Q99" s="88">
        <f t="shared" ca="1" si="34"/>
        <v>382360.67406143551</v>
      </c>
    </row>
    <row r="100" spans="2:18" x14ac:dyDescent="0.3">
      <c r="B100" s="2" t="s">
        <v>134</v>
      </c>
      <c r="E100" s="88">
        <f t="shared" ref="E100:E102" ca="1" si="35">+SUM(G100:Q100)</f>
        <v>-1895242.8872930855</v>
      </c>
      <c r="G100" s="88">
        <f>+G74</f>
        <v>-121200000</v>
      </c>
      <c r="H100" s="88">
        <f t="shared" ref="H100:Q100" ca="1" si="36">+H74</f>
        <v>-822744</v>
      </c>
      <c r="I100" s="88">
        <f t="shared" ca="1" si="36"/>
        <v>-845348.4</v>
      </c>
      <c r="J100" s="88">
        <f t="shared" ca="1" si="36"/>
        <v>-918007.74</v>
      </c>
      <c r="K100" s="88">
        <f t="shared" ca="1" si="36"/>
        <v>-946283.83200000017</v>
      </c>
      <c r="L100" s="88">
        <f t="shared" ca="1" si="36"/>
        <v>-969610.35600000015</v>
      </c>
      <c r="M100" s="88">
        <f t="shared" ca="1" si="36"/>
        <v>-972933.02964000008</v>
      </c>
      <c r="N100" s="88">
        <f t="shared" ca="1" si="36"/>
        <v>-978679.72917000018</v>
      </c>
      <c r="O100" s="88">
        <f t="shared" ca="1" si="36"/>
        <v>-919238.77155825018</v>
      </c>
      <c r="P100" s="88">
        <f t="shared" ca="1" si="36"/>
        <v>-873276.83298033755</v>
      </c>
      <c r="Q100" s="88">
        <f t="shared" ca="1" si="36"/>
        <v>127550879.80405551</v>
      </c>
    </row>
    <row r="101" spans="2:18" x14ac:dyDescent="0.3">
      <c r="B101" s="2" t="s">
        <v>144</v>
      </c>
      <c r="E101" s="88">
        <f t="shared" si="35"/>
        <v>0</v>
      </c>
      <c r="G101" s="88">
        <f>+G89</f>
        <v>84000000</v>
      </c>
      <c r="H101" s="88">
        <f t="shared" ref="H101:Q101" si="37">+H89</f>
        <v>-1497728.3272275527</v>
      </c>
      <c r="I101" s="88">
        <f t="shared" si="37"/>
        <v>-1557637.4603166541</v>
      </c>
      <c r="J101" s="88">
        <f t="shared" si="37"/>
        <v>-1619942.9587293204</v>
      </c>
      <c r="K101" s="88">
        <f t="shared" si="37"/>
        <v>-1684740.6770784932</v>
      </c>
      <c r="L101" s="88">
        <f t="shared" si="37"/>
        <v>-1752130.3041616329</v>
      </c>
      <c r="M101" s="88">
        <f t="shared" si="37"/>
        <v>-1822215.5163280985</v>
      </c>
      <c r="N101" s="88">
        <f t="shared" si="37"/>
        <v>-1895104.1369812223</v>
      </c>
      <c r="O101" s="88">
        <f t="shared" si="37"/>
        <v>-1970908.3024604714</v>
      </c>
      <c r="P101" s="88">
        <f t="shared" si="37"/>
        <v>-2049744.63455889</v>
      </c>
      <c r="Q101" s="88">
        <f t="shared" si="37"/>
        <v>-68149847.682157665</v>
      </c>
    </row>
    <row r="102" spans="2:18" x14ac:dyDescent="0.3">
      <c r="B102" s="6" t="s">
        <v>153</v>
      </c>
      <c r="E102" s="89">
        <f t="shared" ca="1" si="35"/>
        <v>11594243.464724362</v>
      </c>
      <c r="F102" s="27"/>
      <c r="G102" s="89">
        <f>+SUM(G99:G101)</f>
        <v>-38040000</v>
      </c>
      <c r="H102" s="89">
        <f t="shared" ref="H102:Q102" ca="1" si="38">+SUM(H99:H101)</f>
        <v>-733913.47434755252</v>
      </c>
      <c r="I102" s="89">
        <f t="shared" ca="1" si="38"/>
        <v>-1042330.3085091527</v>
      </c>
      <c r="J102" s="89">
        <f t="shared" ca="1" si="38"/>
        <v>-1323400.4363532164</v>
      </c>
      <c r="K102" s="89">
        <f t="shared" ca="1" si="38"/>
        <v>-1368205.9864029791</v>
      </c>
      <c r="L102" s="89">
        <f t="shared" ca="1" si="38"/>
        <v>-1385602.8371164468</v>
      </c>
      <c r="M102" s="89">
        <f t="shared" ca="1" si="38"/>
        <v>-1310733.6738200472</v>
      </c>
      <c r="N102" s="89">
        <f t="shared" ca="1" si="38"/>
        <v>-1214442.4226207519</v>
      </c>
      <c r="O102" s="89">
        <f t="shared" ca="1" si="38"/>
        <v>-980192.68157943536</v>
      </c>
      <c r="P102" s="89">
        <f t="shared" ca="1" si="38"/>
        <v>-790327.51048533199</v>
      </c>
      <c r="Q102" s="89">
        <f t="shared" ca="1" si="38"/>
        <v>59783392.795959279</v>
      </c>
      <c r="R102" s="27"/>
    </row>
    <row r="103" spans="2:18" x14ac:dyDescent="0.3">
      <c r="B103" s="6" t="s">
        <v>95</v>
      </c>
      <c r="C103" s="108">
        <f ca="1">+XIRR(G102:Q102,G3:Q3)</f>
        <v>2.4189856648445123E-2</v>
      </c>
    </row>
  </sheetData>
  <mergeCells count="9">
    <mergeCell ref="H2:Q2"/>
    <mergeCell ref="H12:R12"/>
    <mergeCell ref="H22:J22"/>
    <mergeCell ref="K22:O22"/>
    <mergeCell ref="P22:R22"/>
    <mergeCell ref="H32:I32"/>
    <mergeCell ref="J32:L32"/>
    <mergeCell ref="M32:O32"/>
    <mergeCell ref="P32:R3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Assumptions</vt:lpstr>
      <vt:lpstr>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dc:creator>
  <cp:lastModifiedBy>Gabriele</cp:lastModifiedBy>
  <dcterms:created xsi:type="dcterms:W3CDTF">2021-02-16T17:03:47Z</dcterms:created>
  <dcterms:modified xsi:type="dcterms:W3CDTF">2021-02-21T22:28:01Z</dcterms:modified>
</cp:coreProperties>
</file>