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Gabriele\Desktop\"/>
    </mc:Choice>
  </mc:AlternateContent>
  <xr:revisionPtr revIDLastSave="0" documentId="13_ncr:1_{5F8D2237-6C6C-4405-A5B1-FEA15ACAB77D}" xr6:coauthVersionLast="46" xr6:coauthVersionMax="46" xr10:uidLastSave="{00000000-0000-0000-0000-000000000000}"/>
  <bookViews>
    <workbookView xWindow="-110" yWindow="-110" windowWidth="19420" windowHeight="10420" xr2:uid="{39DA48AB-CE77-4058-8B86-1952670BDB4E}"/>
  </bookViews>
  <sheets>
    <sheet name="Assumptions" sheetId="1" r:id="rId1"/>
    <sheet name="Cash Flow" sheetId="2" r:id="rId2"/>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6" i="2" l="1"/>
  <c r="C46" i="2"/>
  <c r="I40" i="2"/>
  <c r="I51" i="2" s="1"/>
  <c r="J40" i="2"/>
  <c r="J51" i="2" s="1"/>
  <c r="H39" i="2"/>
  <c r="H45" i="2" s="1"/>
  <c r="I39" i="2"/>
  <c r="I45" i="2" s="1"/>
  <c r="J39" i="2"/>
  <c r="J45" i="2" s="1"/>
  <c r="K39" i="2"/>
  <c r="K45" i="2" s="1"/>
  <c r="L39" i="2"/>
  <c r="L45" i="2" s="1"/>
  <c r="M39" i="2"/>
  <c r="M45" i="2" s="1"/>
  <c r="D39" i="2"/>
  <c r="C39" i="2"/>
  <c r="H38" i="2"/>
  <c r="I38" i="2"/>
  <c r="J38" i="2"/>
  <c r="K38" i="2"/>
  <c r="L38" i="2"/>
  <c r="G38" i="2"/>
  <c r="C37" i="2"/>
  <c r="H36" i="2"/>
  <c r="H40" i="2" s="1"/>
  <c r="H51" i="2" s="1"/>
  <c r="I36" i="2"/>
  <c r="J36" i="2"/>
  <c r="K36" i="2"/>
  <c r="K40" i="2" s="1"/>
  <c r="K51" i="2" s="1"/>
  <c r="L36" i="2"/>
  <c r="L40" i="2" s="1"/>
  <c r="L51" i="2" s="1"/>
  <c r="M36" i="2"/>
  <c r="C36" i="2"/>
  <c r="J26" i="2"/>
  <c r="K26" i="2"/>
  <c r="N26" i="2"/>
  <c r="G26" i="2"/>
  <c r="I25" i="2"/>
  <c r="N25" i="2"/>
  <c r="D26" i="2"/>
  <c r="D25" i="2"/>
  <c r="C26" i="2"/>
  <c r="C25" i="2"/>
  <c r="H23" i="2"/>
  <c r="H26" i="2" s="1"/>
  <c r="I23" i="2"/>
  <c r="I26" i="2" s="1"/>
  <c r="J23" i="2"/>
  <c r="J25" i="2" s="1"/>
  <c r="K23" i="2"/>
  <c r="K24" i="2" s="1"/>
  <c r="L23" i="2"/>
  <c r="L26" i="2" s="1"/>
  <c r="N23" i="2"/>
  <c r="G23" i="2"/>
  <c r="H24" i="2"/>
  <c r="I24" i="2"/>
  <c r="J24" i="2"/>
  <c r="N24" i="2"/>
  <c r="D24" i="2"/>
  <c r="C24" i="2"/>
  <c r="D23" i="2"/>
  <c r="C23" i="2"/>
  <c r="N21" i="2"/>
  <c r="D21" i="2"/>
  <c r="C21" i="2"/>
  <c r="H20" i="2"/>
  <c r="I20" i="2"/>
  <c r="J20" i="2"/>
  <c r="K20" i="2"/>
  <c r="L20" i="2"/>
  <c r="M20" i="2"/>
  <c r="N20" i="2"/>
  <c r="D19" i="2"/>
  <c r="C19" i="2"/>
  <c r="I18" i="2"/>
  <c r="I19" i="2" s="1"/>
  <c r="J18" i="2"/>
  <c r="J19" i="2" s="1"/>
  <c r="K18" i="2"/>
  <c r="K19" i="2" s="1"/>
  <c r="L18" i="2"/>
  <c r="L19" i="2" s="1"/>
  <c r="M18" i="2"/>
  <c r="M19" i="2" s="1"/>
  <c r="N18" i="2"/>
  <c r="N19" i="2" s="1"/>
  <c r="H18" i="2"/>
  <c r="H19" i="2" s="1"/>
  <c r="D18" i="2"/>
  <c r="C18" i="2"/>
  <c r="G12" i="1"/>
  <c r="G18" i="2" s="1"/>
  <c r="G19" i="2" s="1"/>
  <c r="I4" i="2"/>
  <c r="J4" i="2" s="1"/>
  <c r="H4" i="2"/>
  <c r="H3" i="2"/>
  <c r="I3" i="2"/>
  <c r="J3" i="2"/>
  <c r="K3" i="2"/>
  <c r="L3" i="2"/>
  <c r="M3" i="2"/>
  <c r="N3" i="2"/>
  <c r="G3" i="2"/>
  <c r="J2" i="2"/>
  <c r="K2" i="2" s="1"/>
  <c r="L2" i="2" s="1"/>
  <c r="M2" i="2" s="1"/>
  <c r="N2" i="2" s="1"/>
  <c r="I2" i="2"/>
  <c r="H2" i="2"/>
  <c r="G6" i="1"/>
  <c r="D14" i="2"/>
  <c r="C14" i="2"/>
  <c r="D8" i="2"/>
  <c r="I7" i="2"/>
  <c r="D7" i="2"/>
  <c r="C7" i="2"/>
  <c r="G7" i="2" s="1"/>
  <c r="C16" i="1"/>
  <c r="C21" i="1" s="1"/>
  <c r="C20" i="1"/>
  <c r="C19" i="1"/>
  <c r="C14" i="1"/>
  <c r="E19" i="2" l="1"/>
  <c r="E18" i="2"/>
  <c r="G10" i="1"/>
  <c r="G20" i="2" s="1"/>
  <c r="E20" i="2" s="1"/>
  <c r="L25" i="2"/>
  <c r="H25" i="2"/>
  <c r="L24" i="2"/>
  <c r="K25" i="2"/>
  <c r="G25" i="2"/>
  <c r="N27" i="2"/>
  <c r="G21" i="2"/>
  <c r="G27" i="2" s="1"/>
  <c r="K21" i="2"/>
  <c r="K27" i="2" s="1"/>
  <c r="M21" i="2"/>
  <c r="G24" i="2"/>
  <c r="J7" i="2"/>
  <c r="K4" i="2"/>
  <c r="H7" i="2"/>
  <c r="C27" i="1"/>
  <c r="C8" i="2" s="1"/>
  <c r="H8" i="2" s="1"/>
  <c r="C30" i="1"/>
  <c r="G31" i="2" l="1"/>
  <c r="G50" i="2"/>
  <c r="K31" i="2"/>
  <c r="K50" i="2"/>
  <c r="G8" i="2"/>
  <c r="I8" i="2"/>
  <c r="I9" i="2" s="1"/>
  <c r="J9" i="2"/>
  <c r="H9" i="2"/>
  <c r="J8" i="2"/>
  <c r="I21" i="2"/>
  <c r="I27" i="2" s="1"/>
  <c r="G36" i="2"/>
  <c r="L21" i="2"/>
  <c r="L27" i="2" s="1"/>
  <c r="L31" i="2" s="1"/>
  <c r="H21" i="2"/>
  <c r="H27" i="2" s="1"/>
  <c r="J21" i="2"/>
  <c r="J27" i="2" s="1"/>
  <c r="L50" i="2"/>
  <c r="E21" i="2"/>
  <c r="K8" i="2"/>
  <c r="K7" i="2"/>
  <c r="L4" i="2"/>
  <c r="H14" i="2"/>
  <c r="H15" i="2" s="1"/>
  <c r="H30" i="2" s="1"/>
  <c r="H12" i="2"/>
  <c r="H31" i="2" l="1"/>
  <c r="H32" i="2" s="1"/>
  <c r="H50" i="2"/>
  <c r="J11" i="2"/>
  <c r="J43" i="2"/>
  <c r="I11" i="2"/>
  <c r="I43" i="2"/>
  <c r="I15" i="2"/>
  <c r="I30" i="2" s="1"/>
  <c r="I14" i="2"/>
  <c r="I12" i="2"/>
  <c r="J14" i="2"/>
  <c r="J15" i="2" s="1"/>
  <c r="J30" i="2" s="1"/>
  <c r="J12" i="2"/>
  <c r="G40" i="2"/>
  <c r="E36" i="2"/>
  <c r="H43" i="2"/>
  <c r="H11" i="2"/>
  <c r="G9" i="2"/>
  <c r="J31" i="2"/>
  <c r="J32" i="2" s="1"/>
  <c r="J50" i="2"/>
  <c r="I31" i="2"/>
  <c r="I50" i="2"/>
  <c r="M4" i="2"/>
  <c r="L8" i="2"/>
  <c r="L7" i="2"/>
  <c r="L9" i="2" s="1"/>
  <c r="K9" i="2"/>
  <c r="L43" i="2" l="1"/>
  <c r="L11" i="2"/>
  <c r="G11" i="2"/>
  <c r="K5" i="1" s="1"/>
  <c r="G14" i="2"/>
  <c r="G15" i="2"/>
  <c r="G43" i="2"/>
  <c r="G12" i="2"/>
  <c r="K6" i="1" s="1"/>
  <c r="G51" i="2"/>
  <c r="M38" i="2"/>
  <c r="J37" i="2"/>
  <c r="J44" i="2" s="1"/>
  <c r="G37" i="2"/>
  <c r="K37" i="2"/>
  <c r="K44" i="2" s="1"/>
  <c r="M37" i="2"/>
  <c r="M44" i="2" s="1"/>
  <c r="H37" i="2"/>
  <c r="H44" i="2" s="1"/>
  <c r="H46" i="2" s="1"/>
  <c r="H47" i="2" s="1"/>
  <c r="H49" i="2" s="1"/>
  <c r="H52" i="2" s="1"/>
  <c r="G39" i="2"/>
  <c r="I37" i="2"/>
  <c r="I44" i="2" s="1"/>
  <c r="L37" i="2"/>
  <c r="L44" i="2" s="1"/>
  <c r="I32" i="2"/>
  <c r="K11" i="2"/>
  <c r="K43" i="2"/>
  <c r="L14" i="2"/>
  <c r="L15" i="2" s="1"/>
  <c r="L30" i="2" s="1"/>
  <c r="L32" i="2" s="1"/>
  <c r="L12" i="2"/>
  <c r="K14" i="2"/>
  <c r="K15" i="2" s="1"/>
  <c r="K30" i="2" s="1"/>
  <c r="K32" i="2" s="1"/>
  <c r="K12" i="2"/>
  <c r="M7" i="2"/>
  <c r="N4" i="2"/>
  <c r="M8" i="2"/>
  <c r="G30" i="2" l="1"/>
  <c r="J46" i="2"/>
  <c r="J47" i="2" s="1"/>
  <c r="J49" i="2" s="1"/>
  <c r="J52" i="2" s="1"/>
  <c r="M40" i="2"/>
  <c r="E38" i="2"/>
  <c r="L46" i="2"/>
  <c r="L47" i="2" s="1"/>
  <c r="L49" i="2" s="1"/>
  <c r="L52" i="2" s="1"/>
  <c r="K47" i="2"/>
  <c r="K49" i="2" s="1"/>
  <c r="K52" i="2" s="1"/>
  <c r="K46" i="2"/>
  <c r="I46" i="2"/>
  <c r="I47" i="2" s="1"/>
  <c r="I49" i="2" s="1"/>
  <c r="I52" i="2" s="1"/>
  <c r="E39" i="2"/>
  <c r="G45" i="2"/>
  <c r="E45" i="2" s="1"/>
  <c r="E37" i="2"/>
  <c r="G44" i="2"/>
  <c r="E44" i="2" s="1"/>
  <c r="M9" i="2"/>
  <c r="N7" i="2"/>
  <c r="E7" i="2" s="1"/>
  <c r="N8" i="2"/>
  <c r="E8" i="2" s="1"/>
  <c r="M51" i="2" l="1"/>
  <c r="E51" i="2" s="1"/>
  <c r="E40" i="2"/>
  <c r="M43" i="2"/>
  <c r="M11" i="2"/>
  <c r="G46" i="2"/>
  <c r="G47" i="2"/>
  <c r="G32" i="2"/>
  <c r="N9" i="2"/>
  <c r="M12" i="2"/>
  <c r="M14" i="2"/>
  <c r="M15" i="2" l="1"/>
  <c r="G49" i="2"/>
  <c r="M46" i="2"/>
  <c r="M47" i="2" s="1"/>
  <c r="E43" i="2"/>
  <c r="E46" i="2"/>
  <c r="M23" i="2"/>
  <c r="N11" i="2"/>
  <c r="E9" i="2"/>
  <c r="N12" i="2"/>
  <c r="N14" i="2"/>
  <c r="N15" i="2" s="1"/>
  <c r="M49" i="2" l="1"/>
  <c r="E47" i="2"/>
  <c r="G52" i="2"/>
  <c r="E49" i="2"/>
  <c r="E14" i="2"/>
  <c r="M24" i="2"/>
  <c r="E24" i="2" s="1"/>
  <c r="M26" i="2"/>
  <c r="E26" i="2" s="1"/>
  <c r="M25" i="2"/>
  <c r="E25" i="2" s="1"/>
  <c r="E23" i="2"/>
  <c r="M30" i="2"/>
  <c r="E30" i="2" s="1"/>
  <c r="E15" i="2"/>
  <c r="M27" i="2" l="1"/>
  <c r="M31" i="2" l="1"/>
  <c r="M50" i="2"/>
  <c r="E50" i="2" l="1"/>
  <c r="M52" i="2"/>
  <c r="M32" i="2"/>
  <c r="E31" i="2"/>
  <c r="C53" i="2" l="1"/>
  <c r="K4" i="1" s="1"/>
  <c r="E52" i="2"/>
  <c r="C33" i="2"/>
  <c r="K3" i="1" s="1"/>
  <c r="L10" i="1" s="1"/>
  <c r="E3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Gabriele</author>
  </authors>
  <commentList>
    <comment ref="J2" authorId="0" shapeId="0" xr:uid="{78E40127-A953-418D-8109-BAF9E67B6C36}">
      <text>
        <r>
          <rPr>
            <b/>
            <sz val="9"/>
            <color indexed="81"/>
            <rFont val="Tahoma"/>
            <family val="2"/>
          </rPr>
          <t>Gabriele:</t>
        </r>
        <r>
          <rPr>
            <sz val="9"/>
            <color indexed="81"/>
            <rFont val="Tahoma"/>
            <family val="2"/>
          </rPr>
          <t xml:space="preserve">
These are the main investment indicators that investment companies rely on make investment decisions.
IRR an NOI Yield complement each other in assessing investment return by:
- Presenting returns throughout the project timeline(IRR) and in one specific year (NOI Yield on Cost)
-Assessing and monitoring individual year's performance (in tandem with the whole investment holding period) by looking at a specific year's performance(NOI yield on Cost)
- Giving a good gauge if a company overpays for the investment at the beggining (NOI Yield on Cost)
- Taking into account time value of money(IRR)</t>
        </r>
      </text>
    </comment>
    <comment ref="K2" authorId="0" shapeId="0" xr:uid="{CBE54007-1379-4FE7-A2F4-45610E286371}">
      <text>
        <r>
          <rPr>
            <b/>
            <sz val="9"/>
            <color indexed="81"/>
            <rFont val="Tahoma"/>
            <charset val="1"/>
          </rPr>
          <t>Gabriele:</t>
        </r>
        <r>
          <rPr>
            <sz val="9"/>
            <color indexed="81"/>
            <rFont val="Tahoma"/>
            <charset val="1"/>
          </rPr>
          <t xml:space="preserve">
</t>
        </r>
        <r>
          <rPr>
            <b/>
            <sz val="9"/>
            <color indexed="81"/>
            <rFont val="Tahoma"/>
            <family val="2"/>
          </rPr>
          <t xml:space="preserve">Hurdle Rates
</t>
        </r>
        <r>
          <rPr>
            <sz val="9"/>
            <color indexed="81"/>
            <rFont val="Tahoma"/>
            <family val="2"/>
          </rPr>
          <t xml:space="preserve">Vary across Real Estate companies and investment deals. They largely depend on:
- The risk level of the country's economy and business environment. Investments in developing countries such as Indonesia and Vietnam will requiere &gt; returns than developed countries such as Singapore and US.
-Company's cost of capital (including bank loan's interest rate and cost of equity). If interest rate is 10%, the requiered returns should be above it.
- Returns of long-term government bond yields (or 'risk free' of country) serve as minimum requiered rate of return.
- Specific deal risk(investment proprieties or development projects) and specific type of assets (commercial, residential, hospitality, logistics). &gt; is the risk &gt; requiered returns.
</t>
        </r>
      </text>
    </comment>
    <comment ref="J3" authorId="0" shapeId="0" xr:uid="{27639F84-C6B1-4852-9919-F41EE87A1620}">
      <text>
        <r>
          <rPr>
            <b/>
            <sz val="9"/>
            <color indexed="81"/>
            <rFont val="Tahoma"/>
            <family val="2"/>
          </rPr>
          <t>Gabriele:</t>
        </r>
        <r>
          <rPr>
            <sz val="9"/>
            <color indexed="81"/>
            <rFont val="Tahoma"/>
            <family val="2"/>
          </rPr>
          <t xml:space="preserve">
If levered IRR is &gt; than Unlevered IRR, there is a positive leverage. General rule for positive Leverage:
</t>
        </r>
        <r>
          <rPr>
            <b/>
            <sz val="9"/>
            <color indexed="81"/>
            <rFont val="Tahoma"/>
            <family val="2"/>
          </rPr>
          <t>Unlevered IRR &gt; Interest Rate</t>
        </r>
        <r>
          <rPr>
            <sz val="9"/>
            <color indexed="81"/>
            <rFont val="Tahoma"/>
            <family val="2"/>
          </rPr>
          <t xml:space="preserve">
</t>
        </r>
      </text>
    </comment>
    <comment ref="J5" authorId="0" shapeId="0" xr:uid="{D3784F15-8584-4893-A1AE-9152763532D4}">
      <text>
        <r>
          <rPr>
            <b/>
            <sz val="9"/>
            <color indexed="81"/>
            <rFont val="Tahoma"/>
            <family val="2"/>
          </rPr>
          <t>Gabriele:</t>
        </r>
        <r>
          <rPr>
            <sz val="9"/>
            <color indexed="81"/>
            <rFont val="Tahoma"/>
            <family val="2"/>
          </rPr>
          <t xml:space="preserve">
For hypothetical office investment in Singapore, the project's Unlevered IRR is 5.7% and levered IRR is 9.7%. 
By comparing the Unlevered IRR of 5.7% with the range of requiered returns for Singapore office investments of 5%-7%, coupled with the achieved average NOI Yield on Cost for thefirst 5 years of 3.6% which is in line with the typical requiered yield of 3-4% for Singapore office market, it is concluded that this investment has achieved a reasonable return for investors.</t>
        </r>
      </text>
    </comment>
    <comment ref="F9" authorId="0" shapeId="0" xr:uid="{3E678F13-6A88-43EA-B5DC-549DED0143D7}">
      <text>
        <r>
          <rPr>
            <b/>
            <sz val="9"/>
            <color indexed="81"/>
            <rFont val="Tahoma"/>
            <family val="2"/>
          </rPr>
          <t>Gabriele:</t>
        </r>
        <r>
          <rPr>
            <sz val="9"/>
            <color indexed="81"/>
            <rFont val="Tahoma"/>
            <family val="2"/>
          </rPr>
          <t xml:space="preserve">
List of tax payable for transactions can be found online.</t>
        </r>
      </text>
    </comment>
    <comment ref="F10" authorId="0" shapeId="0" xr:uid="{2DADFA25-EA14-4859-8457-4B105E951625}">
      <text>
        <r>
          <rPr>
            <b/>
            <sz val="9"/>
            <color indexed="81"/>
            <rFont val="Tahoma"/>
            <family val="2"/>
          </rPr>
          <t>Gabriele:</t>
        </r>
        <r>
          <rPr>
            <sz val="9"/>
            <color indexed="81"/>
            <rFont val="Tahoma"/>
            <family val="2"/>
          </rPr>
          <t xml:space="preserve">
generally between 0,5%-1,0% of purchase price.
Example important to know the vendor's background or verify property's land title.</t>
        </r>
      </text>
    </comment>
    <comment ref="F11" authorId="0" shapeId="0" xr:uid="{1E71DAC7-DFC7-4851-B432-04105E0DD778}">
      <text>
        <r>
          <rPr>
            <b/>
            <sz val="9"/>
            <color indexed="81"/>
            <rFont val="Tahoma"/>
            <family val="2"/>
          </rPr>
          <t>Gabriele:</t>
        </r>
        <r>
          <rPr>
            <sz val="9"/>
            <color indexed="81"/>
            <rFont val="Tahoma"/>
            <family val="2"/>
          </rPr>
          <t xml:space="preserve">
Usually the price offered by the seller or what the buyer is willing to pay (A</t>
        </r>
        <r>
          <rPr>
            <i/>
            <sz val="9"/>
            <color indexed="81"/>
            <rFont val="Tahoma"/>
            <family val="2"/>
          </rPr>
          <t xml:space="preserve">cquisition Price) </t>
        </r>
        <r>
          <rPr>
            <sz val="9"/>
            <color indexed="81"/>
            <rFont val="Tahoma"/>
            <family val="2"/>
          </rPr>
          <t>will be different from the market valuation (</t>
        </r>
        <r>
          <rPr>
            <i/>
            <sz val="9"/>
            <color indexed="81"/>
            <rFont val="Tahoma"/>
            <family val="2"/>
          </rPr>
          <t>Valuation</t>
        </r>
        <r>
          <rPr>
            <sz val="9"/>
            <color indexed="81"/>
            <rFont val="Tahoma"/>
            <family val="2"/>
          </rPr>
          <t xml:space="preserve">) of an asset. This is because each investor would have their own perception value; however, price should not deviate too much from the market valuation, e.g. a buyer should not overpay for an asset and a seller should not try to sell at unrealistic asking prices.
A property can be valued based on 3 main methods:
- DCF approach
- Direct Comparison approach
- Market Capitalization approach
</t>
        </r>
        <r>
          <rPr>
            <b/>
            <sz val="9"/>
            <color indexed="81"/>
            <rFont val="Tahoma"/>
            <family val="2"/>
          </rPr>
          <t xml:space="preserve">Market Capitalization approach
Property Value = 12 months of NOI / Cap Rate
</t>
        </r>
        <r>
          <rPr>
            <sz val="9"/>
            <color indexed="81"/>
            <rFont val="Tahoma"/>
            <family val="2"/>
          </rPr>
          <t xml:space="preserve">Unlike rents, cap rate is not always available in research reports and also because it can be subjective. 
The best way to estimate cap rate:
1. Compile a list of transacted building prices to derive average market price.
2. Estimate the market NOI (make sure the rent used suits the property type of transacted building used)
3. Market Cap Rate = Estimated Market NOI / Average Market Price
Facts collected from market research:
- Average Grade A office market rent in Singapore in 2017: 8-12$ psf NLA which give average of 10$ psf NLA
- Grade A office building sold for: 2.200, 2.500 and 2.700 psf GFA in 2017, average 2.467$ psf GFA
Assumptions:
- Assume a GFA of 1.000.000 sf and NLA of 900.000 (efficiency rate=90%)
- Assume operating margin of 85% which gives an operating expense of [(1-85%)*(10*900.000)]/1.000.000=1,35 psf GFA
- Assume 100% occupancy rate
Hence,
Market NOI = Rent - Operating Expenses = (10*900.000*12 months*100% occ rate) - (1,35*1.000.000*12 months) = 91.800.000
Market Price = 2.467 * 1.000.000 sf GFA = 2.467.000.000
Market Cap Rate = 91.800.000 / 2.467.000.000 = 3,7%
3,7% is not unrealistic because our entry NOI Yield = 3,4%. Indicating that the input price in our model is reasonable to market standards
</t>
        </r>
      </text>
    </comment>
    <comment ref="B13" authorId="0" shapeId="0" xr:uid="{CD361091-F8FE-4A7E-8206-746D19A0A672}">
      <text>
        <r>
          <rPr>
            <b/>
            <sz val="9"/>
            <color indexed="81"/>
            <rFont val="Tahoma"/>
            <charset val="1"/>
          </rPr>
          <t>Gabriele:</t>
        </r>
        <r>
          <rPr>
            <sz val="9"/>
            <color indexed="81"/>
            <rFont val="Tahoma"/>
            <charset val="1"/>
          </rPr>
          <t xml:space="preserve">
Essentially, the plot ratio is the total gross floor area of the building, divided by the size of the area on which that building has been built. For a simplified example: that means if there's a plot ratio of 1:10, a 1,000 sq ft plot could be developed into 10,000 sq ft of floor space</t>
        </r>
      </text>
    </comment>
    <comment ref="F13" authorId="0" shapeId="0" xr:uid="{6DA34A25-A6B3-4ACA-94FD-FDFC9F8A3331}">
      <text>
        <r>
          <rPr>
            <b/>
            <sz val="9"/>
            <color indexed="81"/>
            <rFont val="Tahoma"/>
            <family val="2"/>
          </rPr>
          <t>Gabriele:</t>
        </r>
        <r>
          <rPr>
            <sz val="9"/>
            <color indexed="81"/>
            <rFont val="Tahoma"/>
            <family val="2"/>
          </rPr>
          <t xml:space="preserve">
Not recurring expense. Examples: upgrades of building's equipments, lift systems, expansion of parking basement, etc. 
Generally 0,1% to 0,4%. The older the property is, the higher the capex budget should be.</t>
        </r>
      </text>
    </comment>
    <comment ref="B14" authorId="0" shapeId="0" xr:uid="{98085E29-3590-485F-95D3-56FB07F8113E}">
      <text>
        <r>
          <rPr>
            <b/>
            <sz val="9"/>
            <color indexed="81"/>
            <rFont val="Tahoma"/>
            <family val="2"/>
          </rPr>
          <t>Gabriele:</t>
        </r>
        <r>
          <rPr>
            <sz val="9"/>
            <color indexed="81"/>
            <rFont val="Tahoma"/>
            <family val="2"/>
          </rPr>
          <t xml:space="preserve">
GFA:  Is the total floor area of a building, including external walls.
</t>
        </r>
      </text>
    </comment>
    <comment ref="B15" authorId="0" shapeId="0" xr:uid="{AE252E8F-F8B7-4FEC-BED6-53F859CF5241}">
      <text>
        <r>
          <rPr>
            <b/>
            <sz val="9"/>
            <color indexed="81"/>
            <rFont val="Tahoma"/>
            <family val="2"/>
          </rPr>
          <t>Gabriele:</t>
        </r>
        <r>
          <rPr>
            <sz val="9"/>
            <color indexed="81"/>
            <rFont val="Tahoma"/>
            <family val="2"/>
          </rPr>
          <t xml:space="preserve">
For the purpose of estimating NLA, we usually assume an efficiency rate to derive NLA from GFA. A quick general guide will be between </t>
        </r>
        <r>
          <rPr>
            <b/>
            <sz val="9"/>
            <color indexed="81"/>
            <rFont val="Tahoma"/>
            <family val="2"/>
          </rPr>
          <t xml:space="preserve">70-90%. </t>
        </r>
        <r>
          <rPr>
            <sz val="9"/>
            <color indexed="81"/>
            <rFont val="Tahoma"/>
            <family val="2"/>
          </rPr>
          <t>Office properties tend to have a higher efficiency rate followed by logistics, industrial and retail malls.</t>
        </r>
      </text>
    </comment>
    <comment ref="B16" authorId="0" shapeId="0" xr:uid="{E570DC0D-E8B9-4E1C-B3B0-C9B36C3B7A3F}">
      <text>
        <r>
          <rPr>
            <b/>
            <sz val="9"/>
            <color indexed="81"/>
            <rFont val="Tahoma"/>
            <family val="2"/>
          </rPr>
          <t>Gabriele:</t>
        </r>
        <r>
          <rPr>
            <sz val="9"/>
            <color indexed="81"/>
            <rFont val="Tahoma"/>
            <family val="2"/>
          </rPr>
          <t xml:space="preserve">
NLA: Indicate how much floor area can be leased to tenants. Es. Exclude lift corridors, building reception areas or common toilets</t>
        </r>
      </text>
    </comment>
    <comment ref="F16" authorId="0" shapeId="0" xr:uid="{8F66CAF0-7F76-4133-A47D-5A16043C2411}">
      <text>
        <r>
          <rPr>
            <b/>
            <sz val="9"/>
            <color indexed="81"/>
            <rFont val="Tahoma"/>
            <family val="2"/>
          </rPr>
          <t>Gabriele:</t>
        </r>
        <r>
          <rPr>
            <sz val="9"/>
            <color indexed="81"/>
            <rFont val="Tahoma"/>
            <family val="2"/>
          </rPr>
          <t xml:space="preserve">
Take as reference the NOI Yield in Year 1. To be conservative we can add 0,1-0,5% above the entry and to be agressive we can decrese them.</t>
        </r>
      </text>
    </comment>
    <comment ref="F17" authorId="0" shapeId="0" xr:uid="{E0ABCB9A-3F45-4C0D-AF16-0554DB78A6CF}">
      <text>
        <r>
          <rPr>
            <b/>
            <sz val="9"/>
            <color indexed="81"/>
            <rFont val="Tahoma"/>
            <family val="2"/>
          </rPr>
          <t>Gabriele:</t>
        </r>
        <r>
          <rPr>
            <sz val="9"/>
            <color indexed="81"/>
            <rFont val="Tahoma"/>
            <family val="2"/>
          </rPr>
          <t xml:space="preserve">
Cost to pay to a broker. Usually range between 1%-2% of disinvestment price</t>
        </r>
      </text>
    </comment>
    <comment ref="F18" authorId="0" shapeId="0" xr:uid="{A4E71817-94A7-485D-8D91-5DD6663977E3}">
      <text>
        <r>
          <rPr>
            <b/>
            <sz val="9"/>
            <color indexed="81"/>
            <rFont val="Tahoma"/>
            <family val="2"/>
          </rPr>
          <t>Gabriele:</t>
        </r>
        <r>
          <rPr>
            <sz val="9"/>
            <color indexed="81"/>
            <rFont val="Tahoma"/>
            <family val="2"/>
          </rPr>
          <t xml:space="preserve">
This information is readily available online because the bi 4 (PwC,EY,KPMG and Deloitte) always update their tax guide every year for different regions.
Singapore, to date, does not charge any tax for selling office properties or companies shares.</t>
        </r>
      </text>
    </comment>
    <comment ref="B24" authorId="0" shapeId="0" xr:uid="{903101C8-3A34-4D3C-8CA0-B74FFAC8BE3F}">
      <text>
        <r>
          <rPr>
            <b/>
            <sz val="9"/>
            <color indexed="81"/>
            <rFont val="Tahoma"/>
            <family val="2"/>
          </rPr>
          <t>Gabriele:</t>
        </r>
        <r>
          <rPr>
            <sz val="9"/>
            <color indexed="81"/>
            <rFont val="Tahoma"/>
            <family val="2"/>
          </rPr>
          <t xml:space="preserve">
In order to identify a reasonable rent to assume for the model, we can study real estate market research reports.
Top property consultancy firms:
- CBRE
- Jones Lang LaSalle
- Cushman and Wakefield
- Colliers
- Knight Frank
Es. To find office rents in Singapore: "singapore office market 2018 CBRE research" or download report from website.
</t>
        </r>
        <r>
          <rPr>
            <b/>
            <sz val="9"/>
            <color indexed="81"/>
            <rFont val="Tahoma"/>
            <family val="2"/>
          </rPr>
          <t>Extract the right Data</t>
        </r>
        <r>
          <rPr>
            <sz val="9"/>
            <color indexed="81"/>
            <rFont val="Tahoma"/>
            <family val="2"/>
          </rPr>
          <t xml:space="preserve">: The main goal is to find rental comparables for the asset we are acquiring.
3 key indicators are:
a) </t>
        </r>
        <r>
          <rPr>
            <b/>
            <sz val="9"/>
            <color indexed="81"/>
            <rFont val="Tahoma"/>
            <family val="2"/>
          </rPr>
          <t>Type</t>
        </r>
        <r>
          <rPr>
            <sz val="9"/>
            <color indexed="81"/>
            <rFont val="Tahoma"/>
            <family val="2"/>
          </rPr>
          <t>: Office, Retail Mall, Warehouse
b)</t>
        </r>
        <r>
          <rPr>
            <b/>
            <sz val="9"/>
            <color indexed="81"/>
            <rFont val="Tahoma"/>
            <family val="2"/>
          </rPr>
          <t xml:space="preserve"> Specification</t>
        </r>
        <r>
          <rPr>
            <sz val="9"/>
            <color indexed="81"/>
            <rFont val="Tahoma"/>
            <family val="2"/>
          </rPr>
          <t xml:space="preserve">: Office (grade A,grade B); Retail mall(high-end, mid-end)
c) </t>
        </r>
        <r>
          <rPr>
            <b/>
            <sz val="9"/>
            <color indexed="81"/>
            <rFont val="Tahoma"/>
            <family val="2"/>
          </rPr>
          <t>Location</t>
        </r>
        <r>
          <rPr>
            <sz val="9"/>
            <color indexed="81"/>
            <rFont val="Tahoma"/>
            <family val="2"/>
          </rPr>
          <t xml:space="preserve">: Office(CBD,non-CBD); Retail mall(central,fringe, suburban);Warehouse(near ports, near cities)
</t>
        </r>
        <r>
          <rPr>
            <b/>
            <sz val="9"/>
            <color indexed="81"/>
            <rFont val="Tahoma"/>
            <family val="2"/>
          </rPr>
          <t xml:space="preserve">Gross Rent (include service charge) vs. Net Rent (rent without service charge) in the lst case we have to search and include alse the service charge
</t>
        </r>
      </text>
    </comment>
    <comment ref="F24" authorId="0" shapeId="0" xr:uid="{09626736-7738-4C6C-9DF0-660F19D037BB}">
      <text>
        <r>
          <rPr>
            <b/>
            <sz val="9"/>
            <color indexed="81"/>
            <rFont val="Tahoma"/>
            <family val="2"/>
          </rPr>
          <t>Gabriele:</t>
        </r>
        <r>
          <rPr>
            <sz val="9"/>
            <color indexed="81"/>
            <rFont val="Tahoma"/>
            <family val="2"/>
          </rPr>
          <t xml:space="preserve">
Typical loan to value ratio will be between 50-70%. Different banks offer different loan terms but in general it includes mainly the purchase price and any acquisiton cost such as aquisition tax</t>
        </r>
      </text>
    </comment>
    <comment ref="B25" authorId="0" shapeId="0" xr:uid="{583325D6-C259-46E9-9761-67E2C61FE8CB}">
      <text>
        <r>
          <rPr>
            <b/>
            <sz val="9"/>
            <color indexed="81"/>
            <rFont val="Tahoma"/>
            <family val="2"/>
          </rPr>
          <t>Gabriele:</t>
        </r>
        <r>
          <rPr>
            <sz val="9"/>
            <color indexed="81"/>
            <rFont val="Tahoma"/>
            <family val="2"/>
          </rPr>
          <t xml:space="preserve">
How tenancy schedule is arranged varies among different property types, country practice, etc. However for simplicity, the model assumes a fixed rent growth every year. </t>
        </r>
        <r>
          <rPr>
            <b/>
            <sz val="9"/>
            <color indexed="81"/>
            <rFont val="Tahoma"/>
            <family val="2"/>
          </rPr>
          <t>Rent growth should not be higher than the country's CPI or Real GDP Growth for conservative modelling.</t>
        </r>
      </text>
    </comment>
    <comment ref="F25" authorId="0" shapeId="0" xr:uid="{EE034874-867D-4BBC-B8FB-1FABF8B64409}">
      <text>
        <r>
          <rPr>
            <b/>
            <sz val="9"/>
            <color indexed="81"/>
            <rFont val="Tahoma"/>
            <family val="2"/>
          </rPr>
          <t>Gabriele:</t>
        </r>
        <r>
          <rPr>
            <sz val="9"/>
            <color indexed="81"/>
            <rFont val="Tahoma"/>
            <family val="2"/>
          </rPr>
          <t xml:space="preserve">
Investment properties typically use bullet loans rather than amortising loans. For Bullet loans, borrower pays only interest expense without any principal payment. The full principal payment will only be paid when loan tenure ends or when the property is sold.</t>
        </r>
      </text>
    </comment>
    <comment ref="F26" authorId="0" shapeId="0" xr:uid="{6643853D-C74D-4C44-8DB3-B495C1125859}">
      <text>
        <r>
          <rPr>
            <b/>
            <sz val="9"/>
            <color indexed="81"/>
            <rFont val="Tahoma"/>
            <family val="2"/>
          </rPr>
          <t>Gabriele:</t>
        </r>
        <r>
          <rPr>
            <sz val="9"/>
            <color indexed="81"/>
            <rFont val="Tahoma"/>
            <family val="2"/>
          </rPr>
          <t xml:space="preserve">
To estimate interest rates, the best way will be to look at listed property companies' annual reports. There will be informations on how much borrowings and finance costs the companies are taking on. Pick up 3-5 companies that invest in the same property sector and calculate a simple average of their financing costs.</t>
        </r>
      </text>
    </comment>
    <comment ref="B27" authorId="0" shapeId="0" xr:uid="{1A20ACF7-597C-4463-A974-F15A51B2DD2D}">
      <text>
        <r>
          <rPr>
            <b/>
            <sz val="9"/>
            <color indexed="81"/>
            <rFont val="Tahoma"/>
            <family val="2"/>
          </rPr>
          <t>Gabriele:</t>
        </r>
        <r>
          <rPr>
            <sz val="9"/>
            <color indexed="81"/>
            <rFont val="Tahoma"/>
            <family val="2"/>
          </rPr>
          <t xml:space="preserve">
This should only cover property-related costs such as property tax, property insurance, property insurance, property maintenance, etc. 
If we do not have information on the list of expenses, the best way to estimate will be to adopt a margin instead from the revenues.
A range of Operating Margin for property type are:
Office : 70-85%
Retail: 60-75%
Logistics/Industrial: 75-90%
Serviced Apartment/Hotel: 50-70%
</t>
        </r>
        <r>
          <rPr>
            <b/>
            <sz val="9"/>
            <color indexed="81"/>
            <rFont val="Tahoma"/>
            <family val="2"/>
          </rPr>
          <t xml:space="preserve">Operating Expense = [(1- Operating Margin)*(Rent * NLA)]/GFA
</t>
        </r>
        <r>
          <rPr>
            <sz val="9"/>
            <color indexed="81"/>
            <rFont val="Tahoma"/>
            <family val="2"/>
          </rPr>
          <t>Note that rent is based on psf NLA basis, while operating expense is based on psf GFA basis because maintenance cost cover also common areas.</t>
        </r>
      </text>
    </comment>
    <comment ref="F27" authorId="0" shapeId="0" xr:uid="{CBE3575A-D417-47ED-988F-30BC089963A6}">
      <text>
        <r>
          <rPr>
            <b/>
            <sz val="9"/>
            <color indexed="81"/>
            <rFont val="Tahoma"/>
            <family val="2"/>
          </rPr>
          <t>Gabriele:</t>
        </r>
        <r>
          <rPr>
            <sz val="9"/>
            <color indexed="81"/>
            <rFont val="Tahoma"/>
            <family val="2"/>
          </rPr>
          <t xml:space="preserve">
There is usually an origination or structuring fee when companies take loans from banks. This should range between 1%-3% of the total loan amount drawn.
However, the above assumes that the loan tenure is longer than the investment holding period. If the loan tenure is shorter, let's say 5 years and the investment holding period is 10 years, there will be a need to assume a refinancing loan. In this case, there sould be 2 sub-sections under the Financing Cash Flow. </t>
        </r>
      </text>
    </comment>
    <comment ref="B29" authorId="0" shapeId="0" xr:uid="{04277C15-0549-4F7D-983A-70048EB1BC16}">
      <text>
        <r>
          <rPr>
            <b/>
            <sz val="9"/>
            <color indexed="81"/>
            <rFont val="Tahoma"/>
            <family val="2"/>
          </rPr>
          <t>Gabriele:</t>
        </r>
        <r>
          <rPr>
            <sz val="9"/>
            <color indexed="81"/>
            <rFont val="Tahoma"/>
            <family val="2"/>
          </rPr>
          <t xml:space="preserve">
In order to estimate the occupancy rates we can reading market reports</t>
        </r>
      </text>
    </comment>
    <comment ref="B31" authorId="0" shapeId="0" xr:uid="{C0B00FA7-4D8D-4D04-AF54-74D3AD30D920}">
      <text>
        <r>
          <rPr>
            <b/>
            <sz val="9"/>
            <color indexed="81"/>
            <rFont val="Tahoma"/>
            <family val="2"/>
          </rPr>
          <t>Gabriele:</t>
        </r>
        <r>
          <rPr>
            <sz val="9"/>
            <color indexed="81"/>
            <rFont val="Tahoma"/>
            <family val="2"/>
          </rPr>
          <t xml:space="preserve">
Tax rate will differ by countries.</t>
        </r>
      </text>
    </comment>
  </commentList>
</comments>
</file>

<file path=xl/sharedStrings.xml><?xml version="1.0" encoding="utf-8"?>
<sst xmlns="http://schemas.openxmlformats.org/spreadsheetml/2006/main" count="127" uniqueCount="89">
  <si>
    <t>ASSUMPTIONS</t>
  </si>
  <si>
    <t>Project Details</t>
  </si>
  <si>
    <t>Property Name</t>
  </si>
  <si>
    <t>Ownership Stake</t>
  </si>
  <si>
    <t>Country</t>
  </si>
  <si>
    <t>Building Type</t>
  </si>
  <si>
    <t>Address</t>
  </si>
  <si>
    <t>Sqm to SF</t>
  </si>
  <si>
    <t>in sqm</t>
  </si>
  <si>
    <t>Land Area</t>
  </si>
  <si>
    <t>Plot Ratio</t>
  </si>
  <si>
    <t>GFA</t>
  </si>
  <si>
    <t>Efficiency</t>
  </si>
  <si>
    <t>NLA</t>
  </si>
  <si>
    <t>in sf</t>
  </si>
  <si>
    <t>Operation</t>
  </si>
  <si>
    <t>Rent (in 2018)</t>
  </si>
  <si>
    <t>Rent Growth</t>
  </si>
  <si>
    <t>Operating Margin</t>
  </si>
  <si>
    <t>Operating Expense</t>
  </si>
  <si>
    <t>Inflation for Expenses</t>
  </si>
  <si>
    <t>Occupancy Rate</t>
  </si>
  <si>
    <t>Occupied NLA</t>
  </si>
  <si>
    <t>Corporate Income Tax</t>
  </si>
  <si>
    <t>Investment Timeline</t>
  </si>
  <si>
    <t>Acquisition Date</t>
  </si>
  <si>
    <t>Holding Period</t>
  </si>
  <si>
    <t>Exit Date</t>
  </si>
  <si>
    <t>Acquisition</t>
  </si>
  <si>
    <t>Acquisition Tax</t>
  </si>
  <si>
    <t>Due Dilligence</t>
  </si>
  <si>
    <t>Purchase Price</t>
  </si>
  <si>
    <t>Capital Expenditure</t>
  </si>
  <si>
    <t>Exit</t>
  </si>
  <si>
    <t>Exit Cap Rate</t>
  </si>
  <si>
    <t>Divestment Cost</t>
  </si>
  <si>
    <t>Sale Tax</t>
  </si>
  <si>
    <t>Capital Gain Tax</t>
  </si>
  <si>
    <t>Debt Financing</t>
  </si>
  <si>
    <t>Loan to Value Ratio</t>
  </si>
  <si>
    <t>Loan Type</t>
  </si>
  <si>
    <t>Interest Rate</t>
  </si>
  <si>
    <t>Loan Structuring Fee</t>
  </si>
  <si>
    <t>Project Prelude</t>
  </si>
  <si>
    <t>Singapore</t>
  </si>
  <si>
    <t>Grade A Office</t>
  </si>
  <si>
    <t>Raffles Place</t>
  </si>
  <si>
    <t>sqm</t>
  </si>
  <si>
    <t>sf</t>
  </si>
  <si>
    <t>SGD psf NLA</t>
  </si>
  <si>
    <t>p.a.</t>
  </si>
  <si>
    <t>of Net Income</t>
  </si>
  <si>
    <t>Date</t>
  </si>
  <si>
    <t>Year</t>
  </si>
  <si>
    <t>Holding Period (year)</t>
  </si>
  <si>
    <t>Unlevered Operating Cash Flow</t>
  </si>
  <si>
    <t>Rental Revenues</t>
  </si>
  <si>
    <t>Operating Expenses</t>
  </si>
  <si>
    <t>SGD psf GFA</t>
  </si>
  <si>
    <t>Net Operating Income</t>
  </si>
  <si>
    <t>NOI Yield on Cost</t>
  </si>
  <si>
    <t>NOI Margin</t>
  </si>
  <si>
    <t>Net Income</t>
  </si>
  <si>
    <t>years</t>
  </si>
  <si>
    <t>of Purchase Price</t>
  </si>
  <si>
    <t>SGD</t>
  </si>
  <si>
    <t>of Sale Price</t>
  </si>
  <si>
    <t>Investing Cash Flow</t>
  </si>
  <si>
    <t>Acquisition Price</t>
  </si>
  <si>
    <t>Divestment Price</t>
  </si>
  <si>
    <t>Unlevered Cash Flow</t>
  </si>
  <si>
    <t>Unlevered IRR</t>
  </si>
  <si>
    <t>Bullet Loan</t>
  </si>
  <si>
    <t>of Loan Drawn</t>
  </si>
  <si>
    <t>Financing Cash Flow</t>
  </si>
  <si>
    <t>Loan Drawdown</t>
  </si>
  <si>
    <t>LTV</t>
  </si>
  <si>
    <t>Interst Expense</t>
  </si>
  <si>
    <t>Loan Repayment</t>
  </si>
  <si>
    <t>Levered Cash Flow</t>
  </si>
  <si>
    <t>Interest Expense</t>
  </si>
  <si>
    <t>Levered Operating Cash Flow</t>
  </si>
  <si>
    <t>Levered IRR</t>
  </si>
  <si>
    <t>RETURN INDICATORS</t>
  </si>
  <si>
    <t>Entry NOI Yield</t>
  </si>
  <si>
    <t>Entry NOI Margin</t>
  </si>
  <si>
    <t>SENSITIVITY ANALYSIS</t>
  </si>
  <si>
    <t>Rental (SGD per NLA)</t>
  </si>
  <si>
    <t>Acquisition Price (SGD psf GFA)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</si>
</sst>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 _€_-;\-* #,##0\ _€_-;_-* &quot;-&quot;??\ _€_-;_-@_-"/>
    <numFmt numFmtId="165" formatCode="#,##0\ _€;[Red]\-#,##0\ _€"/>
    <numFmt numFmtId="166" formatCode="[$-409]d\-mmm\-yy;@"/>
    <numFmt numFmtId="167" formatCode="0.0%"/>
    <numFmt numFmtId="168" formatCode="0.0"/>
  </numFmts>
  <fonts count="14" x14ac:knownFonts="1">
    <font>
      <sz val="11"/>
      <color theme="1"/>
      <name val="Calibri"/>
      <family val="2"/>
      <scheme val="minor"/>
    </font>
    <font>
      <sz val="11"/>
      <color theme="1"/>
      <name val="Calibri"/>
      <family val="2"/>
      <scheme val="minor"/>
    </font>
    <font>
      <sz val="11"/>
      <color theme="1"/>
      <name val="Arial"/>
      <family val="2"/>
    </font>
    <font>
      <b/>
      <sz val="11"/>
      <color theme="1"/>
      <name val="Arial"/>
      <family val="2"/>
    </font>
    <font>
      <sz val="11"/>
      <color theme="0"/>
      <name val="Arial"/>
      <family val="2"/>
    </font>
    <font>
      <sz val="11"/>
      <color theme="4"/>
      <name val="Arial"/>
      <family val="2"/>
    </font>
    <font>
      <sz val="9"/>
      <color indexed="81"/>
      <name val="Tahoma"/>
      <family val="2"/>
    </font>
    <font>
      <b/>
      <sz val="9"/>
      <color indexed="81"/>
      <name val="Tahoma"/>
      <family val="2"/>
    </font>
    <font>
      <sz val="9"/>
      <color indexed="81"/>
      <name val="Tahoma"/>
      <charset val="1"/>
    </font>
    <font>
      <b/>
      <sz val="9"/>
      <color indexed="81"/>
      <name val="Tahoma"/>
      <charset val="1"/>
    </font>
    <font>
      <sz val="8"/>
      <name val="Calibri"/>
      <family val="2"/>
      <scheme val="minor"/>
    </font>
    <font>
      <i/>
      <sz val="11"/>
      <color theme="1"/>
      <name val="Arial"/>
      <family val="2"/>
    </font>
    <font>
      <i/>
      <sz val="9"/>
      <color indexed="81"/>
      <name val="Tahoma"/>
      <family val="2"/>
    </font>
    <font>
      <b/>
      <sz val="11"/>
      <name val="Arial"/>
      <family val="2"/>
    </font>
  </fonts>
  <fills count="6">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rgb="FFFFC000"/>
        <bgColor indexed="64"/>
      </patternFill>
    </fill>
    <fill>
      <patternFill patternType="solid">
        <fgColor theme="9" tint="0.39997558519241921"/>
        <bgColor indexed="64"/>
      </patternFill>
    </fill>
  </fills>
  <borders count="22">
    <border>
      <left/>
      <right/>
      <top/>
      <bottom/>
      <diagonal/>
    </border>
    <border>
      <left/>
      <right/>
      <top style="thin">
        <color indexed="64"/>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9" fontId="1" fillId="0" borderId="0" applyFont="0" applyFill="0" applyBorder="0" applyAlignment="0" applyProtection="0"/>
  </cellStyleXfs>
  <cellXfs count="109">
    <xf numFmtId="0" fontId="0" fillId="0" borderId="0" xfId="0"/>
    <xf numFmtId="0" fontId="2" fillId="3" borderId="0" xfId="0" applyFont="1" applyFill="1"/>
    <xf numFmtId="0" fontId="2" fillId="3" borderId="1" xfId="0" applyFont="1" applyFill="1" applyBorder="1"/>
    <xf numFmtId="0" fontId="5" fillId="3" borderId="0" xfId="0" applyFont="1" applyFill="1" applyBorder="1" applyAlignment="1">
      <alignment horizontal="right"/>
    </xf>
    <xf numFmtId="0" fontId="2" fillId="3" borderId="0" xfId="0" applyFont="1" applyFill="1" applyBorder="1"/>
    <xf numFmtId="9" fontId="5" fillId="3" borderId="0" xfId="0" applyNumberFormat="1" applyFont="1" applyFill="1" applyBorder="1" applyAlignment="1">
      <alignment horizontal="right"/>
    </xf>
    <xf numFmtId="0" fontId="2" fillId="3" borderId="2" xfId="0" applyFont="1" applyFill="1" applyBorder="1"/>
    <xf numFmtId="0" fontId="2" fillId="3" borderId="0" xfId="0" applyFont="1" applyFill="1" applyBorder="1" applyAlignment="1">
      <alignment horizontal="right"/>
    </xf>
    <xf numFmtId="0" fontId="3" fillId="3" borderId="0" xfId="0" applyFont="1" applyFill="1" applyBorder="1" applyAlignment="1">
      <alignment horizontal="right"/>
    </xf>
    <xf numFmtId="1" fontId="2" fillId="3" borderId="0" xfId="0" applyNumberFormat="1" applyFont="1" applyFill="1" applyBorder="1" applyAlignment="1">
      <alignment horizontal="right"/>
    </xf>
    <xf numFmtId="2" fontId="5" fillId="3" borderId="0" xfId="0" applyNumberFormat="1" applyFont="1" applyFill="1" applyBorder="1"/>
    <xf numFmtId="10" fontId="5" fillId="3" borderId="0" xfId="0" applyNumberFormat="1" applyFont="1" applyFill="1" applyBorder="1"/>
    <xf numFmtId="9" fontId="5" fillId="3" borderId="0" xfId="0" applyNumberFormat="1" applyFont="1" applyFill="1" applyBorder="1"/>
    <xf numFmtId="2" fontId="2" fillId="3" borderId="0" xfId="0" applyNumberFormat="1" applyFont="1" applyFill="1" applyBorder="1"/>
    <xf numFmtId="1" fontId="2" fillId="3" borderId="0" xfId="0" applyNumberFormat="1" applyFont="1" applyFill="1" applyBorder="1"/>
    <xf numFmtId="0" fontId="4" fillId="2" borderId="7" xfId="0" applyFont="1" applyFill="1" applyBorder="1"/>
    <xf numFmtId="0" fontId="4" fillId="2" borderId="8" xfId="0" applyFont="1" applyFill="1" applyBorder="1"/>
    <xf numFmtId="0" fontId="2" fillId="2" borderId="9" xfId="0" applyFont="1" applyFill="1" applyBorder="1"/>
    <xf numFmtId="0" fontId="2" fillId="3" borderId="10" xfId="0" applyFont="1" applyFill="1" applyBorder="1"/>
    <xf numFmtId="0" fontId="2" fillId="3" borderId="11" xfId="0" applyFont="1" applyFill="1" applyBorder="1"/>
    <xf numFmtId="0" fontId="3" fillId="3" borderId="10" xfId="0" applyFont="1" applyFill="1" applyBorder="1"/>
    <xf numFmtId="0" fontId="2" fillId="3" borderId="12" xfId="0" applyFont="1" applyFill="1" applyBorder="1"/>
    <xf numFmtId="1" fontId="2" fillId="3" borderId="13" xfId="0" applyNumberFormat="1" applyFont="1" applyFill="1" applyBorder="1" applyAlignment="1">
      <alignment horizontal="right"/>
    </xf>
    <xf numFmtId="0" fontId="2" fillId="3" borderId="14" xfId="0" applyFont="1" applyFill="1" applyBorder="1"/>
    <xf numFmtId="0" fontId="2" fillId="2" borderId="8" xfId="0" applyFont="1" applyFill="1" applyBorder="1"/>
    <xf numFmtId="0" fontId="2" fillId="3" borderId="13" xfId="0" applyFont="1" applyFill="1" applyBorder="1"/>
    <xf numFmtId="9" fontId="5" fillId="3" borderId="13" xfId="0" applyNumberFormat="1" applyFont="1" applyFill="1" applyBorder="1"/>
    <xf numFmtId="0" fontId="2" fillId="3" borderId="7" xfId="0" applyFont="1" applyFill="1" applyBorder="1"/>
    <xf numFmtId="0" fontId="2" fillId="3" borderId="8" xfId="0" applyFont="1" applyFill="1" applyBorder="1"/>
    <xf numFmtId="165" fontId="3" fillId="3" borderId="1" xfId="0" applyNumberFormat="1" applyFont="1" applyFill="1" applyBorder="1"/>
    <xf numFmtId="164" fontId="2" fillId="3" borderId="0" xfId="0" applyNumberFormat="1" applyFont="1" applyFill="1" applyBorder="1"/>
    <xf numFmtId="164" fontId="2" fillId="3" borderId="11" xfId="0" applyNumberFormat="1" applyFont="1" applyFill="1" applyBorder="1"/>
    <xf numFmtId="165" fontId="2" fillId="3" borderId="0" xfId="0" applyNumberFormat="1" applyFont="1" applyFill="1" applyBorder="1"/>
    <xf numFmtId="165" fontId="2" fillId="3" borderId="11" xfId="0" applyNumberFormat="1" applyFont="1" applyFill="1" applyBorder="1"/>
    <xf numFmtId="164" fontId="3" fillId="3" borderId="0" xfId="0" applyNumberFormat="1" applyFont="1" applyFill="1" applyBorder="1"/>
    <xf numFmtId="164" fontId="3" fillId="3" borderId="11" xfId="0" applyNumberFormat="1" applyFont="1" applyFill="1" applyBorder="1"/>
    <xf numFmtId="0" fontId="11" fillId="3" borderId="10" xfId="0" applyFont="1" applyFill="1" applyBorder="1"/>
    <xf numFmtId="9" fontId="2" fillId="3" borderId="0" xfId="0" applyNumberFormat="1" applyFont="1" applyFill="1" applyBorder="1"/>
    <xf numFmtId="0" fontId="3" fillId="3" borderId="12" xfId="0" applyFont="1" applyFill="1" applyBorder="1"/>
    <xf numFmtId="165" fontId="3" fillId="3" borderId="15" xfId="0" applyNumberFormat="1" applyFont="1" applyFill="1" applyBorder="1"/>
    <xf numFmtId="165" fontId="3" fillId="3" borderId="16" xfId="0" applyNumberFormat="1" applyFont="1" applyFill="1" applyBorder="1"/>
    <xf numFmtId="166" fontId="2" fillId="3" borderId="8" xfId="0" applyNumberFormat="1" applyFont="1" applyFill="1" applyBorder="1" applyAlignment="1">
      <alignment horizontal="right"/>
    </xf>
    <xf numFmtId="166" fontId="2" fillId="3" borderId="9" xfId="0" applyNumberFormat="1" applyFont="1" applyFill="1" applyBorder="1" applyAlignment="1">
      <alignment horizontal="right"/>
    </xf>
    <xf numFmtId="166" fontId="2" fillId="3" borderId="0" xfId="0" applyNumberFormat="1" applyFont="1" applyFill="1" applyBorder="1"/>
    <xf numFmtId="166" fontId="2" fillId="3" borderId="13" xfId="0" applyNumberFormat="1" applyFont="1" applyFill="1" applyBorder="1"/>
    <xf numFmtId="3" fontId="2" fillId="3" borderId="0" xfId="0" applyNumberFormat="1" applyFont="1" applyFill="1" applyBorder="1"/>
    <xf numFmtId="3" fontId="5" fillId="3" borderId="0" xfId="0" applyNumberFormat="1" applyFont="1" applyFill="1" applyBorder="1"/>
    <xf numFmtId="10" fontId="5" fillId="3" borderId="13" xfId="0" applyNumberFormat="1" applyFont="1" applyFill="1" applyBorder="1"/>
    <xf numFmtId="10" fontId="2" fillId="3" borderId="0" xfId="0" applyNumberFormat="1" applyFont="1" applyFill="1" applyBorder="1"/>
    <xf numFmtId="0" fontId="2" fillId="3" borderId="0" xfId="0" applyFont="1" applyFill="1" applyAlignment="1">
      <alignment horizontal="left"/>
    </xf>
    <xf numFmtId="0" fontId="2" fillId="3" borderId="8" xfId="0" applyFont="1" applyFill="1" applyBorder="1" applyAlignment="1">
      <alignment horizontal="left"/>
    </xf>
    <xf numFmtId="0" fontId="2" fillId="3" borderId="0" xfId="0" applyFont="1" applyFill="1" applyBorder="1" applyAlignment="1">
      <alignment horizontal="left"/>
    </xf>
    <xf numFmtId="0" fontId="2" fillId="3" borderId="13" xfId="0" applyFont="1" applyFill="1" applyBorder="1" applyAlignment="1">
      <alignment horizontal="left"/>
    </xf>
    <xf numFmtId="0" fontId="2" fillId="2" borderId="8" xfId="0" applyFont="1" applyFill="1" applyBorder="1" applyAlignment="1">
      <alignment horizontal="left"/>
    </xf>
    <xf numFmtId="164" fontId="3" fillId="3" borderId="1" xfId="0" applyNumberFormat="1" applyFont="1" applyFill="1" applyBorder="1"/>
    <xf numFmtId="0" fontId="2" fillId="3" borderId="15" xfId="0" applyFont="1" applyFill="1" applyBorder="1"/>
    <xf numFmtId="165" fontId="2" fillId="3" borderId="1" xfId="0" applyNumberFormat="1" applyFont="1" applyFill="1" applyBorder="1"/>
    <xf numFmtId="165" fontId="3" fillId="3" borderId="0" xfId="0" applyNumberFormat="1" applyFont="1" applyFill="1" applyBorder="1"/>
    <xf numFmtId="165" fontId="3" fillId="3" borderId="13" xfId="0" applyNumberFormat="1" applyFont="1" applyFill="1" applyBorder="1"/>
    <xf numFmtId="164" fontId="3" fillId="3" borderId="13" xfId="0" applyNumberFormat="1" applyFont="1" applyFill="1" applyBorder="1"/>
    <xf numFmtId="164" fontId="3" fillId="3" borderId="14" xfId="0" applyNumberFormat="1" applyFont="1" applyFill="1" applyBorder="1"/>
    <xf numFmtId="164" fontId="2" fillId="3" borderId="2" xfId="0" applyNumberFormat="1" applyFont="1" applyFill="1" applyBorder="1"/>
    <xf numFmtId="164" fontId="2" fillId="3" borderId="17" xfId="0" applyNumberFormat="1" applyFont="1" applyFill="1" applyBorder="1"/>
    <xf numFmtId="167" fontId="2" fillId="5" borderId="3" xfId="1" applyNumberFormat="1" applyFont="1" applyFill="1" applyBorder="1"/>
    <xf numFmtId="0" fontId="2" fillId="4" borderId="7" xfId="0" applyFont="1" applyFill="1" applyBorder="1"/>
    <xf numFmtId="0" fontId="2" fillId="4" borderId="8" xfId="0" applyFont="1" applyFill="1" applyBorder="1"/>
    <xf numFmtId="0" fontId="2" fillId="4" borderId="8" xfId="0" applyFont="1" applyFill="1" applyBorder="1" applyAlignment="1">
      <alignment horizontal="left"/>
    </xf>
    <xf numFmtId="0" fontId="2" fillId="4" borderId="9" xfId="0" applyFont="1" applyFill="1" applyBorder="1"/>
    <xf numFmtId="165" fontId="2" fillId="3" borderId="18" xfId="0" applyNumberFormat="1" applyFont="1" applyFill="1" applyBorder="1"/>
    <xf numFmtId="9" fontId="5" fillId="3" borderId="0" xfId="1" applyFont="1" applyFill="1" applyBorder="1" applyAlignment="1">
      <alignment horizontal="right"/>
    </xf>
    <xf numFmtId="10" fontId="5" fillId="3" borderId="0" xfId="0" applyNumberFormat="1" applyFont="1" applyFill="1" applyBorder="1" applyAlignment="1">
      <alignment horizontal="right"/>
    </xf>
    <xf numFmtId="164" fontId="2" fillId="3" borderId="15" xfId="0" applyNumberFormat="1" applyFont="1" applyFill="1" applyBorder="1"/>
    <xf numFmtId="165" fontId="2" fillId="3" borderId="15" xfId="0" applyNumberFormat="1" applyFont="1" applyFill="1" applyBorder="1"/>
    <xf numFmtId="0" fontId="2" fillId="3" borderId="16" xfId="0" applyFont="1" applyFill="1" applyBorder="1"/>
    <xf numFmtId="165" fontId="2" fillId="3" borderId="2" xfId="0" applyNumberFormat="1" applyFont="1" applyFill="1" applyBorder="1"/>
    <xf numFmtId="9" fontId="2" fillId="3" borderId="0" xfId="0" applyNumberFormat="1" applyFont="1" applyFill="1" applyBorder="1" applyAlignment="1">
      <alignment horizontal="right"/>
    </xf>
    <xf numFmtId="0" fontId="2" fillId="3" borderId="18" xfId="0" applyFont="1" applyFill="1" applyBorder="1"/>
    <xf numFmtId="0" fontId="2" fillId="3" borderId="17" xfId="0" applyFont="1" applyFill="1" applyBorder="1"/>
    <xf numFmtId="167" fontId="11" fillId="3" borderId="0" xfId="1" applyNumberFormat="1" applyFont="1" applyFill="1" applyBorder="1"/>
    <xf numFmtId="9" fontId="11" fillId="3" borderId="0" xfId="1" applyFont="1" applyFill="1" applyBorder="1"/>
    <xf numFmtId="9" fontId="11" fillId="3" borderId="11" xfId="1" applyFont="1" applyFill="1" applyBorder="1"/>
    <xf numFmtId="167" fontId="11" fillId="3" borderId="11" xfId="1" applyNumberFormat="1" applyFont="1" applyFill="1" applyBorder="1"/>
    <xf numFmtId="0" fontId="3" fillId="4" borderId="5" xfId="0" applyFont="1" applyFill="1" applyBorder="1"/>
    <xf numFmtId="0" fontId="2" fillId="4" borderId="5" xfId="0" applyFont="1" applyFill="1" applyBorder="1"/>
    <xf numFmtId="0" fontId="2" fillId="4" borderId="6" xfId="0" applyFont="1" applyFill="1" applyBorder="1"/>
    <xf numFmtId="0" fontId="13" fillId="4" borderId="4" xfId="0" applyFont="1" applyFill="1" applyBorder="1"/>
    <xf numFmtId="0" fontId="3" fillId="4" borderId="4" xfId="0" applyFont="1" applyFill="1" applyBorder="1"/>
    <xf numFmtId="0" fontId="4" fillId="2" borderId="10" xfId="0" applyFont="1" applyFill="1" applyBorder="1"/>
    <xf numFmtId="0" fontId="4" fillId="2" borderId="12" xfId="0" applyFont="1" applyFill="1" applyBorder="1"/>
    <xf numFmtId="167" fontId="2" fillId="3" borderId="9" xfId="1" applyNumberFormat="1" applyFont="1" applyFill="1" applyBorder="1"/>
    <xf numFmtId="167" fontId="2" fillId="3" borderId="11" xfId="1" applyNumberFormat="1" applyFont="1" applyFill="1" applyBorder="1"/>
    <xf numFmtId="167" fontId="2" fillId="3" borderId="14" xfId="1" applyNumberFormat="1" applyFont="1" applyFill="1" applyBorder="1"/>
    <xf numFmtId="9" fontId="2" fillId="3" borderId="14" xfId="1" applyNumberFormat="1" applyFont="1" applyFill="1" applyBorder="1"/>
    <xf numFmtId="0" fontId="3" fillId="3" borderId="0" xfId="0" applyFont="1" applyFill="1" applyBorder="1" applyAlignment="1">
      <alignment horizontal="center"/>
    </xf>
    <xf numFmtId="0" fontId="3" fillId="3" borderId="11" xfId="0" applyFont="1" applyFill="1" applyBorder="1" applyAlignment="1">
      <alignment horizontal="center"/>
    </xf>
    <xf numFmtId="168" fontId="4" fillId="2" borderId="0" xfId="0" applyNumberFormat="1" applyFont="1" applyFill="1" applyBorder="1"/>
    <xf numFmtId="168" fontId="4" fillId="2" borderId="11" xfId="0" applyNumberFormat="1" applyFont="1" applyFill="1" applyBorder="1"/>
    <xf numFmtId="0" fontId="3" fillId="3" borderId="7" xfId="0" applyFont="1" applyFill="1" applyBorder="1" applyAlignment="1">
      <alignment horizontal="center"/>
    </xf>
    <xf numFmtId="0" fontId="2" fillId="3" borderId="9" xfId="0" applyFont="1" applyFill="1" applyBorder="1" applyAlignment="1">
      <alignment horizontal="center"/>
    </xf>
    <xf numFmtId="3" fontId="4" fillId="2" borderId="11" xfId="0" applyNumberFormat="1" applyFont="1" applyFill="1" applyBorder="1"/>
    <xf numFmtId="3" fontId="4" fillId="2" borderId="14" xfId="0" applyNumberFormat="1" applyFont="1" applyFill="1" applyBorder="1"/>
    <xf numFmtId="0" fontId="3" fillId="3" borderId="19" xfId="0" applyFont="1" applyFill="1" applyBorder="1" applyAlignment="1">
      <alignment horizontal="center" vertical="center" textRotation="90" wrapText="1"/>
    </xf>
    <xf numFmtId="0" fontId="3" fillId="3" borderId="20" xfId="0" applyFont="1" applyFill="1" applyBorder="1" applyAlignment="1">
      <alignment horizontal="center" vertical="center" textRotation="90" wrapText="1"/>
    </xf>
    <xf numFmtId="0" fontId="3" fillId="3" borderId="21" xfId="0" applyFont="1" applyFill="1" applyBorder="1" applyAlignment="1">
      <alignment horizontal="center" vertical="center" textRotation="90" wrapText="1"/>
    </xf>
    <xf numFmtId="3" fontId="4" fillId="2" borderId="9" xfId="0" applyNumberFormat="1" applyFont="1" applyFill="1" applyBorder="1"/>
    <xf numFmtId="167" fontId="4" fillId="3" borderId="11" xfId="0" applyNumberFormat="1" applyFont="1" applyFill="1" applyBorder="1"/>
    <xf numFmtId="167" fontId="2" fillId="3" borderId="0" xfId="1" applyNumberFormat="1" applyFont="1" applyFill="1" applyBorder="1"/>
    <xf numFmtId="167" fontId="2" fillId="3" borderId="13" xfId="1" applyNumberFormat="1" applyFont="1" applyFill="1" applyBorder="1"/>
    <xf numFmtId="167" fontId="2" fillId="5" borderId="0" xfId="1"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AF5F2-1ECC-46B1-AC12-8D19662657D0}">
  <dimension ref="B1:Q31"/>
  <sheetViews>
    <sheetView tabSelected="1" topLeftCell="E1" workbookViewId="0">
      <selection activeCell="O19" sqref="O19"/>
    </sheetView>
  </sheetViews>
  <sheetFormatPr defaultRowHeight="14" x14ac:dyDescent="0.3"/>
  <cols>
    <col min="1" max="1" width="2.08984375" style="1" customWidth="1"/>
    <col min="2" max="2" width="34.6328125" style="1" customWidth="1"/>
    <col min="3" max="4" width="15.6328125" style="1" customWidth="1"/>
    <col min="5" max="5" width="2.08984375" style="1" customWidth="1"/>
    <col min="6" max="6" width="34.6328125" style="1" customWidth="1"/>
    <col min="7" max="7" width="15.6328125" style="1" customWidth="1"/>
    <col min="8" max="8" width="16.26953125" style="1" customWidth="1"/>
    <col min="9" max="9" width="5.453125" style="1" customWidth="1"/>
    <col min="10" max="10" width="23.36328125" style="1" customWidth="1"/>
    <col min="11" max="16384" width="8.7265625" style="1"/>
  </cols>
  <sheetData>
    <row r="1" spans="2:17" ht="14.5" thickBot="1" x14ac:dyDescent="0.35"/>
    <row r="2" spans="2:17" ht="14.5" thickBot="1" x14ac:dyDescent="0.35">
      <c r="B2" s="85" t="s">
        <v>0</v>
      </c>
      <c r="C2" s="82"/>
      <c r="D2" s="83"/>
      <c r="E2" s="83"/>
      <c r="F2" s="83"/>
      <c r="G2" s="83"/>
      <c r="H2" s="84"/>
      <c r="J2" s="86" t="s">
        <v>83</v>
      </c>
      <c r="K2" s="84"/>
    </row>
    <row r="3" spans="2:17" x14ac:dyDescent="0.3">
      <c r="B3" s="15" t="s">
        <v>1</v>
      </c>
      <c r="C3" s="16"/>
      <c r="D3" s="17"/>
      <c r="F3" s="15" t="s">
        <v>24</v>
      </c>
      <c r="G3" s="24"/>
      <c r="H3" s="17"/>
      <c r="J3" s="15" t="s">
        <v>71</v>
      </c>
      <c r="K3" s="89">
        <f>+'Cash Flow'!C33</f>
        <v>5.7161870598793033E-2</v>
      </c>
    </row>
    <row r="4" spans="2:17" x14ac:dyDescent="0.3">
      <c r="B4" s="18" t="s">
        <v>2</v>
      </c>
      <c r="C4" s="3" t="s">
        <v>43</v>
      </c>
      <c r="D4" s="19"/>
      <c r="F4" s="18" t="s">
        <v>25</v>
      </c>
      <c r="G4" s="43">
        <v>43496</v>
      </c>
      <c r="H4" s="19"/>
      <c r="J4" s="87" t="s">
        <v>82</v>
      </c>
      <c r="K4" s="90">
        <f>+'Cash Flow'!C53</f>
        <v>9.7342318296432473E-2</v>
      </c>
    </row>
    <row r="5" spans="2:17" x14ac:dyDescent="0.3">
      <c r="B5" s="18" t="s">
        <v>3</v>
      </c>
      <c r="C5" s="5">
        <v>1</v>
      </c>
      <c r="D5" s="19"/>
      <c r="F5" s="18" t="s">
        <v>26</v>
      </c>
      <c r="G5" s="4">
        <v>7</v>
      </c>
      <c r="H5" s="19" t="s">
        <v>63</v>
      </c>
      <c r="J5" s="87" t="s">
        <v>84</v>
      </c>
      <c r="K5" s="90">
        <f>+'Cash Flow'!G11</f>
        <v>3.3913043478260879E-2</v>
      </c>
    </row>
    <row r="6" spans="2:17" ht="14.5" thickBot="1" x14ac:dyDescent="0.35">
      <c r="B6" s="18" t="s">
        <v>4</v>
      </c>
      <c r="C6" s="3" t="s">
        <v>44</v>
      </c>
      <c r="D6" s="19"/>
      <c r="F6" s="21" t="s">
        <v>27</v>
      </c>
      <c r="G6" s="44">
        <f>+EOMONTH(G4,G5*12-1)</f>
        <v>46022</v>
      </c>
      <c r="H6" s="23"/>
      <c r="J6" s="88" t="s">
        <v>85</v>
      </c>
      <c r="K6" s="92">
        <f>+'Cash Flow'!G12</f>
        <v>0.76470588235294124</v>
      </c>
    </row>
    <row r="7" spans="2:17" ht="14.5" thickBot="1" x14ac:dyDescent="0.35">
      <c r="B7" s="18" t="s">
        <v>5</v>
      </c>
      <c r="C7" s="3" t="s">
        <v>45</v>
      </c>
      <c r="D7" s="19"/>
    </row>
    <row r="8" spans="2:17" ht="14.5" thickBot="1" x14ac:dyDescent="0.35">
      <c r="B8" s="18" t="s">
        <v>6</v>
      </c>
      <c r="C8" s="3" t="s">
        <v>46</v>
      </c>
      <c r="D8" s="19"/>
      <c r="F8" s="15" t="s">
        <v>28</v>
      </c>
      <c r="G8" s="24"/>
      <c r="H8" s="17"/>
      <c r="J8" s="86" t="s">
        <v>86</v>
      </c>
      <c r="K8" s="83"/>
      <c r="L8" s="83"/>
      <c r="M8" s="83"/>
      <c r="N8" s="83"/>
      <c r="O8" s="83"/>
      <c r="P8" s="83"/>
      <c r="Q8" s="84"/>
    </row>
    <row r="9" spans="2:17" x14ac:dyDescent="0.3">
      <c r="B9" s="18" t="s">
        <v>7</v>
      </c>
      <c r="C9" s="3">
        <v>10.7639</v>
      </c>
      <c r="D9" s="19"/>
      <c r="F9" s="18" t="s">
        <v>29</v>
      </c>
      <c r="G9" s="11">
        <v>0.03</v>
      </c>
      <c r="H9" s="19" t="s">
        <v>64</v>
      </c>
      <c r="J9" s="18"/>
      <c r="K9" s="97" t="s">
        <v>71</v>
      </c>
      <c r="L9" s="98"/>
      <c r="M9" s="93" t="s">
        <v>87</v>
      </c>
      <c r="N9" s="93"/>
      <c r="O9" s="93"/>
      <c r="P9" s="93"/>
      <c r="Q9" s="94"/>
    </row>
    <row r="10" spans="2:17" ht="14.5" thickBot="1" x14ac:dyDescent="0.35">
      <c r="B10" s="18"/>
      <c r="C10" s="7"/>
      <c r="D10" s="19"/>
      <c r="F10" s="18" t="s">
        <v>30</v>
      </c>
      <c r="G10" s="46">
        <f>0.5%*G12</f>
        <v>7750007.9999999991</v>
      </c>
      <c r="H10" s="19" t="s">
        <v>65</v>
      </c>
      <c r="J10" s="18"/>
      <c r="K10" s="18"/>
      <c r="L10" s="105">
        <f>+K3</f>
        <v>5.7161870598793033E-2</v>
      </c>
      <c r="M10" s="95">
        <v>8</v>
      </c>
      <c r="N10" s="95">
        <v>9</v>
      </c>
      <c r="O10" s="95">
        <v>10</v>
      </c>
      <c r="P10" s="95">
        <v>11</v>
      </c>
      <c r="Q10" s="96">
        <v>12</v>
      </c>
    </row>
    <row r="11" spans="2:17" x14ac:dyDescent="0.3">
      <c r="B11" s="20" t="s">
        <v>8</v>
      </c>
      <c r="C11" s="8"/>
      <c r="D11" s="19"/>
      <c r="F11" s="18" t="s">
        <v>31</v>
      </c>
      <c r="G11" s="46">
        <v>2000</v>
      </c>
      <c r="H11" s="19" t="s">
        <v>58</v>
      </c>
      <c r="J11" s="18"/>
      <c r="K11" s="101" t="s">
        <v>88</v>
      </c>
      <c r="L11" s="104">
        <v>1600</v>
      </c>
      <c r="M11" s="106">
        <f t="dataTable" ref="M11:Q15" dt2D="1" dtr="1" r1="C24" r2="G11"/>
        <v>5.7161870598793033E-2</v>
      </c>
      <c r="N11" s="106">
        <v>8.0449900031089802E-2</v>
      </c>
      <c r="O11" s="106">
        <v>0.10190506577491762</v>
      </c>
      <c r="P11" s="106">
        <v>0.12185413241386414</v>
      </c>
      <c r="Q11" s="90">
        <v>0.14054259657859805</v>
      </c>
    </row>
    <row r="12" spans="2:17" x14ac:dyDescent="0.3">
      <c r="B12" s="18" t="s">
        <v>9</v>
      </c>
      <c r="C12" s="3">
        <v>12000</v>
      </c>
      <c r="D12" s="19" t="s">
        <v>47</v>
      </c>
      <c r="F12" s="18" t="s">
        <v>31</v>
      </c>
      <c r="G12" s="45">
        <f>+G11*C20</f>
        <v>1550001599.9999998</v>
      </c>
      <c r="H12" s="19" t="s">
        <v>65</v>
      </c>
      <c r="J12" s="18"/>
      <c r="K12" s="102"/>
      <c r="L12" s="99">
        <v>1800</v>
      </c>
      <c r="M12" s="106">
        <v>3.4563186764717105E-2</v>
      </c>
      <c r="N12" s="106">
        <v>5.7161870598793033E-2</v>
      </c>
      <c r="O12" s="106">
        <v>7.7959820628166213E-2</v>
      </c>
      <c r="P12" s="106">
        <v>9.7277408838272073E-2</v>
      </c>
      <c r="Q12" s="90">
        <v>0.11535529494285582</v>
      </c>
    </row>
    <row r="13" spans="2:17" ht="14.5" thickBot="1" x14ac:dyDescent="0.35">
      <c r="B13" s="18" t="s">
        <v>10</v>
      </c>
      <c r="C13" s="3">
        <v>6</v>
      </c>
      <c r="D13" s="19"/>
      <c r="F13" s="21" t="s">
        <v>32</v>
      </c>
      <c r="G13" s="47">
        <v>1E-3</v>
      </c>
      <c r="H13" s="23" t="s">
        <v>64</v>
      </c>
      <c r="J13" s="18"/>
      <c r="K13" s="102"/>
      <c r="L13" s="99">
        <v>2000</v>
      </c>
      <c r="M13" s="106">
        <v>1.4897164702415467E-2</v>
      </c>
      <c r="N13" s="106">
        <v>3.6915448307991039E-2</v>
      </c>
      <c r="O13" s="108">
        <v>5.7161870598793033E-2</v>
      </c>
      <c r="P13" s="106">
        <v>7.5951197743415841E-2</v>
      </c>
      <c r="Q13" s="90">
        <v>9.3519857525825492E-2</v>
      </c>
    </row>
    <row r="14" spans="2:17" ht="14.5" thickBot="1" x14ac:dyDescent="0.35">
      <c r="B14" s="18" t="s">
        <v>11</v>
      </c>
      <c r="C14" s="7">
        <f>+C12*C13</f>
        <v>72000</v>
      </c>
      <c r="D14" s="19" t="s">
        <v>47</v>
      </c>
      <c r="J14" s="18"/>
      <c r="K14" s="102"/>
      <c r="L14" s="99">
        <v>2200</v>
      </c>
      <c r="M14" s="106">
        <v>-2.4699777364730838E-3</v>
      </c>
      <c r="N14" s="106">
        <v>1.9049820303916932E-2</v>
      </c>
      <c r="O14" s="106">
        <v>3.8823822140693687E-2</v>
      </c>
      <c r="P14" s="106">
        <v>5.7161870598793033E-2</v>
      </c>
      <c r="Q14" s="90">
        <v>7.4296626448631289E-2</v>
      </c>
    </row>
    <row r="15" spans="2:17" ht="14.5" thickBot="1" x14ac:dyDescent="0.35">
      <c r="B15" s="18" t="s">
        <v>12</v>
      </c>
      <c r="C15" s="5">
        <v>0.9</v>
      </c>
      <c r="D15" s="19"/>
      <c r="F15" s="15" t="s">
        <v>33</v>
      </c>
      <c r="G15" s="24"/>
      <c r="H15" s="17"/>
      <c r="J15" s="21"/>
      <c r="K15" s="103"/>
      <c r="L15" s="100">
        <v>2400</v>
      </c>
      <c r="M15" s="107">
        <v>-1.7990341782569887E-2</v>
      </c>
      <c r="N15" s="107">
        <v>3.0944555997848514E-3</v>
      </c>
      <c r="O15" s="107">
        <v>2.2457173466682436E-2</v>
      </c>
      <c r="P15" s="107">
        <v>4.0403202176094055E-2</v>
      </c>
      <c r="Q15" s="91">
        <v>5.7161870598793033E-2</v>
      </c>
    </row>
    <row r="16" spans="2:17" x14ac:dyDescent="0.3">
      <c r="B16" s="18" t="s">
        <v>13</v>
      </c>
      <c r="C16" s="7">
        <f>+C12*C15*C13</f>
        <v>64800</v>
      </c>
      <c r="D16" s="19" t="s">
        <v>47</v>
      </c>
      <c r="F16" s="18" t="s">
        <v>34</v>
      </c>
      <c r="G16" s="11">
        <v>3.5000000000000003E-2</v>
      </c>
      <c r="H16" s="19"/>
    </row>
    <row r="17" spans="2:8" x14ac:dyDescent="0.3">
      <c r="B17" s="18"/>
      <c r="C17" s="7"/>
      <c r="D17" s="19"/>
      <c r="F17" s="18" t="s">
        <v>35</v>
      </c>
      <c r="G17" s="11">
        <v>0.01</v>
      </c>
      <c r="H17" s="19" t="s">
        <v>66</v>
      </c>
    </row>
    <row r="18" spans="2:8" x14ac:dyDescent="0.3">
      <c r="B18" s="20" t="s">
        <v>14</v>
      </c>
      <c r="C18" s="8"/>
      <c r="D18" s="19"/>
      <c r="F18" s="18" t="s">
        <v>36</v>
      </c>
      <c r="G18" s="11">
        <v>0</v>
      </c>
      <c r="H18" s="19" t="s">
        <v>66</v>
      </c>
    </row>
    <row r="19" spans="2:8" x14ac:dyDescent="0.3">
      <c r="B19" s="18" t="s">
        <v>9</v>
      </c>
      <c r="C19" s="9">
        <f>+C12*C9</f>
        <v>129166.79999999999</v>
      </c>
      <c r="D19" s="19" t="s">
        <v>48</v>
      </c>
      <c r="F19" s="18" t="s">
        <v>37</v>
      </c>
      <c r="G19" s="11">
        <v>0</v>
      </c>
      <c r="H19" s="19" t="s">
        <v>66</v>
      </c>
    </row>
    <row r="20" spans="2:8" x14ac:dyDescent="0.3">
      <c r="B20" s="18" t="s">
        <v>11</v>
      </c>
      <c r="C20" s="9">
        <f>+C14*C9</f>
        <v>775000.79999999993</v>
      </c>
      <c r="D20" s="19" t="s">
        <v>48</v>
      </c>
      <c r="F20" s="18"/>
      <c r="G20" s="4"/>
      <c r="H20" s="19"/>
    </row>
    <row r="21" spans="2:8" ht="14.5" thickBot="1" x14ac:dyDescent="0.35">
      <c r="B21" s="21" t="s">
        <v>13</v>
      </c>
      <c r="C21" s="22">
        <f>+C16*C9</f>
        <v>697500.72</v>
      </c>
      <c r="D21" s="23" t="s">
        <v>48</v>
      </c>
      <c r="F21" s="21"/>
      <c r="G21" s="25"/>
      <c r="H21" s="23"/>
    </row>
    <row r="22" spans="2:8" ht="14.5" thickBot="1" x14ac:dyDescent="0.35"/>
    <row r="23" spans="2:8" x14ac:dyDescent="0.3">
      <c r="B23" s="15" t="s">
        <v>15</v>
      </c>
      <c r="C23" s="24"/>
      <c r="D23" s="17"/>
      <c r="F23" s="15" t="s">
        <v>38</v>
      </c>
      <c r="G23" s="24"/>
      <c r="H23" s="17"/>
    </row>
    <row r="24" spans="2:8" x14ac:dyDescent="0.3">
      <c r="B24" s="18" t="s">
        <v>16</v>
      </c>
      <c r="C24" s="10">
        <v>10</v>
      </c>
      <c r="D24" s="19" t="s">
        <v>49</v>
      </c>
      <c r="F24" s="18" t="s">
        <v>39</v>
      </c>
      <c r="G24" s="69">
        <v>0.7</v>
      </c>
      <c r="H24" s="19"/>
    </row>
    <row r="25" spans="2:8" x14ac:dyDescent="0.3">
      <c r="B25" s="18" t="s">
        <v>17</v>
      </c>
      <c r="C25" s="11">
        <v>2.5000000000000001E-2</v>
      </c>
      <c r="D25" s="19" t="s">
        <v>50</v>
      </c>
      <c r="F25" s="18" t="s">
        <v>40</v>
      </c>
      <c r="G25" s="3" t="s">
        <v>72</v>
      </c>
      <c r="H25" s="19"/>
    </row>
    <row r="26" spans="2:8" x14ac:dyDescent="0.3">
      <c r="B26" s="18" t="s">
        <v>18</v>
      </c>
      <c r="C26" s="12">
        <v>0.8</v>
      </c>
      <c r="D26" s="19"/>
      <c r="F26" s="18" t="s">
        <v>41</v>
      </c>
      <c r="G26" s="70">
        <v>3.5000000000000003E-2</v>
      </c>
      <c r="H26" s="19"/>
    </row>
    <row r="27" spans="2:8" x14ac:dyDescent="0.3">
      <c r="B27" s="18" t="s">
        <v>19</v>
      </c>
      <c r="C27" s="13">
        <f>+((1-C26)*(C24*C21))/C20</f>
        <v>1.7999999999999994</v>
      </c>
      <c r="D27" s="19" t="s">
        <v>58</v>
      </c>
      <c r="F27" s="18" t="s">
        <v>42</v>
      </c>
      <c r="G27" s="70">
        <v>0.01</v>
      </c>
      <c r="H27" s="19" t="s">
        <v>73</v>
      </c>
    </row>
    <row r="28" spans="2:8" x14ac:dyDescent="0.3">
      <c r="B28" s="18" t="s">
        <v>20</v>
      </c>
      <c r="C28" s="11">
        <v>0.02</v>
      </c>
      <c r="D28" s="19" t="s">
        <v>50</v>
      </c>
      <c r="F28" s="18"/>
      <c r="G28" s="4"/>
      <c r="H28" s="19"/>
    </row>
    <row r="29" spans="2:8" x14ac:dyDescent="0.3">
      <c r="B29" s="18" t="s">
        <v>21</v>
      </c>
      <c r="C29" s="12">
        <v>0.85</v>
      </c>
      <c r="D29" s="19"/>
      <c r="F29" s="18"/>
      <c r="G29" s="4"/>
      <c r="H29" s="19"/>
    </row>
    <row r="30" spans="2:8" x14ac:dyDescent="0.3">
      <c r="B30" s="18" t="s">
        <v>22</v>
      </c>
      <c r="C30" s="14">
        <f>+C21*C29</f>
        <v>592875.61199999996</v>
      </c>
      <c r="D30" s="19" t="s">
        <v>48</v>
      </c>
      <c r="F30" s="18"/>
      <c r="G30" s="4"/>
      <c r="H30" s="19"/>
    </row>
    <row r="31" spans="2:8" ht="14.5" thickBot="1" x14ac:dyDescent="0.35">
      <c r="B31" s="21" t="s">
        <v>23</v>
      </c>
      <c r="C31" s="26">
        <v>0.17</v>
      </c>
      <c r="D31" s="23" t="s">
        <v>51</v>
      </c>
      <c r="F31" s="21"/>
      <c r="G31" s="25"/>
      <c r="H31" s="23"/>
    </row>
  </sheetData>
  <mergeCells count="3">
    <mergeCell ref="K9:L9"/>
    <mergeCell ref="M9:Q9"/>
    <mergeCell ref="K11:K15"/>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F519A-C255-40D2-BADD-4C69DA294013}">
  <dimension ref="B1:N53"/>
  <sheetViews>
    <sheetView topLeftCell="A21" zoomScale="80" zoomScaleNormal="80" workbookViewId="0">
      <selection activeCell="C18" sqref="C18"/>
    </sheetView>
  </sheetViews>
  <sheetFormatPr defaultRowHeight="14" x14ac:dyDescent="0.3"/>
  <cols>
    <col min="1" max="1" width="2.453125" style="1" customWidth="1"/>
    <col min="2" max="2" width="30.6328125" style="1" bestFit="1" customWidth="1"/>
    <col min="3" max="3" width="15.6328125" style="1" customWidth="1"/>
    <col min="4" max="4" width="16.26953125" style="49" customWidth="1"/>
    <col min="5" max="5" width="17.26953125" style="1" bestFit="1" customWidth="1"/>
    <col min="6" max="6" width="15.6328125" style="1" customWidth="1"/>
    <col min="7" max="7" width="17.26953125" style="1" bestFit="1" customWidth="1"/>
    <col min="8" max="12" width="15.6328125" style="1" customWidth="1"/>
    <col min="13" max="13" width="17.26953125" style="1" bestFit="1" customWidth="1"/>
    <col min="14" max="14" width="15.6328125" style="1" customWidth="1"/>
    <col min="15" max="16384" width="8.7265625" style="1"/>
  </cols>
  <sheetData>
    <row r="1" spans="2:14" ht="14.5" thickBot="1" x14ac:dyDescent="0.35"/>
    <row r="2" spans="2:14" x14ac:dyDescent="0.3">
      <c r="B2" s="27" t="s">
        <v>52</v>
      </c>
      <c r="C2" s="28"/>
      <c r="D2" s="50"/>
      <c r="E2" s="28"/>
      <c r="F2" s="28"/>
      <c r="G2" s="41">
        <v>43465</v>
      </c>
      <c r="H2" s="41">
        <f>+EOMONTH(G2,12)</f>
        <v>43830</v>
      </c>
      <c r="I2" s="41">
        <f>+EOMONTH(H2,12)</f>
        <v>44196</v>
      </c>
      <c r="J2" s="41">
        <f t="shared" ref="J2:N2" si="0">+EOMONTH(I2,12)</f>
        <v>44561</v>
      </c>
      <c r="K2" s="41">
        <f t="shared" si="0"/>
        <v>44926</v>
      </c>
      <c r="L2" s="41">
        <f t="shared" si="0"/>
        <v>45291</v>
      </c>
      <c r="M2" s="41">
        <f t="shared" si="0"/>
        <v>45657</v>
      </c>
      <c r="N2" s="42">
        <f t="shared" si="0"/>
        <v>46022</v>
      </c>
    </row>
    <row r="3" spans="2:14" x14ac:dyDescent="0.3">
      <c r="B3" s="18" t="s">
        <v>53</v>
      </c>
      <c r="C3" s="4"/>
      <c r="D3" s="51"/>
      <c r="E3" s="4"/>
      <c r="F3" s="4"/>
      <c r="G3" s="4">
        <f>+YEAR(G2)</f>
        <v>2018</v>
      </c>
      <c r="H3" s="4">
        <f t="shared" ref="H3:N3" si="1">+YEAR(H2)</f>
        <v>2019</v>
      </c>
      <c r="I3" s="4">
        <f t="shared" si="1"/>
        <v>2020</v>
      </c>
      <c r="J3" s="4">
        <f t="shared" si="1"/>
        <v>2021</v>
      </c>
      <c r="K3" s="4">
        <f t="shared" si="1"/>
        <v>2022</v>
      </c>
      <c r="L3" s="4">
        <f t="shared" si="1"/>
        <v>2023</v>
      </c>
      <c r="M3" s="4">
        <f t="shared" si="1"/>
        <v>2024</v>
      </c>
      <c r="N3" s="19">
        <f t="shared" si="1"/>
        <v>2025</v>
      </c>
    </row>
    <row r="4" spans="2:14" ht="14.5" thickBot="1" x14ac:dyDescent="0.35">
      <c r="B4" s="21" t="s">
        <v>54</v>
      </c>
      <c r="C4" s="25"/>
      <c r="D4" s="52"/>
      <c r="E4" s="25"/>
      <c r="F4" s="25"/>
      <c r="G4" s="25">
        <v>1</v>
      </c>
      <c r="H4" s="25">
        <f>+G4+1</f>
        <v>2</v>
      </c>
      <c r="I4" s="25">
        <f t="shared" ref="I4:N4" si="2">+H4+1</f>
        <v>3</v>
      </c>
      <c r="J4" s="25">
        <f t="shared" si="2"/>
        <v>4</v>
      </c>
      <c r="K4" s="25">
        <f t="shared" si="2"/>
        <v>5</v>
      </c>
      <c r="L4" s="25">
        <f t="shared" si="2"/>
        <v>6</v>
      </c>
      <c r="M4" s="25">
        <f t="shared" si="2"/>
        <v>7</v>
      </c>
      <c r="N4" s="23">
        <f t="shared" si="2"/>
        <v>8</v>
      </c>
    </row>
    <row r="5" spans="2:14" ht="14.5" thickBot="1" x14ac:dyDescent="0.35"/>
    <row r="6" spans="2:14" x14ac:dyDescent="0.3">
      <c r="B6" s="15" t="s">
        <v>55</v>
      </c>
      <c r="C6" s="24"/>
      <c r="D6" s="53"/>
      <c r="E6" s="24"/>
      <c r="F6" s="24"/>
      <c r="G6" s="24"/>
      <c r="H6" s="24"/>
      <c r="I6" s="24"/>
      <c r="J6" s="24"/>
      <c r="K6" s="24"/>
      <c r="L6" s="24"/>
      <c r="M6" s="24"/>
      <c r="N6" s="17"/>
    </row>
    <row r="7" spans="2:14" x14ac:dyDescent="0.3">
      <c r="B7" s="18" t="s">
        <v>56</v>
      </c>
      <c r="C7" s="13">
        <f>+Assumptions!C24</f>
        <v>10</v>
      </c>
      <c r="D7" s="51" t="str">
        <f>+Assumptions!D24</f>
        <v>SGD psf NLA</v>
      </c>
      <c r="E7" s="30">
        <f>+SUM(G7:N7)</f>
        <v>621531607.3140769</v>
      </c>
      <c r="F7" s="4"/>
      <c r="G7" s="30">
        <f>+$C$7*Assumptions!$C$30*12*(1+Assumptions!$C$25)^('Cash Flow'!G4-1)</f>
        <v>71145073.439999998</v>
      </c>
      <c r="H7" s="30">
        <f>+$C$7*Assumptions!$C$30*12*(1+Assumptions!$C$25)^('Cash Flow'!H4-1)</f>
        <v>72923700.275999993</v>
      </c>
      <c r="I7" s="30">
        <f>+$C$7*Assumptions!$C$30*12*(1+Assumptions!$C$25)^('Cash Flow'!I4-1)</f>
        <v>74746792.782899991</v>
      </c>
      <c r="J7" s="30">
        <f>+$C$7*Assumptions!$C$30*12*(1+Assumptions!$C$25)^('Cash Flow'!J4-1)</f>
        <v>76615462.602472484</v>
      </c>
      <c r="K7" s="30">
        <f>+$C$7*Assumptions!$C$30*12*(1+Assumptions!$C$25)^('Cash Flow'!K4-1)</f>
        <v>78530849.167534292</v>
      </c>
      <c r="L7" s="30">
        <f>+$C$7*Assumptions!$C$30*12*(1+Assumptions!$C$25)^('Cash Flow'!L4-1)</f>
        <v>80494120.396722645</v>
      </c>
      <c r="M7" s="30">
        <f>+$C$7*Assumptions!$C$30*12*(1+Assumptions!$C$25)^('Cash Flow'!M4-1)</f>
        <v>82506473.406640708</v>
      </c>
      <c r="N7" s="31">
        <f>+$C$7*Assumptions!$C$30*12*(1+Assumptions!$C$25)^('Cash Flow'!N4-1)</f>
        <v>84569135.241806731</v>
      </c>
    </row>
    <row r="8" spans="2:14" x14ac:dyDescent="0.3">
      <c r="B8" s="18" t="s">
        <v>57</v>
      </c>
      <c r="C8" s="13">
        <f>+Assumptions!C27</f>
        <v>1.7999999999999994</v>
      </c>
      <c r="D8" s="51" t="str">
        <f>+Assumptions!D27</f>
        <v>SGD psf GFA</v>
      </c>
      <c r="E8" s="30">
        <f t="shared" ref="E8:E9" si="3">+SUM(G8:N8)</f>
        <v>-143679050.21260142</v>
      </c>
      <c r="F8" s="4"/>
      <c r="G8" s="32">
        <f>-$C$8*Assumptions!$C$20*12*(1+Assumptions!$C$28)^('Cash Flow'!G4-1)</f>
        <v>-16740017.279999994</v>
      </c>
      <c r="H8" s="32">
        <f>-$C$8*Assumptions!$C$20*12*(1+Assumptions!$C$28)^('Cash Flow'!H4-1)</f>
        <v>-17074817.625599995</v>
      </c>
      <c r="I8" s="32">
        <f>-$C$8*Assumptions!$C$20*12*(1+Assumptions!$C$28)^('Cash Flow'!I4-1)</f>
        <v>-17416313.978111994</v>
      </c>
      <c r="J8" s="32">
        <f>-$C$8*Assumptions!$C$20*12*(1+Assumptions!$C$28)^('Cash Flow'!J4-1)</f>
        <v>-17764640.257674232</v>
      </c>
      <c r="K8" s="32">
        <f>-$C$8*Assumptions!$C$20*12*(1+Assumptions!$C$28)^('Cash Flow'!K4-1)</f>
        <v>-18119933.062827718</v>
      </c>
      <c r="L8" s="32">
        <f>-$C$8*Assumptions!$C$20*12*(1+Assumptions!$C$28)^('Cash Flow'!L4-1)</f>
        <v>-18482331.724084273</v>
      </c>
      <c r="M8" s="32">
        <f>-$C$8*Assumptions!$C$20*12*(1+Assumptions!$C$28)^('Cash Flow'!M4-1)</f>
        <v>-18851978.35856596</v>
      </c>
      <c r="N8" s="33">
        <f>-$C$8*Assumptions!$C$20*12*(1+Assumptions!$C$28)^('Cash Flow'!N4-1)</f>
        <v>-19229017.925737273</v>
      </c>
    </row>
    <row r="9" spans="2:14" x14ac:dyDescent="0.3">
      <c r="B9" s="20" t="s">
        <v>59</v>
      </c>
      <c r="C9" s="4"/>
      <c r="D9" s="51"/>
      <c r="E9" s="34">
        <f t="shared" si="3"/>
        <v>477852557.10147548</v>
      </c>
      <c r="F9" s="4"/>
      <c r="G9" s="34">
        <f>+SUM(G7:G8)</f>
        <v>54405056.160000004</v>
      </c>
      <c r="H9" s="34">
        <f t="shared" ref="H9:N9" si="4">+SUM(H7:H8)</f>
        <v>55848882.650399998</v>
      </c>
      <c r="I9" s="34">
        <f t="shared" si="4"/>
        <v>57330478.804787993</v>
      </c>
      <c r="J9" s="34">
        <f t="shared" si="4"/>
        <v>58850822.344798252</v>
      </c>
      <c r="K9" s="34">
        <f t="shared" si="4"/>
        <v>60410916.104706571</v>
      </c>
      <c r="L9" s="34">
        <f t="shared" si="4"/>
        <v>62011788.672638372</v>
      </c>
      <c r="M9" s="34">
        <f t="shared" si="4"/>
        <v>63654495.048074752</v>
      </c>
      <c r="N9" s="35">
        <f t="shared" si="4"/>
        <v>65340117.316069454</v>
      </c>
    </row>
    <row r="10" spans="2:14" x14ac:dyDescent="0.3">
      <c r="B10" s="18"/>
      <c r="C10" s="4"/>
      <c r="D10" s="51"/>
      <c r="E10" s="4"/>
      <c r="F10" s="4"/>
      <c r="G10" s="4"/>
      <c r="H10" s="4"/>
      <c r="I10" s="4"/>
      <c r="J10" s="4"/>
      <c r="K10" s="4"/>
      <c r="L10" s="4"/>
      <c r="M10" s="4"/>
      <c r="N10" s="19"/>
    </row>
    <row r="11" spans="2:14" ht="14.5" x14ac:dyDescent="0.35">
      <c r="B11" s="36" t="s">
        <v>60</v>
      </c>
      <c r="C11" s="4"/>
      <c r="D11" s="51"/>
      <c r="E11" s="4"/>
      <c r="F11" s="4"/>
      <c r="G11" s="78">
        <f>+G9/-SUM(G18:G20)</f>
        <v>3.3913043478260879E-2</v>
      </c>
      <c r="H11" s="78">
        <f>+H9/-SUM(G18:H20)</f>
        <v>3.481304347826087E-2</v>
      </c>
      <c r="I11" s="78">
        <f>+I9/-SUM(G18:I20)</f>
        <v>3.5736586956521738E-2</v>
      </c>
      <c r="J11" s="78">
        <f>+J9/-SUM(G18:J20)</f>
        <v>3.6684283369565217E-2</v>
      </c>
      <c r="K11" s="78">
        <f>+K9/-SUM(G18:K20)</f>
        <v>3.7656757827717387E-2</v>
      </c>
      <c r="L11" s="78">
        <f>+L9/-SUM(G18:L20)</f>
        <v>3.8654651494801621E-2</v>
      </c>
      <c r="M11" s="78">
        <f>+M9/-SUM(G18:M20)</f>
        <v>3.9678621997990798E-2</v>
      </c>
      <c r="N11" s="81">
        <f>+N9/-SUM(G18:N20)</f>
        <v>4.0729343848076083E-2</v>
      </c>
    </row>
    <row r="12" spans="2:14" ht="14.5" x14ac:dyDescent="0.35">
      <c r="B12" s="36" t="s">
        <v>61</v>
      </c>
      <c r="C12" s="4"/>
      <c r="D12" s="51"/>
      <c r="E12" s="4"/>
      <c r="F12" s="4"/>
      <c r="G12" s="79">
        <f>+G9/G7</f>
        <v>0.76470588235294124</v>
      </c>
      <c r="H12" s="79">
        <f t="shared" ref="H12:N12" si="5">+H9/H7</f>
        <v>0.76585365853658538</v>
      </c>
      <c r="I12" s="79">
        <f t="shared" si="5"/>
        <v>0.76699583581201669</v>
      </c>
      <c r="J12" s="79">
        <f t="shared" si="5"/>
        <v>0.76813244149098248</v>
      </c>
      <c r="K12" s="79">
        <f t="shared" si="5"/>
        <v>0.76926350275200206</v>
      </c>
      <c r="L12" s="79">
        <f t="shared" si="5"/>
        <v>0.77038904664101671</v>
      </c>
      <c r="M12" s="79">
        <f t="shared" si="5"/>
        <v>0.7715091000720361</v>
      </c>
      <c r="N12" s="80">
        <f t="shared" si="5"/>
        <v>0.77262368982778229</v>
      </c>
    </row>
    <row r="13" spans="2:14" x14ac:dyDescent="0.3">
      <c r="B13" s="18"/>
      <c r="C13" s="4"/>
      <c r="D13" s="51"/>
      <c r="E13" s="4"/>
      <c r="F13" s="4"/>
      <c r="G13" s="4"/>
      <c r="H13" s="4"/>
      <c r="I13" s="4"/>
      <c r="J13" s="4"/>
      <c r="K13" s="4"/>
      <c r="L13" s="4"/>
      <c r="M13" s="4"/>
      <c r="N13" s="19"/>
    </row>
    <row r="14" spans="2:14" x14ac:dyDescent="0.3">
      <c r="B14" s="18" t="s">
        <v>23</v>
      </c>
      <c r="C14" s="37">
        <f>+Assumptions!C31</f>
        <v>0.17</v>
      </c>
      <c r="D14" s="51" t="str">
        <f>+Assumptions!D31</f>
        <v>of Net Income</v>
      </c>
      <c r="E14" s="32">
        <f t="shared" ref="E14:E15" si="6">+SUM(G14:N14)</f>
        <v>-81234934.707250834</v>
      </c>
      <c r="F14" s="4"/>
      <c r="G14" s="32">
        <f>-G9*$C$14</f>
        <v>-9248859.5472000018</v>
      </c>
      <c r="H14" s="32">
        <f>-H9*$C$14</f>
        <v>-9494310.0505679995</v>
      </c>
      <c r="I14" s="32">
        <f>-I9*$C$14</f>
        <v>-9746181.3968139589</v>
      </c>
      <c r="J14" s="32">
        <f t="shared" ref="J14:N14" si="7">-J9*$C$14</f>
        <v>-10004639.798615703</v>
      </c>
      <c r="K14" s="32">
        <f t="shared" si="7"/>
        <v>-10269855.737800118</v>
      </c>
      <c r="L14" s="32">
        <f t="shared" si="7"/>
        <v>-10542004.074348524</v>
      </c>
      <c r="M14" s="32">
        <f t="shared" si="7"/>
        <v>-10821264.158172708</v>
      </c>
      <c r="N14" s="33">
        <f t="shared" si="7"/>
        <v>-11107819.943731807</v>
      </c>
    </row>
    <row r="15" spans="2:14" ht="14.5" thickBot="1" x14ac:dyDescent="0.35">
      <c r="B15" s="38" t="s">
        <v>62</v>
      </c>
      <c r="C15" s="25"/>
      <c r="D15" s="52"/>
      <c r="E15" s="39">
        <f t="shared" si="6"/>
        <v>396617622.39422458</v>
      </c>
      <c r="F15" s="39"/>
      <c r="G15" s="39">
        <f>+SUM(G9,G14)</f>
        <v>45156196.612800002</v>
      </c>
      <c r="H15" s="39">
        <f t="shared" ref="H15:N15" si="8">+SUM(H9,H14)</f>
        <v>46354572.599831998</v>
      </c>
      <c r="I15" s="39">
        <f t="shared" si="8"/>
        <v>47584297.407974035</v>
      </c>
      <c r="J15" s="39">
        <f t="shared" si="8"/>
        <v>48846182.54618255</v>
      </c>
      <c r="K15" s="39">
        <f t="shared" si="8"/>
        <v>50141060.366906449</v>
      </c>
      <c r="L15" s="39">
        <f t="shared" si="8"/>
        <v>51469784.598289847</v>
      </c>
      <c r="M15" s="39">
        <f t="shared" si="8"/>
        <v>52833230.88990204</v>
      </c>
      <c r="N15" s="40">
        <f t="shared" si="8"/>
        <v>54232297.372337647</v>
      </c>
    </row>
    <row r="16" spans="2:14" ht="14.5" thickBot="1" x14ac:dyDescent="0.35"/>
    <row r="17" spans="2:14" x14ac:dyDescent="0.3">
      <c r="B17" s="15" t="s">
        <v>67</v>
      </c>
      <c r="C17" s="24"/>
      <c r="D17" s="53"/>
      <c r="E17" s="24"/>
      <c r="F17" s="24"/>
      <c r="G17" s="24"/>
      <c r="H17" s="24"/>
      <c r="I17" s="24"/>
      <c r="J17" s="24"/>
      <c r="K17" s="24"/>
      <c r="L17" s="24"/>
      <c r="M17" s="24"/>
      <c r="N17" s="17"/>
    </row>
    <row r="18" spans="2:14" x14ac:dyDescent="0.3">
      <c r="B18" s="18" t="s">
        <v>68</v>
      </c>
      <c r="C18" s="45">
        <f>+Assumptions!G11</f>
        <v>2000</v>
      </c>
      <c r="D18" s="51" t="str">
        <f>+Assumptions!H11</f>
        <v>SGD psf GFA</v>
      </c>
      <c r="E18" s="32">
        <f>+SUM(G18:N18)</f>
        <v>-1550001599.9999998</v>
      </c>
      <c r="F18" s="4"/>
      <c r="G18" s="32">
        <f>-IF(G4=1,Assumptions!$G$12,0)</f>
        <v>-1550001599.9999998</v>
      </c>
      <c r="H18" s="30">
        <f>-IF(H4=1,Assumptions!$G$12,0)</f>
        <v>0</v>
      </c>
      <c r="I18" s="30">
        <f>-IF(I4=1,Assumptions!$G$12,0)</f>
        <v>0</v>
      </c>
      <c r="J18" s="30">
        <f>-IF(J4=1,Assumptions!$G$12,0)</f>
        <v>0</v>
      </c>
      <c r="K18" s="30">
        <f>-IF(K4=1,Assumptions!$G$12,0)</f>
        <v>0</v>
      </c>
      <c r="L18" s="30">
        <f>-IF(L4=1,Assumptions!$G$12,0)</f>
        <v>0</v>
      </c>
      <c r="M18" s="30">
        <f>-IF(M4=1,Assumptions!$G$12,0)</f>
        <v>0</v>
      </c>
      <c r="N18" s="31">
        <f>-IF(N4=1,Assumptions!$G$12,0)</f>
        <v>0</v>
      </c>
    </row>
    <row r="19" spans="2:14" x14ac:dyDescent="0.3">
      <c r="B19" s="18" t="s">
        <v>29</v>
      </c>
      <c r="C19" s="48">
        <f>+Assumptions!G9</f>
        <v>0.03</v>
      </c>
      <c r="D19" s="51" t="str">
        <f>+Assumptions!H9</f>
        <v>of Purchase Price</v>
      </c>
      <c r="E19" s="32">
        <f t="shared" ref="E19:E26" si="9">+SUM(G19:N19)</f>
        <v>-46500047.999999993</v>
      </c>
      <c r="F19" s="4"/>
      <c r="G19" s="32">
        <f>+G18*$C$19</f>
        <v>-46500047.999999993</v>
      </c>
      <c r="H19" s="30">
        <f t="shared" ref="H19:N19" si="10">+H18*$C$19</f>
        <v>0</v>
      </c>
      <c r="I19" s="30">
        <f t="shared" si="10"/>
        <v>0</v>
      </c>
      <c r="J19" s="30">
        <f t="shared" si="10"/>
        <v>0</v>
      </c>
      <c r="K19" s="30">
        <f t="shared" si="10"/>
        <v>0</v>
      </c>
      <c r="L19" s="30">
        <f t="shared" si="10"/>
        <v>0</v>
      </c>
      <c r="M19" s="30">
        <f t="shared" si="10"/>
        <v>0</v>
      </c>
      <c r="N19" s="31">
        <f t="shared" si="10"/>
        <v>0</v>
      </c>
    </row>
    <row r="20" spans="2:14" x14ac:dyDescent="0.3">
      <c r="B20" s="18" t="s">
        <v>30</v>
      </c>
      <c r="C20" s="45"/>
      <c r="D20" s="51"/>
      <c r="E20" s="32">
        <f t="shared" si="9"/>
        <v>-7750007.9999999991</v>
      </c>
      <c r="F20" s="4"/>
      <c r="G20" s="32">
        <f>-IF(G4=1,Assumptions!G10,0)</f>
        <v>-7750007.9999999991</v>
      </c>
      <c r="H20" s="30">
        <f>-IF(H4=1,Assumptions!H10,0)</f>
        <v>0</v>
      </c>
      <c r="I20" s="30">
        <f>-IF(I4=1,Assumptions!I10,0)</f>
        <v>0</v>
      </c>
      <c r="J20" s="30">
        <f>-IF(J4=1,Assumptions!J10,0)</f>
        <v>0</v>
      </c>
      <c r="K20" s="30">
        <f>-IF(K4=1,Assumptions!K10,0)</f>
        <v>0</v>
      </c>
      <c r="L20" s="30">
        <f>-IF(L4=1,Assumptions!L10,0)</f>
        <v>0</v>
      </c>
      <c r="M20" s="30">
        <f>-IF(M4=1,Assumptions!M10,0)</f>
        <v>0</v>
      </c>
      <c r="N20" s="31">
        <f>-IF(N4=1,Assumptions!N10,0)</f>
        <v>0</v>
      </c>
    </row>
    <row r="21" spans="2:14" x14ac:dyDescent="0.3">
      <c r="B21" s="18" t="s">
        <v>32</v>
      </c>
      <c r="C21" s="48">
        <f>+Assumptions!G13</f>
        <v>1E-3</v>
      </c>
      <c r="D21" s="51" t="str">
        <f>+Assumptions!H13</f>
        <v>of Purchase Price</v>
      </c>
      <c r="E21" s="32">
        <f>+SUM(G21:N21)</f>
        <v>-10850011.199999999</v>
      </c>
      <c r="F21" s="4"/>
      <c r="G21" s="32">
        <f>+IF(G4&lt;=Assumptions!$G$5,'Cash Flow'!$C$21*'Cash Flow'!$E$18,0)</f>
        <v>-1550001.5999999999</v>
      </c>
      <c r="H21" s="32">
        <f>+IF(H4&lt;=Assumptions!$G$5,'Cash Flow'!$C$21*'Cash Flow'!$E$18,0)</f>
        <v>-1550001.5999999999</v>
      </c>
      <c r="I21" s="32">
        <f>+IF(I4&lt;=Assumptions!$G$5,'Cash Flow'!$C$21*'Cash Flow'!$E$18,0)</f>
        <v>-1550001.5999999999</v>
      </c>
      <c r="J21" s="32">
        <f>+IF(J4&lt;=Assumptions!$G$5,'Cash Flow'!$C$21*'Cash Flow'!$E$18,0)</f>
        <v>-1550001.5999999999</v>
      </c>
      <c r="K21" s="32">
        <f>+IF(K4&lt;=Assumptions!$G$5,'Cash Flow'!$C$21*'Cash Flow'!$E$18,0)</f>
        <v>-1550001.5999999999</v>
      </c>
      <c r="L21" s="32">
        <f>+IF(L4&lt;=Assumptions!$G$5,'Cash Flow'!$C$21*'Cash Flow'!$E$18,0)</f>
        <v>-1550001.5999999999</v>
      </c>
      <c r="M21" s="32">
        <f>+IF(M4&lt;=Assumptions!$G$5,'Cash Flow'!$C$21*'Cash Flow'!$E$18,0)</f>
        <v>-1550001.5999999999</v>
      </c>
      <c r="N21" s="31">
        <f>+IF(N4&lt;=Assumptions!$G$5,'Cash Flow'!$C$21*'Cash Flow'!$E$18,0)</f>
        <v>0</v>
      </c>
    </row>
    <row r="22" spans="2:14" x14ac:dyDescent="0.3">
      <c r="B22" s="18"/>
      <c r="C22" s="4"/>
      <c r="D22" s="51"/>
      <c r="E22" s="32"/>
      <c r="F22" s="4"/>
      <c r="G22" s="4"/>
      <c r="H22" s="4"/>
      <c r="I22" s="4"/>
      <c r="J22" s="4"/>
      <c r="K22" s="4"/>
      <c r="L22" s="4"/>
      <c r="M22" s="4"/>
      <c r="N22" s="19"/>
    </row>
    <row r="23" spans="2:14" x14ac:dyDescent="0.3">
      <c r="B23" s="18" t="s">
        <v>69</v>
      </c>
      <c r="C23" s="48">
        <f>+Assumptions!G16</f>
        <v>3.5000000000000003E-2</v>
      </c>
      <c r="D23" s="51" t="str">
        <f>+Assumptions!F16</f>
        <v>Exit Cap Rate</v>
      </c>
      <c r="E23" s="32">
        <f t="shared" si="9"/>
        <v>1866860494.7448413</v>
      </c>
      <c r="F23" s="4"/>
      <c r="G23" s="30">
        <f>+IF(G4=Assumptions!$G$5,'Cash Flow'!H9/'Cash Flow'!$C$23,0)</f>
        <v>0</v>
      </c>
      <c r="H23" s="30">
        <f>+IF(H4=Assumptions!$G$5,'Cash Flow'!I9/'Cash Flow'!$C$23,0)</f>
        <v>0</v>
      </c>
      <c r="I23" s="30">
        <f>+IF(I4=Assumptions!$G$5,'Cash Flow'!J9/'Cash Flow'!$C$23,0)</f>
        <v>0</v>
      </c>
      <c r="J23" s="30">
        <f>+IF(J4=Assumptions!$G$5,'Cash Flow'!K9/'Cash Flow'!$C$23,0)</f>
        <v>0</v>
      </c>
      <c r="K23" s="30">
        <f>+IF(K4=Assumptions!$G$5,'Cash Flow'!L9/'Cash Flow'!$C$23,0)</f>
        <v>0</v>
      </c>
      <c r="L23" s="30">
        <f>+IF(L4=Assumptions!$G$5,'Cash Flow'!M9/'Cash Flow'!$C$23,0)</f>
        <v>0</v>
      </c>
      <c r="M23" s="32">
        <f>+IF(M4=Assumptions!$G$5,'Cash Flow'!N9/'Cash Flow'!$C$23,0)</f>
        <v>1866860494.7448413</v>
      </c>
      <c r="N23" s="31">
        <f>+IF(N4=Assumptions!$G$5,'Cash Flow'!O9/'Cash Flow'!$C$23,0)</f>
        <v>0</v>
      </c>
    </row>
    <row r="24" spans="2:14" x14ac:dyDescent="0.3">
      <c r="B24" s="18" t="s">
        <v>35</v>
      </c>
      <c r="C24" s="48">
        <f>+Assumptions!G17</f>
        <v>0.01</v>
      </c>
      <c r="D24" s="51" t="str">
        <f>+Assumptions!H17</f>
        <v>of Sale Price</v>
      </c>
      <c r="E24" s="32">
        <f t="shared" si="9"/>
        <v>-18668604.947448414</v>
      </c>
      <c r="F24" s="4"/>
      <c r="G24" s="30">
        <f>-G23*$C$24</f>
        <v>0</v>
      </c>
      <c r="H24" s="30">
        <f t="shared" ref="H24:N24" si="11">-H23*$C$24</f>
        <v>0</v>
      </c>
      <c r="I24" s="30">
        <f t="shared" si="11"/>
        <v>0</v>
      </c>
      <c r="J24" s="30">
        <f t="shared" si="11"/>
        <v>0</v>
      </c>
      <c r="K24" s="30">
        <f t="shared" si="11"/>
        <v>0</v>
      </c>
      <c r="L24" s="30">
        <f t="shared" si="11"/>
        <v>0</v>
      </c>
      <c r="M24" s="32">
        <f t="shared" si="11"/>
        <v>-18668604.947448414</v>
      </c>
      <c r="N24" s="31">
        <f t="shared" si="11"/>
        <v>0</v>
      </c>
    </row>
    <row r="25" spans="2:14" x14ac:dyDescent="0.3">
      <c r="B25" s="18" t="s">
        <v>36</v>
      </c>
      <c r="C25" s="48">
        <f>+Assumptions!G18</f>
        <v>0</v>
      </c>
      <c r="D25" s="51" t="str">
        <f>+Assumptions!H18</f>
        <v>of Sale Price</v>
      </c>
      <c r="E25" s="30">
        <f t="shared" si="9"/>
        <v>0</v>
      </c>
      <c r="F25" s="4"/>
      <c r="G25" s="30">
        <f>-$C$25*G23</f>
        <v>0</v>
      </c>
      <c r="H25" s="30">
        <f t="shared" ref="H25:N25" si="12">-$C$25*H23</f>
        <v>0</v>
      </c>
      <c r="I25" s="30">
        <f t="shared" si="12"/>
        <v>0</v>
      </c>
      <c r="J25" s="30">
        <f t="shared" si="12"/>
        <v>0</v>
      </c>
      <c r="K25" s="30">
        <f t="shared" si="12"/>
        <v>0</v>
      </c>
      <c r="L25" s="30">
        <f t="shared" si="12"/>
        <v>0</v>
      </c>
      <c r="M25" s="30">
        <f t="shared" si="12"/>
        <v>0</v>
      </c>
      <c r="N25" s="31">
        <f t="shared" si="12"/>
        <v>0</v>
      </c>
    </row>
    <row r="26" spans="2:14" x14ac:dyDescent="0.3">
      <c r="B26" s="18" t="s">
        <v>37</v>
      </c>
      <c r="C26" s="48">
        <f>+Assumptions!G19</f>
        <v>0</v>
      </c>
      <c r="D26" s="51" t="str">
        <f>+Assumptions!H19</f>
        <v>of Sale Price</v>
      </c>
      <c r="E26" s="61">
        <f t="shared" si="9"/>
        <v>0</v>
      </c>
      <c r="F26" s="6"/>
      <c r="G26" s="61">
        <f>-$C$26*G23</f>
        <v>0</v>
      </c>
      <c r="H26" s="61">
        <f t="shared" ref="H26:N26" si="13">-$C$26*H23</f>
        <v>0</v>
      </c>
      <c r="I26" s="61">
        <f t="shared" si="13"/>
        <v>0</v>
      </c>
      <c r="J26" s="61">
        <f t="shared" si="13"/>
        <v>0</v>
      </c>
      <c r="K26" s="61">
        <f t="shared" si="13"/>
        <v>0</v>
      </c>
      <c r="L26" s="61">
        <f t="shared" si="13"/>
        <v>0</v>
      </c>
      <c r="M26" s="61">
        <f t="shared" si="13"/>
        <v>0</v>
      </c>
      <c r="N26" s="62">
        <f t="shared" si="13"/>
        <v>0</v>
      </c>
    </row>
    <row r="27" spans="2:14" ht="14.5" thickBot="1" x14ac:dyDescent="0.35">
      <c r="B27" s="38" t="s">
        <v>67</v>
      </c>
      <c r="C27" s="25"/>
      <c r="D27" s="52"/>
      <c r="E27" s="59"/>
      <c r="F27" s="25"/>
      <c r="G27" s="58">
        <f>+SUM(G18:G26)</f>
        <v>-1605801657.5999997</v>
      </c>
      <c r="H27" s="58">
        <f t="shared" ref="H27:N27" si="14">+SUM(H18:H26)</f>
        <v>-1550001.5999999999</v>
      </c>
      <c r="I27" s="58">
        <f t="shared" si="14"/>
        <v>-1550001.5999999999</v>
      </c>
      <c r="J27" s="58">
        <f t="shared" si="14"/>
        <v>-1550001.5999999999</v>
      </c>
      <c r="K27" s="58">
        <f t="shared" si="14"/>
        <v>-1550001.5999999999</v>
      </c>
      <c r="L27" s="58">
        <f t="shared" si="14"/>
        <v>-1550001.5999999999</v>
      </c>
      <c r="M27" s="58">
        <f t="shared" si="14"/>
        <v>1846641888.1973929</v>
      </c>
      <c r="N27" s="60">
        <f t="shared" si="14"/>
        <v>0</v>
      </c>
    </row>
    <row r="28" spans="2:14" ht="14.5" thickBot="1" x14ac:dyDescent="0.35"/>
    <row r="29" spans="2:14" x14ac:dyDescent="0.3">
      <c r="B29" s="64" t="s">
        <v>70</v>
      </c>
      <c r="C29" s="65"/>
      <c r="D29" s="66"/>
      <c r="E29" s="65"/>
      <c r="F29" s="65"/>
      <c r="G29" s="65"/>
      <c r="H29" s="65"/>
      <c r="I29" s="65"/>
      <c r="J29" s="65"/>
      <c r="K29" s="65"/>
      <c r="L29" s="65"/>
      <c r="M29" s="65"/>
      <c r="N29" s="67"/>
    </row>
    <row r="30" spans="2:14" x14ac:dyDescent="0.3">
      <c r="B30" s="18" t="s">
        <v>55</v>
      </c>
      <c r="C30" s="4"/>
      <c r="D30" s="51"/>
      <c r="E30" s="32">
        <f>+SUM(G30:N30)</f>
        <v>342385325.02188694</v>
      </c>
      <c r="F30" s="32"/>
      <c r="G30" s="57">
        <f>+G15</f>
        <v>45156196.612800002</v>
      </c>
      <c r="H30" s="57">
        <f t="shared" ref="H30:M30" si="15">+H15</f>
        <v>46354572.599831998</v>
      </c>
      <c r="I30" s="57">
        <f t="shared" si="15"/>
        <v>47584297.407974035</v>
      </c>
      <c r="J30" s="57">
        <f t="shared" si="15"/>
        <v>48846182.54618255</v>
      </c>
      <c r="K30" s="57">
        <f t="shared" si="15"/>
        <v>50141060.366906449</v>
      </c>
      <c r="L30" s="57">
        <f t="shared" si="15"/>
        <v>51469784.598289847</v>
      </c>
      <c r="M30" s="57">
        <f t="shared" si="15"/>
        <v>52833230.88990204</v>
      </c>
      <c r="N30" s="33"/>
    </row>
    <row r="31" spans="2:14" x14ac:dyDescent="0.3">
      <c r="B31" s="18" t="s">
        <v>67</v>
      </c>
      <c r="C31" s="4"/>
      <c r="D31" s="51"/>
      <c r="E31" s="32">
        <f>+SUM(G31:N31)</f>
        <v>233090222.59739375</v>
      </c>
      <c r="F31" s="32"/>
      <c r="G31" s="57">
        <f>+G27</f>
        <v>-1605801657.5999997</v>
      </c>
      <c r="H31" s="57">
        <f t="shared" ref="H31:M31" si="16">+H27</f>
        <v>-1550001.5999999999</v>
      </c>
      <c r="I31" s="57">
        <f t="shared" si="16"/>
        <v>-1550001.5999999999</v>
      </c>
      <c r="J31" s="57">
        <f t="shared" si="16"/>
        <v>-1550001.5999999999</v>
      </c>
      <c r="K31" s="57">
        <f t="shared" si="16"/>
        <v>-1550001.5999999999</v>
      </c>
      <c r="L31" s="57">
        <f t="shared" si="16"/>
        <v>-1550001.5999999999</v>
      </c>
      <c r="M31" s="57">
        <f t="shared" si="16"/>
        <v>1846641888.1973929</v>
      </c>
      <c r="N31" s="33"/>
    </row>
    <row r="32" spans="2:14" ht="14.5" thickBot="1" x14ac:dyDescent="0.35">
      <c r="B32" s="20" t="s">
        <v>70</v>
      </c>
      <c r="C32" s="4"/>
      <c r="D32" s="51"/>
      <c r="E32" s="29">
        <f>+SUM(G32:N32)</f>
        <v>575475547.6192801</v>
      </c>
      <c r="F32" s="56"/>
      <c r="G32" s="29">
        <f>+SUM(G30:G31)</f>
        <v>-1560645460.9871998</v>
      </c>
      <c r="H32" s="29">
        <f t="shared" ref="H32:M32" si="17">+SUM(H30:H31)</f>
        <v>44804570.999831997</v>
      </c>
      <c r="I32" s="29">
        <f t="shared" si="17"/>
        <v>46034295.807974033</v>
      </c>
      <c r="J32" s="29">
        <f t="shared" si="17"/>
        <v>47296180.946182549</v>
      </c>
      <c r="K32" s="29">
        <f t="shared" si="17"/>
        <v>48591058.766906448</v>
      </c>
      <c r="L32" s="29">
        <f t="shared" si="17"/>
        <v>49919782.998289846</v>
      </c>
      <c r="M32" s="29">
        <f t="shared" si="17"/>
        <v>1899475119.0872951</v>
      </c>
      <c r="N32" s="68"/>
    </row>
    <row r="33" spans="2:14" ht="14.5" thickBot="1" x14ac:dyDescent="0.35">
      <c r="B33" s="21" t="s">
        <v>71</v>
      </c>
      <c r="C33" s="63">
        <f>+XIRR(G32:M32,G2:M2)</f>
        <v>5.7161870598793033E-2</v>
      </c>
      <c r="D33" s="52"/>
      <c r="E33" s="25"/>
      <c r="F33" s="25"/>
      <c r="G33" s="25"/>
      <c r="H33" s="25"/>
      <c r="I33" s="25"/>
      <c r="J33" s="25"/>
      <c r="K33" s="25"/>
      <c r="L33" s="25"/>
      <c r="M33" s="25"/>
      <c r="N33" s="23"/>
    </row>
    <row r="34" spans="2:14" ht="14.5" thickBot="1" x14ac:dyDescent="0.35"/>
    <row r="35" spans="2:14" x14ac:dyDescent="0.3">
      <c r="B35" s="15" t="s">
        <v>74</v>
      </c>
      <c r="C35" s="24"/>
      <c r="D35" s="53"/>
      <c r="E35" s="24"/>
      <c r="F35" s="24"/>
      <c r="G35" s="24"/>
      <c r="H35" s="24"/>
      <c r="I35" s="24"/>
      <c r="J35" s="24"/>
      <c r="K35" s="24"/>
      <c r="L35" s="24"/>
      <c r="M35" s="24"/>
      <c r="N35" s="17"/>
    </row>
    <row r="36" spans="2:14" x14ac:dyDescent="0.3">
      <c r="B36" s="18" t="s">
        <v>75</v>
      </c>
      <c r="C36" s="37">
        <f>+Assumptions!G24</f>
        <v>0.7</v>
      </c>
      <c r="D36" s="51" t="s">
        <v>76</v>
      </c>
      <c r="E36" s="32">
        <f>+SUM(G36:M36)</f>
        <v>1117551153.5999997</v>
      </c>
      <c r="F36" s="4"/>
      <c r="G36" s="32">
        <f>-IF(G4=1,$C$36*SUM($E$18:$E$19),0)</f>
        <v>1117551153.5999997</v>
      </c>
      <c r="H36" s="30">
        <f t="shared" ref="H36:M36" si="18">-IF(H4=1,$C$36*SUM($E$18:$E$19),0)</f>
        <v>0</v>
      </c>
      <c r="I36" s="30">
        <f t="shared" si="18"/>
        <v>0</v>
      </c>
      <c r="J36" s="30">
        <f t="shared" si="18"/>
        <v>0</v>
      </c>
      <c r="K36" s="30">
        <f t="shared" si="18"/>
        <v>0</v>
      </c>
      <c r="L36" s="30">
        <f t="shared" si="18"/>
        <v>0</v>
      </c>
      <c r="M36" s="30">
        <f t="shared" si="18"/>
        <v>0</v>
      </c>
      <c r="N36" s="19"/>
    </row>
    <row r="37" spans="2:14" x14ac:dyDescent="0.3">
      <c r="B37" s="18" t="s">
        <v>77</v>
      </c>
      <c r="C37" s="48">
        <f>+Assumptions!G26</f>
        <v>3.5000000000000003E-2</v>
      </c>
      <c r="D37" s="51"/>
      <c r="E37" s="32">
        <f>+SUM(G37:N37)</f>
        <v>-273800032.63199997</v>
      </c>
      <c r="F37" s="4"/>
      <c r="G37" s="32">
        <f>+IF(G4&lt;=7,-$C$37*$E$36,0)</f>
        <v>-39114290.375999995</v>
      </c>
      <c r="H37" s="32">
        <f t="shared" ref="H37:M37" si="19">+IF(H4&lt;=7,-$C$37*$E$36,0)</f>
        <v>-39114290.375999995</v>
      </c>
      <c r="I37" s="32">
        <f t="shared" si="19"/>
        <v>-39114290.375999995</v>
      </c>
      <c r="J37" s="32">
        <f t="shared" si="19"/>
        <v>-39114290.375999995</v>
      </c>
      <c r="K37" s="32">
        <f t="shared" si="19"/>
        <v>-39114290.375999995</v>
      </c>
      <c r="L37" s="32">
        <f t="shared" si="19"/>
        <v>-39114290.375999995</v>
      </c>
      <c r="M37" s="32">
        <f t="shared" si="19"/>
        <v>-39114290.375999995</v>
      </c>
      <c r="N37" s="19"/>
    </row>
    <row r="38" spans="2:14" x14ac:dyDescent="0.3">
      <c r="B38" s="18" t="s">
        <v>78</v>
      </c>
      <c r="C38" s="4"/>
      <c r="D38" s="51"/>
      <c r="E38" s="32">
        <f>+SUM(G38:N38)</f>
        <v>-1117551153.5999997</v>
      </c>
      <c r="F38" s="4"/>
      <c r="G38" s="30">
        <f>+IF(G4=7,-$E$36,0)</f>
        <v>0</v>
      </c>
      <c r="H38" s="30">
        <f t="shared" ref="H38:M38" si="20">+IF(H4=7,-$E$36,0)</f>
        <v>0</v>
      </c>
      <c r="I38" s="30">
        <f t="shared" si="20"/>
        <v>0</v>
      </c>
      <c r="J38" s="30">
        <f t="shared" si="20"/>
        <v>0</v>
      </c>
      <c r="K38" s="30">
        <f t="shared" si="20"/>
        <v>0</v>
      </c>
      <c r="L38" s="30">
        <f t="shared" si="20"/>
        <v>0</v>
      </c>
      <c r="M38" s="32">
        <f t="shared" si="20"/>
        <v>-1117551153.5999997</v>
      </c>
      <c r="N38" s="19"/>
    </row>
    <row r="39" spans="2:14" x14ac:dyDescent="0.3">
      <c r="B39" s="18" t="s">
        <v>42</v>
      </c>
      <c r="C39" s="48">
        <f>+Assumptions!G27</f>
        <v>0.01</v>
      </c>
      <c r="D39" s="51" t="str">
        <f>+Assumptions!H27</f>
        <v>of Loan Drawn</v>
      </c>
      <c r="E39" s="32">
        <f t="shared" ref="E39" si="21">+SUM(G39:N39)</f>
        <v>-11175511.535999997</v>
      </c>
      <c r="F39" s="4"/>
      <c r="G39" s="32">
        <f>+IF(G4=1,-$E$36*$C$39,0)</f>
        <v>-11175511.535999997</v>
      </c>
      <c r="H39" s="30">
        <f t="shared" ref="H39:M39" si="22">+IF(H4=1,-$E$36*$C$39,0)</f>
        <v>0</v>
      </c>
      <c r="I39" s="30">
        <f t="shared" si="22"/>
        <v>0</v>
      </c>
      <c r="J39" s="30">
        <f t="shared" si="22"/>
        <v>0</v>
      </c>
      <c r="K39" s="30">
        <f t="shared" si="22"/>
        <v>0</v>
      </c>
      <c r="L39" s="30">
        <f t="shared" si="22"/>
        <v>0</v>
      </c>
      <c r="M39" s="30">
        <f t="shared" si="22"/>
        <v>0</v>
      </c>
      <c r="N39" s="19"/>
    </row>
    <row r="40" spans="2:14" ht="14.5" thickBot="1" x14ac:dyDescent="0.35">
      <c r="B40" s="38" t="s">
        <v>74</v>
      </c>
      <c r="C40" s="25"/>
      <c r="D40" s="52"/>
      <c r="E40" s="71">
        <f>+SUM(G40:M40)</f>
        <v>0</v>
      </c>
      <c r="F40" s="55"/>
      <c r="G40" s="72">
        <f>G36+G38</f>
        <v>1117551153.5999997</v>
      </c>
      <c r="H40" s="71">
        <f t="shared" ref="H40:M40" si="23">H36+H38</f>
        <v>0</v>
      </c>
      <c r="I40" s="71">
        <f t="shared" si="23"/>
        <v>0</v>
      </c>
      <c r="J40" s="71">
        <f t="shared" si="23"/>
        <v>0</v>
      </c>
      <c r="K40" s="71">
        <f t="shared" si="23"/>
        <v>0</v>
      </c>
      <c r="L40" s="71">
        <f t="shared" si="23"/>
        <v>0</v>
      </c>
      <c r="M40" s="72">
        <f t="shared" si="23"/>
        <v>-1117551153.5999997</v>
      </c>
      <c r="N40" s="73"/>
    </row>
    <row r="41" spans="2:14" ht="14.5" thickBot="1" x14ac:dyDescent="0.35"/>
    <row r="42" spans="2:14" x14ac:dyDescent="0.3">
      <c r="B42" s="64" t="s">
        <v>79</v>
      </c>
      <c r="C42" s="65"/>
      <c r="D42" s="66"/>
      <c r="E42" s="65"/>
      <c r="F42" s="65"/>
      <c r="G42" s="65"/>
      <c r="H42" s="65"/>
      <c r="I42" s="65"/>
      <c r="J42" s="65"/>
      <c r="K42" s="65"/>
      <c r="L42" s="65"/>
      <c r="M42" s="65"/>
      <c r="N42" s="67"/>
    </row>
    <row r="43" spans="2:14" x14ac:dyDescent="0.3">
      <c r="B43" s="18" t="s">
        <v>59</v>
      </c>
      <c r="C43" s="4"/>
      <c r="D43" s="51"/>
      <c r="E43" s="30">
        <f>+SUM(G43:N43)</f>
        <v>412512439.78540599</v>
      </c>
      <c r="F43" s="4"/>
      <c r="G43" s="30">
        <f>+G9</f>
        <v>54405056.160000004</v>
      </c>
      <c r="H43" s="30">
        <f t="shared" ref="H43:M43" si="24">+H9</f>
        <v>55848882.650399998</v>
      </c>
      <c r="I43" s="30">
        <f t="shared" si="24"/>
        <v>57330478.804787993</v>
      </c>
      <c r="J43" s="30">
        <f t="shared" si="24"/>
        <v>58850822.344798252</v>
      </c>
      <c r="K43" s="30">
        <f t="shared" si="24"/>
        <v>60410916.104706571</v>
      </c>
      <c r="L43" s="30">
        <f t="shared" si="24"/>
        <v>62011788.672638372</v>
      </c>
      <c r="M43" s="30">
        <f t="shared" si="24"/>
        <v>63654495.048074752</v>
      </c>
      <c r="N43" s="19"/>
    </row>
    <row r="44" spans="2:14" x14ac:dyDescent="0.3">
      <c r="B44" s="18" t="s">
        <v>80</v>
      </c>
      <c r="C44" s="4"/>
      <c r="D44" s="51"/>
      <c r="E44" s="30">
        <f>+SUM(G44:N44)</f>
        <v>-273800032.63199997</v>
      </c>
      <c r="F44" s="4"/>
      <c r="G44" s="32">
        <f>+G37</f>
        <v>-39114290.375999995</v>
      </c>
      <c r="H44" s="32">
        <f t="shared" ref="H44:M44" si="25">+H37</f>
        <v>-39114290.375999995</v>
      </c>
      <c r="I44" s="32">
        <f t="shared" si="25"/>
        <v>-39114290.375999995</v>
      </c>
      <c r="J44" s="32">
        <f t="shared" si="25"/>
        <v>-39114290.375999995</v>
      </c>
      <c r="K44" s="32">
        <f t="shared" si="25"/>
        <v>-39114290.375999995</v>
      </c>
      <c r="L44" s="32">
        <f t="shared" si="25"/>
        <v>-39114290.375999995</v>
      </c>
      <c r="M44" s="32">
        <f t="shared" si="25"/>
        <v>-39114290.375999995</v>
      </c>
      <c r="N44" s="19"/>
    </row>
    <row r="45" spans="2:14" x14ac:dyDescent="0.3">
      <c r="B45" s="18" t="s">
        <v>42</v>
      </c>
      <c r="C45" s="4"/>
      <c r="D45" s="51"/>
      <c r="E45" s="32">
        <f>+SUM(G45:N45)</f>
        <v>-11175511.535999997</v>
      </c>
      <c r="F45" s="4"/>
      <c r="G45" s="32">
        <f>+G39</f>
        <v>-11175511.535999997</v>
      </c>
      <c r="H45" s="30">
        <f t="shared" ref="H45:M45" si="26">+H39</f>
        <v>0</v>
      </c>
      <c r="I45" s="30">
        <f t="shared" si="26"/>
        <v>0</v>
      </c>
      <c r="J45" s="30">
        <f t="shared" si="26"/>
        <v>0</v>
      </c>
      <c r="K45" s="30">
        <f t="shared" si="26"/>
        <v>0</v>
      </c>
      <c r="L45" s="30">
        <f t="shared" si="26"/>
        <v>0</v>
      </c>
      <c r="M45" s="30">
        <f t="shared" si="26"/>
        <v>0</v>
      </c>
      <c r="N45" s="19"/>
    </row>
    <row r="46" spans="2:14" x14ac:dyDescent="0.3">
      <c r="B46" s="18" t="s">
        <v>23</v>
      </c>
      <c r="C46" s="75">
        <f>+Assumptions!C31</f>
        <v>0.17</v>
      </c>
      <c r="D46" s="51" t="str">
        <f>+Assumptions!D31</f>
        <v>of Net Income</v>
      </c>
      <c r="E46" s="32">
        <f>+SUM(G46:N46)</f>
        <v>-21681272.254959017</v>
      </c>
      <c r="F46" s="4"/>
      <c r="G46" s="32">
        <f>-IF(SUM(G43:G45)&gt;0,$C$46*SUM(G43:G45),0)</f>
        <v>-699593.22216000222</v>
      </c>
      <c r="H46" s="32">
        <f t="shared" ref="H46:M46" si="27">-IF(SUM(H43:H45)&gt;0,$C$46*SUM(H43:H45),0)</f>
        <v>-2844880.686648001</v>
      </c>
      <c r="I46" s="32">
        <f t="shared" si="27"/>
        <v>-3096752.0328939599</v>
      </c>
      <c r="J46" s="32">
        <f t="shared" si="27"/>
        <v>-3355210.4346957039</v>
      </c>
      <c r="K46" s="32">
        <f t="shared" si="27"/>
        <v>-3620426.3738801181</v>
      </c>
      <c r="L46" s="32">
        <f t="shared" si="27"/>
        <v>-3892574.7104285243</v>
      </c>
      <c r="M46" s="32">
        <f t="shared" si="27"/>
        <v>-4171834.794252709</v>
      </c>
      <c r="N46" s="19"/>
    </row>
    <row r="47" spans="2:14" x14ac:dyDescent="0.3">
      <c r="B47" s="20" t="s">
        <v>62</v>
      </c>
      <c r="C47" s="4"/>
      <c r="D47" s="51"/>
      <c r="E47" s="54">
        <f>+SUM(G47:N47)</f>
        <v>105855623.36244696</v>
      </c>
      <c r="F47" s="2"/>
      <c r="G47" s="54">
        <f>+SUM(G43:G46)</f>
        <v>3415661.0258400105</v>
      </c>
      <c r="H47" s="54">
        <f t="shared" ref="H47:M47" si="28">+SUM(H43:H46)</f>
        <v>13889711.587752003</v>
      </c>
      <c r="I47" s="54">
        <f t="shared" si="28"/>
        <v>15119436.395894039</v>
      </c>
      <c r="J47" s="54">
        <f t="shared" si="28"/>
        <v>16381321.534102554</v>
      </c>
      <c r="K47" s="54">
        <f t="shared" si="28"/>
        <v>17676199.354826458</v>
      </c>
      <c r="L47" s="54">
        <f t="shared" si="28"/>
        <v>19004923.586209852</v>
      </c>
      <c r="M47" s="54">
        <f t="shared" si="28"/>
        <v>20368369.877822049</v>
      </c>
      <c r="N47" s="76"/>
    </row>
    <row r="48" spans="2:14" x14ac:dyDescent="0.3">
      <c r="B48" s="18"/>
      <c r="C48" s="4"/>
      <c r="D48" s="51"/>
      <c r="E48" s="4"/>
      <c r="F48" s="4"/>
      <c r="G48" s="4"/>
      <c r="H48" s="4"/>
      <c r="I48" s="4"/>
      <c r="J48" s="4"/>
      <c r="K48" s="4"/>
      <c r="L48" s="4"/>
      <c r="M48" s="4"/>
      <c r="N48" s="19"/>
    </row>
    <row r="49" spans="2:14" x14ac:dyDescent="0.3">
      <c r="B49" s="18" t="s">
        <v>81</v>
      </c>
      <c r="C49" s="4"/>
      <c r="D49" s="51"/>
      <c r="E49" s="30">
        <f>+SUM(G49:N49)</f>
        <v>105855623.36244696</v>
      </c>
      <c r="F49" s="4"/>
      <c r="G49" s="30">
        <f>+G47</f>
        <v>3415661.0258400105</v>
      </c>
      <c r="H49" s="30">
        <f t="shared" ref="H49:M49" si="29">+H47</f>
        <v>13889711.587752003</v>
      </c>
      <c r="I49" s="30">
        <f t="shared" si="29"/>
        <v>15119436.395894039</v>
      </c>
      <c r="J49" s="30">
        <f t="shared" si="29"/>
        <v>16381321.534102554</v>
      </c>
      <c r="K49" s="30">
        <f t="shared" si="29"/>
        <v>17676199.354826458</v>
      </c>
      <c r="L49" s="30">
        <f t="shared" si="29"/>
        <v>19004923.586209852</v>
      </c>
      <c r="M49" s="30">
        <f t="shared" si="29"/>
        <v>20368369.877822049</v>
      </c>
      <c r="N49" s="19"/>
    </row>
    <row r="50" spans="2:14" x14ac:dyDescent="0.3">
      <c r="B50" s="18" t="s">
        <v>67</v>
      </c>
      <c r="C50" s="4"/>
      <c r="D50" s="51"/>
      <c r="E50" s="30">
        <f>+SUM(G50:N50)</f>
        <v>233090222.59739375</v>
      </c>
      <c r="F50" s="4"/>
      <c r="G50" s="32">
        <f>+G27</f>
        <v>-1605801657.5999997</v>
      </c>
      <c r="H50" s="32">
        <f t="shared" ref="H50:M50" si="30">+H27</f>
        <v>-1550001.5999999999</v>
      </c>
      <c r="I50" s="32">
        <f t="shared" si="30"/>
        <v>-1550001.5999999999</v>
      </c>
      <c r="J50" s="32">
        <f t="shared" si="30"/>
        <v>-1550001.5999999999</v>
      </c>
      <c r="K50" s="32">
        <f t="shared" si="30"/>
        <v>-1550001.5999999999</v>
      </c>
      <c r="L50" s="32">
        <f t="shared" si="30"/>
        <v>-1550001.5999999999</v>
      </c>
      <c r="M50" s="32">
        <f t="shared" si="30"/>
        <v>1846641888.1973929</v>
      </c>
      <c r="N50" s="19"/>
    </row>
    <row r="51" spans="2:14" x14ac:dyDescent="0.3">
      <c r="B51" s="18" t="s">
        <v>74</v>
      </c>
      <c r="C51" s="4"/>
      <c r="D51" s="51"/>
      <c r="E51" s="61">
        <f>+SUM(G51:N51)</f>
        <v>0</v>
      </c>
      <c r="F51" s="6"/>
      <c r="G51" s="74">
        <f>+G40</f>
        <v>1117551153.5999997</v>
      </c>
      <c r="H51" s="61">
        <f t="shared" ref="H51:M51" si="31">+H40</f>
        <v>0</v>
      </c>
      <c r="I51" s="61">
        <f t="shared" si="31"/>
        <v>0</v>
      </c>
      <c r="J51" s="61">
        <f t="shared" si="31"/>
        <v>0</v>
      </c>
      <c r="K51" s="61">
        <f t="shared" si="31"/>
        <v>0</v>
      </c>
      <c r="L51" s="61">
        <f t="shared" si="31"/>
        <v>0</v>
      </c>
      <c r="M51" s="74">
        <f t="shared" si="31"/>
        <v>-1117551153.5999997</v>
      </c>
      <c r="N51" s="77"/>
    </row>
    <row r="52" spans="2:14" ht="14.5" thickBot="1" x14ac:dyDescent="0.35">
      <c r="B52" s="20" t="s">
        <v>79</v>
      </c>
      <c r="C52" s="4"/>
      <c r="D52" s="51"/>
      <c r="E52" s="57">
        <f>+SUM(G52:M52)</f>
        <v>338945845.95984042</v>
      </c>
      <c r="F52" s="4"/>
      <c r="G52" s="57">
        <f>+SUM(G49:G51)</f>
        <v>-484834842.97415996</v>
      </c>
      <c r="H52" s="57">
        <f t="shared" ref="H52:M52" si="32">+SUM(H49:H51)</f>
        <v>12339709.987752004</v>
      </c>
      <c r="I52" s="57">
        <f t="shared" si="32"/>
        <v>13569434.79589404</v>
      </c>
      <c r="J52" s="57">
        <f t="shared" si="32"/>
        <v>14831319.934102554</v>
      </c>
      <c r="K52" s="57">
        <f t="shared" si="32"/>
        <v>16126197.754826458</v>
      </c>
      <c r="L52" s="57">
        <f t="shared" si="32"/>
        <v>17454921.986209851</v>
      </c>
      <c r="M52" s="57">
        <f t="shared" si="32"/>
        <v>749459104.47521544</v>
      </c>
      <c r="N52" s="19"/>
    </row>
    <row r="53" spans="2:14" ht="14.5" thickBot="1" x14ac:dyDescent="0.35">
      <c r="B53" s="38" t="s">
        <v>82</v>
      </c>
      <c r="C53" s="63">
        <f>+XIRR(G52:M52,G2:M2)</f>
        <v>9.7342318296432473E-2</v>
      </c>
      <c r="D53" s="52"/>
      <c r="E53" s="25"/>
      <c r="F53" s="25"/>
      <c r="G53" s="25"/>
      <c r="H53" s="25"/>
      <c r="I53" s="25"/>
      <c r="J53" s="25"/>
      <c r="K53" s="25"/>
      <c r="L53" s="25"/>
      <c r="M53" s="25"/>
      <c r="N53" s="23"/>
    </row>
  </sheetData>
  <phoneticPr fontId="10"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Assumptions</vt:lpstr>
      <vt:lpstr>Cash 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Gabriele</dc:creator>
  <cp:lastModifiedBy>Gabriele</cp:lastModifiedBy>
  <dcterms:created xsi:type="dcterms:W3CDTF">2021-02-10T15:51:34Z</dcterms:created>
  <dcterms:modified xsi:type="dcterms:W3CDTF">2021-02-14T17:37:36Z</dcterms:modified>
</cp:coreProperties>
</file>