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oomberg\Desktop\Gabriel\"/>
    </mc:Choice>
  </mc:AlternateContent>
  <bookViews>
    <workbookView xWindow="10395" yWindow="-105" windowWidth="14850" windowHeight="12735" firstSheet="2" activeTab="3"/>
  </bookViews>
  <sheets>
    <sheet name="Sheet 1" sheetId="2" state="hidden" r:id="rId1"/>
    <sheet name="Hoja1" sheetId="3" state="hidden" r:id="rId2"/>
    <sheet name="fixedincome" sheetId="4" r:id="rId3"/>
    <sheet name="equity1" sheetId="7" r:id="rId4"/>
    <sheet name="equity2" sheetId="8" r:id="rId5"/>
    <sheet name="Fixed Income (2)" sheetId="9" state="hidden" r:id="rId6"/>
    <sheet name="Backup" sheetId="6" state="hidden" r:id="rId7"/>
  </sheets>
  <definedNames>
    <definedName name="_xlnm.Print_Area" localSheetId="6">Backup!$B$1:$U$105</definedName>
    <definedName name="_xlnm.Print_Area" localSheetId="3">equity1!$A$1:$U$33</definedName>
    <definedName name="_xlnm.Print_Area" localSheetId="4">equity2!$A$1:$U$26</definedName>
    <definedName name="_xlnm.Print_Area" localSheetId="5">'Fixed Income (2)'!$B$1:$U$105</definedName>
    <definedName name="_xlnm.Print_Area" localSheetId="2">fixedincome!$A$1:$U$26</definedName>
  </definedNames>
  <calcPr calcId="152511"/>
</workbook>
</file>

<file path=xl/calcChain.xml><?xml version="1.0" encoding="utf-8"?>
<calcChain xmlns="http://schemas.openxmlformats.org/spreadsheetml/2006/main">
  <c r="B4" i="9" l="1"/>
  <c r="K38" i="9"/>
  <c r="M38" i="9"/>
  <c r="I38" i="9"/>
  <c r="O38" i="9"/>
  <c r="N38" i="9"/>
  <c r="J38" i="9"/>
  <c r="P38" i="9"/>
  <c r="L38" i="9"/>
  <c r="F38" i="9"/>
  <c r="E38" i="9"/>
  <c r="H38" i="9"/>
  <c r="G38" i="9"/>
  <c r="R38" i="9"/>
  <c r="Q38" i="9"/>
  <c r="T38" i="9"/>
  <c r="S38" i="9"/>
  <c r="L6" i="3" l="1"/>
  <c r="B4" i="3"/>
  <c r="L7" i="3" l="1"/>
  <c r="L9" i="3"/>
  <c r="L11" i="3"/>
  <c r="L13" i="3"/>
  <c r="L15" i="3"/>
  <c r="L8" i="3"/>
  <c r="L10" i="3"/>
  <c r="L12" i="3"/>
  <c r="L14" i="3"/>
  <c r="L16" i="3"/>
  <c r="E35" i="9"/>
  <c r="F32" i="9"/>
  <c r="O88" i="9"/>
  <c r="J82" i="9"/>
  <c r="J87" i="6"/>
  <c r="P91" i="6"/>
  <c r="I11" i="9"/>
  <c r="L95" i="9"/>
  <c r="M53" i="9"/>
  <c r="N24" i="9"/>
  <c r="R50" i="9"/>
  <c r="K46" i="6"/>
  <c r="U67" i="9"/>
  <c r="M36" i="6"/>
  <c r="F10" i="9"/>
  <c r="L9" i="6"/>
  <c r="H16" i="9"/>
  <c r="R72" i="6"/>
  <c r="F11" i="6"/>
  <c r="O22" i="9"/>
  <c r="Q74" i="6"/>
  <c r="F45" i="9"/>
  <c r="L94" i="9"/>
  <c r="J52" i="6"/>
  <c r="Q53" i="6"/>
  <c r="N45" i="9"/>
  <c r="N47" i="9"/>
  <c r="S28" i="6"/>
  <c r="T82" i="9"/>
  <c r="M45" i="6"/>
  <c r="S14" i="9"/>
  <c r="E57" i="9"/>
  <c r="R100" i="9"/>
  <c r="U46" i="9"/>
  <c r="M96" i="9"/>
  <c r="O64" i="9"/>
  <c r="E97" i="9"/>
  <c r="F80" i="9"/>
  <c r="L96" i="9"/>
  <c r="S82" i="9"/>
  <c r="O104" i="9"/>
  <c r="J13" i="9"/>
  <c r="M46" i="6"/>
  <c r="Q58" i="6"/>
  <c r="Q105" i="9"/>
  <c r="I7" i="2"/>
  <c r="G82" i="6"/>
  <c r="P67" i="9"/>
  <c r="E6" i="3"/>
  <c r="G20" i="6"/>
  <c r="Q97" i="9"/>
  <c r="J51" i="9"/>
  <c r="Q89" i="6"/>
  <c r="T29" i="9"/>
  <c r="G5" i="2"/>
  <c r="K82" i="6"/>
  <c r="T99" i="6"/>
  <c r="T67" i="9"/>
  <c r="S93" i="6"/>
  <c r="P55" i="9"/>
  <c r="I57" i="9"/>
  <c r="O20" i="6"/>
  <c r="M72" i="6"/>
  <c r="U41" i="6"/>
  <c r="L56" i="6"/>
  <c r="K83" i="9"/>
  <c r="L35" i="9"/>
  <c r="J22" i="6"/>
  <c r="J97" i="6"/>
  <c r="E15" i="3"/>
  <c r="K96" i="9"/>
  <c r="N59" i="6"/>
  <c r="Q62" i="9"/>
  <c r="R49" i="9"/>
  <c r="I13" i="9"/>
  <c r="N42" i="6"/>
  <c r="E82" i="9"/>
  <c r="I84" i="6"/>
  <c r="F97" i="6"/>
  <c r="P20" i="6"/>
  <c r="O9" i="6"/>
  <c r="K103" i="9"/>
  <c r="L93" i="6"/>
  <c r="R56" i="6"/>
  <c r="N91" i="6"/>
  <c r="L80" i="9"/>
  <c r="S16" i="6"/>
  <c r="O87" i="6"/>
  <c r="G76" i="9"/>
  <c r="F96" i="9"/>
  <c r="T59" i="6"/>
  <c r="F90" i="9"/>
  <c r="M13" i="6"/>
  <c r="J7" i="3"/>
  <c r="J93" i="6"/>
  <c r="I105" i="9"/>
  <c r="M50" i="9"/>
  <c r="G62" i="6"/>
  <c r="H67" i="9"/>
  <c r="Q18" i="6"/>
  <c r="R32" i="9"/>
  <c r="J70" i="9"/>
  <c r="N12" i="6"/>
  <c r="H102" i="9"/>
  <c r="G28" i="9"/>
  <c r="R20" i="6"/>
  <c r="S88" i="9"/>
  <c r="G42" i="6"/>
  <c r="L46" i="9"/>
  <c r="F54" i="9"/>
  <c r="M102" i="6"/>
  <c r="R67" i="9"/>
  <c r="K51" i="6"/>
  <c r="R56" i="9"/>
  <c r="O36" i="6"/>
  <c r="E63" i="6"/>
  <c r="I7" i="3"/>
  <c r="N77" i="6"/>
  <c r="S45" i="9"/>
  <c r="N60" i="9"/>
  <c r="C3" i="2"/>
  <c r="G10" i="9"/>
  <c r="G92" i="6"/>
  <c r="L29" i="9"/>
  <c r="H78" i="9"/>
  <c r="Q50" i="9"/>
  <c r="M101" i="9"/>
  <c r="L100" i="9"/>
  <c r="F89" i="6"/>
  <c r="D13" i="3"/>
  <c r="O50" i="6"/>
  <c r="U61" i="6"/>
  <c r="T74" i="9"/>
  <c r="M95" i="9"/>
  <c r="H79" i="9"/>
  <c r="J6" i="3"/>
  <c r="K33" i="9"/>
  <c r="I60" i="6"/>
  <c r="R18" i="6"/>
  <c r="H36" i="6"/>
  <c r="K22" i="6"/>
  <c r="F10" i="2"/>
  <c r="R47" i="6"/>
  <c r="J93" i="9"/>
  <c r="P35" i="6"/>
  <c r="P17" i="9"/>
  <c r="P105" i="9"/>
  <c r="P69" i="9"/>
  <c r="S41" i="6"/>
  <c r="G63" i="6"/>
  <c r="O92" i="9"/>
  <c r="P38" i="6"/>
  <c r="L12" i="9"/>
  <c r="E45" i="9"/>
  <c r="F20" i="9"/>
  <c r="M32" i="9"/>
  <c r="H17" i="9"/>
  <c r="G56" i="6"/>
  <c r="O50" i="9"/>
  <c r="T9" i="9"/>
  <c r="J59" i="6"/>
  <c r="G45" i="6"/>
  <c r="Q56" i="9"/>
  <c r="U24" i="6"/>
  <c r="P54" i="9"/>
  <c r="O75" i="9"/>
  <c r="P80" i="9"/>
  <c r="S74" i="9"/>
  <c r="M59" i="9"/>
  <c r="F44" i="6"/>
  <c r="F11" i="9"/>
  <c r="H100" i="6"/>
  <c r="Q71" i="6"/>
  <c r="M14" i="6"/>
  <c r="L81" i="9"/>
  <c r="H81" i="6"/>
  <c r="F61" i="6"/>
  <c r="J67" i="6"/>
  <c r="G75" i="9"/>
  <c r="U36" i="9"/>
  <c r="O13" i="6"/>
  <c r="U52" i="6"/>
  <c r="H33" i="6"/>
  <c r="M104" i="9"/>
  <c r="G8" i="3"/>
  <c r="L21" i="6"/>
  <c r="P97" i="9"/>
  <c r="O12" i="6"/>
  <c r="I88" i="9"/>
  <c r="N100" i="9"/>
  <c r="U60" i="6"/>
  <c r="J95" i="6"/>
  <c r="H44" i="6"/>
  <c r="I52" i="9"/>
  <c r="N14" i="9"/>
  <c r="P94" i="6"/>
  <c r="U11" i="6"/>
  <c r="E51" i="6"/>
  <c r="E84" i="9"/>
  <c r="H8" i="2"/>
  <c r="R38" i="6"/>
  <c r="S42" i="9"/>
  <c r="P75" i="6"/>
  <c r="D10" i="2"/>
  <c r="R68" i="6"/>
  <c r="T64" i="6"/>
  <c r="M84" i="9"/>
  <c r="M9" i="6"/>
  <c r="H71" i="6"/>
  <c r="U94" i="9"/>
  <c r="U84" i="9"/>
  <c r="F81" i="9"/>
  <c r="G96" i="9"/>
  <c r="U86" i="6"/>
  <c r="M75" i="6"/>
  <c r="P83" i="6"/>
  <c r="M60" i="6"/>
  <c r="K91" i="6"/>
  <c r="M35" i="6"/>
  <c r="J16" i="9"/>
  <c r="L104" i="9"/>
  <c r="R74" i="9"/>
  <c r="F105" i="9"/>
  <c r="P72" i="9"/>
  <c r="E13" i="9"/>
  <c r="N96" i="9"/>
  <c r="O45" i="9"/>
  <c r="J15" i="3"/>
  <c r="S37" i="6"/>
  <c r="R68" i="9"/>
  <c r="U38" i="6"/>
  <c r="P24" i="6"/>
  <c r="T67" i="6"/>
  <c r="K26" i="9"/>
  <c r="U35" i="6"/>
  <c r="T75" i="6"/>
  <c r="F103" i="6"/>
  <c r="J57" i="9"/>
  <c r="I10" i="9"/>
  <c r="I101" i="6"/>
  <c r="T26" i="9"/>
  <c r="O88" i="6"/>
  <c r="L24" i="6"/>
  <c r="K75" i="6"/>
  <c r="K60" i="6"/>
  <c r="J83" i="6"/>
  <c r="H99" i="6"/>
  <c r="S65" i="9"/>
  <c r="O17" i="9"/>
  <c r="Q74" i="9"/>
  <c r="G60" i="6"/>
  <c r="E98" i="9"/>
  <c r="P57" i="9"/>
  <c r="E24" i="6"/>
  <c r="Q35" i="6"/>
  <c r="R62" i="6"/>
  <c r="L56" i="9"/>
  <c r="F24" i="6"/>
  <c r="S56" i="6"/>
  <c r="K101" i="9"/>
  <c r="J13" i="3"/>
  <c r="J68" i="9"/>
  <c r="M41" i="6"/>
  <c r="Q80" i="9"/>
  <c r="R22" i="6"/>
  <c r="M37" i="9"/>
  <c r="P95" i="9"/>
  <c r="H10" i="9"/>
  <c r="N32" i="6"/>
  <c r="Q94" i="9"/>
  <c r="I68" i="9"/>
  <c r="U11" i="9"/>
  <c r="M74" i="6"/>
  <c r="F28" i="6"/>
  <c r="T35" i="6"/>
  <c r="Q100" i="9"/>
  <c r="J29" i="9"/>
  <c r="E72" i="9"/>
  <c r="Q102" i="9"/>
  <c r="E64" i="6"/>
  <c r="H26" i="6"/>
  <c r="S54" i="6"/>
  <c r="H22" i="6"/>
  <c r="T25" i="6"/>
  <c r="E16" i="6"/>
  <c r="U55" i="6"/>
  <c r="N80" i="6"/>
  <c r="P101" i="9"/>
  <c r="K21" i="6"/>
  <c r="Q88" i="9"/>
  <c r="S96" i="6"/>
  <c r="T71" i="9"/>
  <c r="F20" i="6"/>
  <c r="L25" i="6"/>
  <c r="F6" i="2"/>
  <c r="H104" i="6"/>
  <c r="L73" i="9"/>
  <c r="G69" i="9"/>
  <c r="Q41" i="6"/>
  <c r="H30" i="6"/>
  <c r="E47" i="6"/>
  <c r="S97" i="6"/>
  <c r="E37" i="6"/>
  <c r="F32" i="6"/>
  <c r="R46" i="6"/>
  <c r="T64" i="9"/>
  <c r="E16" i="3"/>
  <c r="J78" i="6"/>
  <c r="S10" i="9"/>
  <c r="P29" i="6"/>
  <c r="N44" i="6"/>
  <c r="G28" i="6"/>
  <c r="S11" i="6"/>
  <c r="I9" i="3"/>
  <c r="F85" i="9"/>
  <c r="L8" i="9"/>
  <c r="R87" i="6"/>
  <c r="I90" i="9"/>
  <c r="J73" i="9"/>
  <c r="H82" i="9"/>
  <c r="O104" i="6"/>
  <c r="L61" i="6"/>
  <c r="I52" i="6"/>
  <c r="L92" i="9"/>
  <c r="S72" i="6"/>
  <c r="Q75" i="9"/>
  <c r="M82" i="6"/>
  <c r="J47" i="6"/>
  <c r="K94" i="6"/>
  <c r="K88" i="6"/>
  <c r="I21" i="9"/>
  <c r="T58" i="6"/>
  <c r="R73" i="6"/>
  <c r="F78" i="9"/>
  <c r="D3" i="2"/>
  <c r="K48" i="6"/>
  <c r="M89" i="6"/>
  <c r="M94" i="9"/>
  <c r="M80" i="9"/>
  <c r="S105" i="9"/>
  <c r="D2" i="2"/>
  <c r="O44" i="6"/>
  <c r="Q49" i="9"/>
  <c r="H48" i="9"/>
  <c r="H7" i="3"/>
  <c r="G13" i="9"/>
  <c r="E62" i="9"/>
  <c r="G26" i="9"/>
  <c r="R45" i="9"/>
  <c r="P52" i="6"/>
  <c r="U87" i="9"/>
  <c r="I73" i="9"/>
  <c r="H25" i="9"/>
  <c r="J36" i="6"/>
  <c r="R13" i="6"/>
  <c r="R82" i="6"/>
  <c r="M21" i="9"/>
  <c r="O8" i="6"/>
  <c r="H6" i="3"/>
  <c r="R87" i="9"/>
  <c r="N8" i="6"/>
  <c r="S91" i="6"/>
  <c r="M82" i="9"/>
  <c r="M87" i="6"/>
  <c r="H62" i="6"/>
  <c r="U58" i="6"/>
  <c r="N66" i="6"/>
  <c r="L36" i="6"/>
  <c r="R37" i="6"/>
  <c r="P89" i="9"/>
  <c r="U104" i="9"/>
  <c r="P41" i="6"/>
  <c r="E22" i="9"/>
  <c r="H15" i="3"/>
  <c r="S60" i="6"/>
  <c r="E12" i="6"/>
  <c r="J74" i="9"/>
  <c r="L62" i="6"/>
  <c r="O101" i="9"/>
  <c r="O18" i="9"/>
  <c r="O26" i="6"/>
  <c r="I56" i="6"/>
  <c r="C12" i="2"/>
  <c r="F24" i="9"/>
  <c r="E95" i="9"/>
  <c r="H16" i="3"/>
  <c r="K93" i="9"/>
  <c r="I9" i="2"/>
  <c r="K20" i="6"/>
  <c r="H63" i="9"/>
  <c r="G22" i="9"/>
  <c r="T78" i="6"/>
  <c r="N46" i="6"/>
  <c r="Q37" i="6"/>
  <c r="R14" i="9"/>
  <c r="T11" i="9"/>
  <c r="M104" i="6"/>
  <c r="R94" i="6"/>
  <c r="E36" i="9"/>
  <c r="F67" i="9"/>
  <c r="O79" i="6"/>
  <c r="J96" i="6"/>
  <c r="T20" i="9"/>
  <c r="M53" i="6"/>
  <c r="E51" i="9"/>
  <c r="P74" i="9"/>
  <c r="Q103" i="9"/>
  <c r="P59" i="6"/>
  <c r="K105" i="9"/>
  <c r="I35" i="6"/>
  <c r="H73" i="9"/>
  <c r="S75" i="6"/>
  <c r="G84" i="6"/>
  <c r="E59" i="6"/>
  <c r="S99" i="6"/>
  <c r="M86" i="6"/>
  <c r="Q25" i="9"/>
  <c r="C6" i="2"/>
  <c r="T92" i="9"/>
  <c r="R69" i="6"/>
  <c r="O26" i="9"/>
  <c r="O17" i="6"/>
  <c r="S61" i="6"/>
  <c r="M16" i="9"/>
  <c r="I48" i="6"/>
  <c r="L51" i="6"/>
  <c r="M63" i="6"/>
  <c r="Q94" i="6"/>
  <c r="S81" i="6"/>
  <c r="O100" i="9"/>
  <c r="M83" i="6"/>
  <c r="I67" i="6"/>
  <c r="Q55" i="6"/>
  <c r="E2" i="2"/>
  <c r="U12" i="6"/>
  <c r="N84" i="6"/>
  <c r="F37" i="9"/>
  <c r="F12" i="9"/>
  <c r="N85" i="9"/>
  <c r="E87" i="9"/>
  <c r="G63" i="9"/>
  <c r="J89" i="9"/>
  <c r="E67" i="9"/>
  <c r="E41" i="6"/>
  <c r="E46" i="9"/>
  <c r="Q14" i="9"/>
  <c r="I68" i="6"/>
  <c r="L47" i="9"/>
  <c r="G91" i="6"/>
  <c r="E50" i="6"/>
  <c r="L63" i="9"/>
  <c r="L49" i="6"/>
  <c r="E28" i="6"/>
  <c r="I88" i="6"/>
  <c r="G8" i="2"/>
  <c r="U17" i="6"/>
  <c r="H18" i="9"/>
  <c r="E30" i="6"/>
  <c r="S57" i="9"/>
  <c r="G35" i="6"/>
  <c r="I102" i="6"/>
  <c r="I96" i="6"/>
  <c r="N18" i="9"/>
  <c r="L10" i="9"/>
  <c r="Q104" i="9"/>
  <c r="H11" i="6"/>
  <c r="O67" i="9"/>
  <c r="F96" i="6"/>
  <c r="S92" i="9"/>
  <c r="L60" i="9"/>
  <c r="R36" i="6"/>
  <c r="H7" i="2"/>
  <c r="T22" i="6"/>
  <c r="I30" i="6"/>
  <c r="L18" i="6"/>
  <c r="R29" i="9"/>
  <c r="I48" i="9"/>
  <c r="G61" i="9"/>
  <c r="R8" i="6"/>
  <c r="T82" i="6"/>
  <c r="R84" i="9"/>
  <c r="R20" i="9"/>
  <c r="E42" i="9"/>
  <c r="M26" i="6"/>
  <c r="L105" i="9"/>
  <c r="H67" i="6"/>
  <c r="U88" i="6"/>
  <c r="N89" i="9"/>
  <c r="S20" i="9"/>
  <c r="M24" i="6"/>
  <c r="F72" i="9"/>
  <c r="J11" i="3"/>
  <c r="J20" i="9"/>
  <c r="T73" i="9"/>
  <c r="K97" i="9"/>
  <c r="L60" i="6"/>
  <c r="U29" i="6"/>
  <c r="P52" i="9"/>
  <c r="E60" i="6"/>
  <c r="D6" i="3"/>
  <c r="D4" i="2"/>
  <c r="K43" i="9"/>
  <c r="G45" i="9"/>
  <c r="I70" i="6"/>
  <c r="R78" i="9"/>
  <c r="E48" i="9"/>
  <c r="N83" i="6"/>
  <c r="J65" i="9"/>
  <c r="I16" i="3"/>
  <c r="R101" i="9"/>
  <c r="N56" i="9"/>
  <c r="P73" i="9"/>
  <c r="I14" i="9"/>
  <c r="T46" i="9"/>
  <c r="E75" i="6"/>
  <c r="Q72" i="9"/>
  <c r="I2" i="2"/>
  <c r="I53" i="6"/>
  <c r="J92" i="9"/>
  <c r="Q104" i="6"/>
  <c r="I28" i="9"/>
  <c r="T47" i="6"/>
  <c r="J87" i="9"/>
  <c r="E71" i="9"/>
  <c r="H21" i="6"/>
  <c r="L82" i="9"/>
  <c r="P26" i="6"/>
  <c r="O84" i="6"/>
  <c r="J59" i="9"/>
  <c r="F33" i="9"/>
  <c r="U101" i="6"/>
  <c r="O72" i="9"/>
  <c r="F15" i="3"/>
  <c r="I104" i="9"/>
  <c r="O94" i="9"/>
  <c r="Q11" i="6"/>
  <c r="G61" i="6"/>
  <c r="T80" i="9"/>
  <c r="N51" i="6"/>
  <c r="Q24" i="6"/>
  <c r="J12" i="9"/>
  <c r="N26" i="6"/>
  <c r="H59" i="6"/>
  <c r="F13" i="6"/>
  <c r="F77" i="6"/>
  <c r="K67" i="9"/>
  <c r="E52" i="6"/>
  <c r="Q73" i="6"/>
  <c r="S59" i="9"/>
  <c r="F92" i="6"/>
  <c r="J41" i="6"/>
  <c r="Q29" i="9"/>
  <c r="K44" i="6"/>
  <c r="S48" i="6"/>
  <c r="I28" i="6"/>
  <c r="T92" i="6"/>
  <c r="E84" i="6"/>
  <c r="R22" i="9"/>
  <c r="G13" i="3"/>
  <c r="S10" i="6"/>
  <c r="E81" i="9"/>
  <c r="U76" i="9"/>
  <c r="R69" i="9"/>
  <c r="R51" i="6"/>
  <c r="T42" i="6"/>
  <c r="E55" i="6"/>
  <c r="K53" i="6"/>
  <c r="R52" i="9"/>
  <c r="I87" i="9"/>
  <c r="L99" i="6"/>
  <c r="L64" i="6"/>
  <c r="R41" i="6"/>
  <c r="B2" i="2"/>
  <c r="I13" i="3"/>
  <c r="U96" i="9"/>
  <c r="N67" i="9"/>
  <c r="P87" i="6"/>
  <c r="J9" i="6"/>
  <c r="M48" i="6"/>
  <c r="K20" i="9"/>
  <c r="I55" i="9"/>
  <c r="J89" i="6"/>
  <c r="P21" i="6"/>
  <c r="M67" i="9"/>
  <c r="S83" i="9"/>
  <c r="M68" i="9"/>
  <c r="H20" i="6"/>
  <c r="M62" i="6"/>
  <c r="E65" i="9"/>
  <c r="S55" i="9"/>
  <c r="U104" i="6"/>
  <c r="R82" i="9"/>
  <c r="N100" i="6"/>
  <c r="H8" i="9"/>
  <c r="K11" i="9"/>
  <c r="L52" i="6"/>
  <c r="T53" i="6"/>
  <c r="P21" i="9"/>
  <c r="O54" i="9"/>
  <c r="N94" i="9"/>
  <c r="Q93" i="6"/>
  <c r="H53" i="9"/>
  <c r="G58" i="6"/>
  <c r="O56" i="9"/>
  <c r="K71" i="6"/>
  <c r="K42" i="9"/>
  <c r="S29" i="9"/>
  <c r="K50" i="6"/>
  <c r="R90" i="9"/>
  <c r="U66" i="6"/>
  <c r="T9" i="6"/>
  <c r="M54" i="6"/>
  <c r="J53" i="6"/>
  <c r="I8" i="6"/>
  <c r="G8" i="9"/>
  <c r="F42" i="9"/>
  <c r="M45" i="9"/>
  <c r="U83" i="9"/>
  <c r="M61" i="9"/>
  <c r="P9" i="9"/>
  <c r="K92" i="9"/>
  <c r="U63" i="6"/>
  <c r="O59" i="9"/>
  <c r="S73" i="6"/>
  <c r="N47" i="6"/>
  <c r="I91" i="6"/>
  <c r="H57" i="9"/>
  <c r="T93" i="9"/>
  <c r="D6" i="2"/>
  <c r="R35" i="6"/>
  <c r="Q13" i="9"/>
  <c r="U90" i="9"/>
  <c r="O61" i="9"/>
  <c r="F25" i="9"/>
  <c r="G32" i="6"/>
  <c r="P13" i="9"/>
  <c r="F29" i="6"/>
  <c r="T75" i="9"/>
  <c r="Q82" i="9"/>
  <c r="J67" i="9"/>
  <c r="F26" i="9"/>
  <c r="G51" i="9"/>
  <c r="E88" i="6"/>
  <c r="I78" i="6"/>
  <c r="E6" i="2"/>
  <c r="R77" i="6"/>
  <c r="Q50" i="6"/>
  <c r="G25" i="6"/>
  <c r="I69" i="9"/>
  <c r="L78" i="9"/>
  <c r="K104" i="6"/>
  <c r="R79" i="6"/>
  <c r="P77" i="6"/>
  <c r="J83" i="9"/>
  <c r="J37" i="6"/>
  <c r="K21" i="9"/>
  <c r="O80" i="6"/>
  <c r="P8" i="6"/>
  <c r="L69" i="6"/>
  <c r="T10" i="9"/>
  <c r="U105" i="9"/>
  <c r="J46" i="6"/>
  <c r="K8" i="9"/>
  <c r="F94" i="9"/>
  <c r="I49" i="9"/>
  <c r="Q57" i="9"/>
  <c r="M9" i="9"/>
  <c r="R67" i="6"/>
  <c r="I45" i="6"/>
  <c r="T57" i="9"/>
  <c r="E64" i="9"/>
  <c r="L73" i="6"/>
  <c r="N9" i="9"/>
  <c r="K85" i="9"/>
  <c r="M30" i="6"/>
  <c r="K35" i="6"/>
  <c r="U88" i="9"/>
  <c r="G59" i="9"/>
  <c r="I9" i="9"/>
  <c r="Q68" i="9"/>
  <c r="F10" i="6"/>
  <c r="E69" i="6"/>
  <c r="K55" i="9"/>
  <c r="H37" i="9"/>
  <c r="F8" i="2"/>
  <c r="H93" i="6"/>
  <c r="F13" i="3"/>
  <c r="I71" i="9"/>
  <c r="O79" i="9"/>
  <c r="K97" i="6"/>
  <c r="J50" i="9"/>
  <c r="S21" i="6"/>
  <c r="H52" i="9"/>
  <c r="M50" i="6"/>
  <c r="L16" i="9"/>
  <c r="F61" i="9"/>
  <c r="N20" i="6"/>
  <c r="H71" i="9"/>
  <c r="H90" i="9"/>
  <c r="F68" i="9"/>
  <c r="O14" i="9"/>
  <c r="H86" i="6"/>
  <c r="K96" i="6"/>
  <c r="Q22" i="6"/>
  <c r="I17" i="9"/>
  <c r="J21" i="6"/>
  <c r="O51" i="9"/>
  <c r="L66" i="6"/>
  <c r="R42" i="9"/>
  <c r="G72" i="9"/>
  <c r="N74" i="6"/>
  <c r="N70" i="6"/>
  <c r="N22" i="9"/>
  <c r="U84" i="6"/>
  <c r="G17" i="9"/>
  <c r="T18" i="9"/>
  <c r="F93" i="9"/>
  <c r="T55" i="6"/>
  <c r="K28" i="6"/>
  <c r="K13" i="6"/>
  <c r="M25" i="6"/>
  <c r="G29" i="9"/>
  <c r="S21" i="9"/>
  <c r="K25" i="9"/>
  <c r="K33" i="6"/>
  <c r="N98" i="9"/>
  <c r="N101" i="6"/>
  <c r="R8" i="9"/>
  <c r="M43" i="9"/>
  <c r="T32" i="6"/>
  <c r="P58" i="6"/>
  <c r="L87" i="6"/>
  <c r="J30" i="6"/>
  <c r="L70" i="6"/>
  <c r="P96" i="9"/>
  <c r="Q42" i="6"/>
  <c r="F59" i="9"/>
  <c r="U97" i="9"/>
  <c r="E3" i="2"/>
  <c r="O67" i="6"/>
  <c r="R55" i="9"/>
  <c r="R84" i="6"/>
  <c r="R61" i="6"/>
  <c r="L53" i="9"/>
  <c r="P51" i="9"/>
  <c r="U62" i="6"/>
  <c r="G9" i="2"/>
  <c r="P66" i="6"/>
  <c r="F91" i="6"/>
  <c r="M29" i="6"/>
  <c r="L68" i="6"/>
  <c r="S37" i="9"/>
  <c r="L98" i="9"/>
  <c r="P64" i="6"/>
  <c r="K76" i="9"/>
  <c r="C7" i="2"/>
  <c r="Q32" i="6"/>
  <c r="H91" i="6"/>
  <c r="J92" i="6"/>
  <c r="H46" i="9"/>
  <c r="Q59" i="6"/>
  <c r="S22" i="6"/>
  <c r="R9" i="9"/>
  <c r="N48" i="6"/>
  <c r="L45" i="9"/>
  <c r="F94" i="6"/>
  <c r="T8" i="9"/>
  <c r="I12" i="2"/>
  <c r="H83" i="6"/>
  <c r="N59" i="9"/>
  <c r="F46" i="9"/>
  <c r="R47" i="9"/>
  <c r="M71" i="9"/>
  <c r="F97" i="9"/>
  <c r="F30" i="9"/>
  <c r="U83" i="6"/>
  <c r="G2" i="2"/>
  <c r="M64" i="9"/>
  <c r="E74" i="6"/>
  <c r="D10" i="3"/>
  <c r="F87" i="9"/>
  <c r="L9" i="9"/>
  <c r="Q51" i="9"/>
  <c r="U12" i="9"/>
  <c r="Q24" i="9"/>
  <c r="J74" i="6"/>
  <c r="T66" i="6"/>
  <c r="E69" i="9"/>
  <c r="Q54" i="9"/>
  <c r="I37" i="9"/>
  <c r="J29" i="6"/>
  <c r="F67" i="6"/>
  <c r="N22" i="6"/>
  <c r="I82" i="9"/>
  <c r="T13" i="9"/>
  <c r="T25" i="9"/>
  <c r="G36" i="9"/>
  <c r="N88" i="6"/>
  <c r="H49" i="9"/>
  <c r="R88" i="9"/>
  <c r="S89" i="6"/>
  <c r="K48" i="9"/>
  <c r="I5" i="2"/>
  <c r="F74" i="9"/>
  <c r="C2" i="2"/>
  <c r="F49" i="6"/>
  <c r="T16" i="6"/>
  <c r="J50" i="6"/>
  <c r="N36" i="6"/>
  <c r="E18" i="6"/>
  <c r="J69" i="6"/>
  <c r="Q73" i="9"/>
  <c r="I51" i="9"/>
  <c r="K84" i="6"/>
  <c r="E52" i="9"/>
  <c r="S17" i="6"/>
  <c r="E62" i="6"/>
  <c r="J63" i="6"/>
  <c r="G94" i="9"/>
  <c r="N53" i="6"/>
  <c r="U46" i="6"/>
  <c r="P12" i="9"/>
  <c r="E87" i="6"/>
  <c r="H50" i="9"/>
  <c r="F11" i="3"/>
  <c r="Q95" i="9"/>
  <c r="L59" i="6"/>
  <c r="G14" i="6"/>
  <c r="M77" i="6"/>
  <c r="G104" i="6"/>
  <c r="F52" i="9"/>
  <c r="E104" i="9"/>
  <c r="K87" i="9"/>
  <c r="O105" i="9"/>
  <c r="R44" i="6"/>
  <c r="S62" i="6"/>
  <c r="F98" i="9"/>
  <c r="F64" i="6"/>
  <c r="M54" i="9"/>
  <c r="S82" i="6"/>
  <c r="T79" i="9"/>
  <c r="S100" i="6"/>
  <c r="O21" i="6"/>
  <c r="K37" i="6"/>
  <c r="D7" i="3"/>
  <c r="T87" i="9"/>
  <c r="G11" i="9"/>
  <c r="M22" i="9"/>
  <c r="O97" i="9"/>
  <c r="M17" i="9"/>
  <c r="L48" i="6"/>
  <c r="L74" i="6"/>
  <c r="E73" i="9"/>
  <c r="T17" i="6"/>
  <c r="G11" i="2"/>
  <c r="I36" i="9"/>
  <c r="K25" i="6"/>
  <c r="N95" i="9"/>
  <c r="O58" i="6"/>
  <c r="I87" i="6"/>
  <c r="I36" i="6"/>
  <c r="H72" i="9"/>
  <c r="H46" i="6"/>
  <c r="F72" i="6"/>
  <c r="H36" i="9"/>
  <c r="G41" i="6"/>
  <c r="R48" i="9"/>
  <c r="U81" i="9"/>
  <c r="P103" i="9"/>
  <c r="Q52" i="6"/>
  <c r="G64" i="9"/>
  <c r="G80" i="6"/>
  <c r="M35" i="9"/>
  <c r="G79" i="6"/>
  <c r="Q16" i="6"/>
  <c r="L84" i="6"/>
  <c r="E85" i="9"/>
  <c r="U18" i="9"/>
  <c r="K47" i="6"/>
  <c r="F2" i="2"/>
  <c r="S94" i="9"/>
  <c r="N84" i="9"/>
  <c r="M99" i="6"/>
  <c r="R53" i="9"/>
  <c r="M20" i="6"/>
  <c r="J55" i="6"/>
  <c r="H53" i="6"/>
  <c r="F93" i="6"/>
  <c r="T98" i="9"/>
  <c r="T13" i="6"/>
  <c r="H59" i="9"/>
  <c r="U82" i="6"/>
  <c r="U33" i="6"/>
  <c r="H55" i="6"/>
  <c r="O70" i="9"/>
  <c r="I44" i="6"/>
  <c r="O81" i="6"/>
  <c r="G51" i="6"/>
  <c r="F81" i="6"/>
  <c r="S86" i="6"/>
  <c r="P42" i="9"/>
  <c r="G14" i="3"/>
  <c r="E53" i="9"/>
  <c r="D15" i="3"/>
  <c r="M36" i="9"/>
  <c r="J28" i="6"/>
  <c r="K16" i="6"/>
  <c r="L101" i="6"/>
  <c r="F63" i="6"/>
  <c r="H64" i="9"/>
  <c r="G13" i="6"/>
  <c r="O62" i="9"/>
  <c r="M28" i="9"/>
  <c r="S11" i="9"/>
  <c r="T102" i="6"/>
  <c r="N37" i="9"/>
  <c r="N103" i="6"/>
  <c r="P76" i="9"/>
  <c r="P59" i="9"/>
  <c r="G97" i="9"/>
  <c r="I59" i="6"/>
  <c r="F33" i="6"/>
  <c r="R93" i="6"/>
  <c r="I11" i="2"/>
  <c r="E11" i="6"/>
  <c r="E97" i="6"/>
  <c r="U78" i="9"/>
  <c r="O55" i="6"/>
  <c r="K32" i="9"/>
  <c r="K86" i="6"/>
  <c r="E44" i="6"/>
  <c r="M97" i="9"/>
  <c r="U21" i="6"/>
  <c r="T8" i="6"/>
  <c r="P69" i="6"/>
  <c r="H18" i="6"/>
  <c r="Q20" i="9"/>
  <c r="L81" i="6"/>
  <c r="T95" i="6"/>
  <c r="S96" i="9"/>
  <c r="J10" i="3"/>
  <c r="O68" i="9"/>
  <c r="L80" i="6"/>
  <c r="O100" i="6"/>
  <c r="S104" i="9"/>
  <c r="T50" i="9"/>
  <c r="N88" i="9"/>
  <c r="Q60" i="6"/>
  <c r="O103" i="6"/>
  <c r="M55" i="6"/>
  <c r="L59" i="9"/>
  <c r="F48" i="9"/>
  <c r="R60" i="6"/>
  <c r="E30" i="9"/>
  <c r="E25" i="6"/>
  <c r="H65" i="9"/>
  <c r="R24" i="6"/>
  <c r="K17" i="6"/>
  <c r="F95" i="6"/>
  <c r="F86" i="6"/>
  <c r="E8" i="2"/>
  <c r="F62" i="6"/>
  <c r="E93" i="9"/>
  <c r="M48" i="9"/>
  <c r="M65" i="9"/>
  <c r="G66" i="6"/>
  <c r="J97" i="9"/>
  <c r="H103" i="6"/>
  <c r="P92" i="6"/>
  <c r="E79" i="9"/>
  <c r="T104" i="6"/>
  <c r="U10" i="6"/>
  <c r="K24" i="6"/>
  <c r="D7" i="2"/>
  <c r="Q95" i="6"/>
  <c r="R48" i="6"/>
  <c r="I92" i="6"/>
  <c r="M37" i="6"/>
  <c r="R61" i="9"/>
  <c r="P68" i="9"/>
  <c r="L47" i="6"/>
  <c r="L61" i="9"/>
  <c r="H48" i="6"/>
  <c r="F49" i="9"/>
  <c r="L11" i="6"/>
  <c r="G8" i="6"/>
  <c r="G11" i="3"/>
  <c r="K57" i="9"/>
  <c r="H74" i="6"/>
  <c r="M25" i="9"/>
  <c r="E26" i="6"/>
  <c r="U71" i="9"/>
  <c r="M64" i="6"/>
  <c r="E80" i="6"/>
  <c r="F65" i="9"/>
  <c r="M18" i="6"/>
  <c r="M79" i="6"/>
  <c r="H84" i="9"/>
  <c r="I4" i="2"/>
  <c r="Q61" i="6"/>
  <c r="R43" i="9"/>
  <c r="E71" i="6"/>
  <c r="G26" i="6"/>
  <c r="F3" i="2"/>
  <c r="I75" i="6"/>
  <c r="O46" i="6"/>
  <c r="K102" i="9"/>
  <c r="H4" i="2"/>
  <c r="U16" i="6"/>
  <c r="G73" i="9"/>
  <c r="R13" i="9"/>
  <c r="O74" i="6"/>
  <c r="M20" i="9"/>
  <c r="U93" i="9"/>
  <c r="K36" i="6"/>
  <c r="O102" i="6"/>
  <c r="P87" i="9"/>
  <c r="E10" i="3"/>
  <c r="K71" i="9"/>
  <c r="F75" i="9"/>
  <c r="U42" i="6"/>
  <c r="E18" i="9"/>
  <c r="Q92" i="9"/>
  <c r="N73" i="6"/>
  <c r="I67" i="9"/>
  <c r="J22" i="9"/>
  <c r="J79" i="6"/>
  <c r="T24" i="9"/>
  <c r="H72" i="6"/>
  <c r="N105" i="9"/>
  <c r="U52" i="9"/>
  <c r="U103" i="6"/>
  <c r="R78" i="6"/>
  <c r="Q44" i="6"/>
  <c r="I22" i="9"/>
  <c r="F56" i="6"/>
  <c r="R11" i="9"/>
  <c r="S56" i="9"/>
  <c r="E68" i="9"/>
  <c r="E96" i="9"/>
  <c r="I61" i="9"/>
  <c r="Q13" i="6"/>
  <c r="H17" i="6"/>
  <c r="P35" i="9"/>
  <c r="N67" i="6"/>
  <c r="M102" i="9"/>
  <c r="F18" i="9"/>
  <c r="M81" i="9"/>
  <c r="M55" i="9"/>
  <c r="F9" i="3"/>
  <c r="I50" i="9"/>
  <c r="G52" i="6"/>
  <c r="R30" i="9"/>
  <c r="S75" i="9"/>
  <c r="K16" i="9"/>
  <c r="R11" i="6"/>
  <c r="S61" i="9"/>
  <c r="E78" i="6"/>
  <c r="Q70" i="6"/>
  <c r="U13" i="6"/>
  <c r="I37" i="6"/>
  <c r="N10" i="6"/>
  <c r="E49" i="6"/>
  <c r="P97" i="6"/>
  <c r="M62" i="9"/>
  <c r="H102" i="6"/>
  <c r="M14" i="9"/>
  <c r="K61" i="6"/>
  <c r="K93" i="6"/>
  <c r="R76" i="9"/>
  <c r="I73" i="6"/>
  <c r="J46" i="9"/>
  <c r="S55" i="6"/>
  <c r="G68" i="6"/>
  <c r="G100" i="9"/>
  <c r="P63" i="9"/>
  <c r="H5" i="2"/>
  <c r="S12" i="6"/>
  <c r="Q26" i="9"/>
  <c r="G36" i="6"/>
  <c r="O60" i="6"/>
  <c r="E89" i="6"/>
  <c r="U49" i="9"/>
  <c r="U8" i="9"/>
  <c r="Q80" i="6"/>
  <c r="Q87" i="9"/>
  <c r="N96" i="6"/>
  <c r="I17" i="6"/>
  <c r="O56" i="6"/>
  <c r="T45" i="9"/>
  <c r="J10" i="9"/>
  <c r="J11" i="6"/>
  <c r="J76" i="9"/>
  <c r="J82" i="6"/>
  <c r="S63" i="6"/>
  <c r="O10" i="9"/>
  <c r="Q79" i="9"/>
  <c r="O11" i="9"/>
  <c r="E35" i="6"/>
  <c r="N43" i="9"/>
  <c r="M70" i="9"/>
  <c r="G84" i="9"/>
  <c r="K68" i="9"/>
  <c r="K64" i="9"/>
  <c r="N99" i="6"/>
  <c r="H6" i="2"/>
  <c r="U72" i="6"/>
  <c r="U30" i="6"/>
  <c r="U93" i="6"/>
  <c r="E7" i="3"/>
  <c r="O30" i="9"/>
  <c r="P79" i="9"/>
  <c r="K22" i="9"/>
  <c r="P47" i="9"/>
  <c r="I69" i="6"/>
  <c r="T53" i="9"/>
  <c r="U55" i="9"/>
  <c r="K28" i="9"/>
  <c r="O43" i="9"/>
  <c r="R49" i="6"/>
  <c r="Q25" i="6"/>
  <c r="F47" i="6"/>
  <c r="J98" i="9"/>
  <c r="J69" i="9"/>
  <c r="G17" i="6"/>
  <c r="P104" i="6"/>
  <c r="N83" i="9"/>
  <c r="L48" i="9"/>
  <c r="T103" i="9"/>
  <c r="J56" i="9"/>
  <c r="P63" i="6"/>
  <c r="P51" i="6"/>
  <c r="O35" i="6"/>
  <c r="H97" i="6"/>
  <c r="G70" i="9"/>
  <c r="Q43" i="9"/>
  <c r="H20" i="9"/>
  <c r="P72" i="6"/>
  <c r="F21" i="9"/>
  <c r="M96" i="6"/>
  <c r="H45" i="6"/>
  <c r="G16" i="6"/>
  <c r="N69" i="6"/>
  <c r="U102" i="9"/>
  <c r="Q17" i="9"/>
  <c r="M46" i="9"/>
  <c r="L44" i="6"/>
  <c r="U28" i="6"/>
  <c r="P82" i="9"/>
  <c r="Q72" i="6"/>
  <c r="K84" i="9"/>
  <c r="I21" i="6"/>
  <c r="H95" i="9"/>
  <c r="Q42" i="9"/>
  <c r="J68" i="6"/>
  <c r="P36" i="9"/>
  <c r="J28" i="9"/>
  <c r="J14" i="3"/>
  <c r="P92" i="9"/>
  <c r="K100" i="9"/>
  <c r="S103" i="6"/>
  <c r="Q88" i="6"/>
  <c r="I12" i="6"/>
  <c r="P60" i="6"/>
  <c r="S87" i="9"/>
  <c r="S69" i="9"/>
  <c r="O38" i="6"/>
  <c r="I29" i="9"/>
  <c r="H95" i="6"/>
  <c r="F47" i="9"/>
  <c r="U94" i="6"/>
  <c r="K38" i="6"/>
  <c r="S47" i="6"/>
  <c r="G6" i="2"/>
  <c r="J71" i="6"/>
  <c r="P50" i="9"/>
  <c r="G67" i="9"/>
  <c r="U99" i="6"/>
  <c r="Q29" i="6"/>
  <c r="F7" i="2"/>
  <c r="L102" i="9"/>
  <c r="U85" i="9"/>
  <c r="U75" i="9"/>
  <c r="E21" i="6"/>
  <c r="T54" i="6"/>
  <c r="G86" i="6"/>
  <c r="R28" i="6"/>
  <c r="J24" i="6"/>
  <c r="H103" i="9"/>
  <c r="T68" i="9"/>
  <c r="J25" i="9"/>
  <c r="I43" i="9"/>
  <c r="P49" i="6"/>
  <c r="H21" i="9"/>
  <c r="N89" i="6"/>
  <c r="P81" i="6"/>
  <c r="R21" i="9"/>
  <c r="J72" i="9"/>
  <c r="K72" i="9"/>
  <c r="L84" i="9"/>
  <c r="E55" i="9"/>
  <c r="R100" i="6"/>
  <c r="I92" i="9"/>
  <c r="P65" i="9"/>
  <c r="U53" i="6"/>
  <c r="E105" i="9"/>
  <c r="M73" i="6"/>
  <c r="S81" i="9"/>
  <c r="J100" i="9"/>
  <c r="B4" i="2"/>
  <c r="J104" i="6"/>
  <c r="M47" i="6"/>
  <c r="S38" i="6"/>
  <c r="N102" i="9"/>
  <c r="J26" i="9"/>
  <c r="D12" i="3"/>
  <c r="D12" i="2"/>
  <c r="S33" i="9"/>
  <c r="G9" i="9"/>
  <c r="P47" i="6"/>
  <c r="P16" i="9"/>
  <c r="K32" i="6"/>
  <c r="Q36" i="6"/>
  <c r="K70" i="6"/>
  <c r="P36" i="6"/>
  <c r="U32" i="9"/>
  <c r="L62" i="9"/>
  <c r="E77" i="6"/>
  <c r="K54" i="6"/>
  <c r="H9" i="3"/>
  <c r="J64" i="6"/>
  <c r="R99" i="6"/>
  <c r="R52" i="6"/>
  <c r="T78" i="9"/>
  <c r="U48" i="9"/>
  <c r="T94" i="9"/>
  <c r="E12" i="9"/>
  <c r="G59" i="6"/>
  <c r="P9" i="6"/>
  <c r="R10" i="6"/>
  <c r="F16" i="6"/>
  <c r="R54" i="6"/>
  <c r="L24" i="9"/>
  <c r="P25" i="9"/>
  <c r="S104" i="6"/>
  <c r="E9" i="6"/>
  <c r="N33" i="9"/>
  <c r="F104" i="6"/>
  <c r="S89" i="9"/>
  <c r="M10" i="6"/>
  <c r="S64" i="9"/>
  <c r="E17" i="9"/>
  <c r="J45" i="6"/>
  <c r="G24" i="9"/>
  <c r="T70" i="6"/>
  <c r="E86" i="6"/>
  <c r="Q47" i="6"/>
  <c r="Q97" i="6"/>
  <c r="P70" i="6"/>
  <c r="U70" i="9"/>
  <c r="O29" i="6"/>
  <c r="J52" i="9"/>
  <c r="N63" i="9"/>
  <c r="P12" i="6"/>
  <c r="T21" i="9"/>
  <c r="Q81" i="9"/>
  <c r="N37" i="6"/>
  <c r="U14" i="9"/>
  <c r="Q100" i="6"/>
  <c r="K81" i="9"/>
  <c r="O41" i="6"/>
  <c r="I11" i="3"/>
  <c r="M38" i="6"/>
  <c r="G73" i="6"/>
  <c r="I97" i="6"/>
  <c r="T76" i="9"/>
  <c r="U16" i="9"/>
  <c r="U96" i="6"/>
  <c r="O78" i="6"/>
  <c r="I10" i="2"/>
  <c r="S25" i="6"/>
  <c r="I53" i="9"/>
  <c r="O42" i="6"/>
  <c r="E56" i="6"/>
  <c r="K60" i="9"/>
  <c r="J14" i="9"/>
  <c r="M89" i="9"/>
  <c r="E74" i="9"/>
  <c r="P14" i="9"/>
  <c r="Q79" i="6"/>
  <c r="K53" i="9"/>
  <c r="R32" i="6"/>
  <c r="T16" i="9"/>
  <c r="F73" i="9"/>
  <c r="I64" i="6"/>
  <c r="H9" i="6"/>
  <c r="H32" i="9"/>
  <c r="M57" i="9"/>
  <c r="T51" i="9"/>
  <c r="Q28" i="9"/>
  <c r="K18" i="6"/>
  <c r="H43" i="9"/>
  <c r="H81" i="9"/>
  <c r="I80" i="9"/>
  <c r="N93" i="6"/>
  <c r="E72" i="6"/>
  <c r="G55" i="9"/>
  <c r="D5" i="2"/>
  <c r="Q46" i="6"/>
  <c r="S93" i="9"/>
  <c r="T38" i="6"/>
  <c r="S72" i="9"/>
  <c r="U92" i="9"/>
  <c r="I79" i="9"/>
  <c r="U33" i="9"/>
  <c r="Q48" i="6"/>
  <c r="N72" i="9"/>
  <c r="I26" i="6"/>
  <c r="S24" i="6"/>
  <c r="I71" i="6"/>
  <c r="U37" i="6"/>
  <c r="O90" i="9"/>
  <c r="G37" i="6"/>
  <c r="L96" i="6"/>
  <c r="S30" i="6"/>
  <c r="O18" i="6"/>
  <c r="G4" i="2"/>
  <c r="L30" i="6"/>
  <c r="G30" i="9"/>
  <c r="I74" i="6"/>
  <c r="T22" i="9"/>
  <c r="J81" i="9"/>
  <c r="U30" i="9"/>
  <c r="J49" i="6"/>
  <c r="H50" i="6"/>
  <c r="K17" i="9"/>
  <c r="I75" i="9"/>
  <c r="S68" i="6"/>
  <c r="K68" i="6"/>
  <c r="H78" i="6"/>
  <c r="N21" i="9"/>
  <c r="M26" i="9"/>
  <c r="S36" i="9"/>
  <c r="S94" i="6"/>
  <c r="N72" i="6"/>
  <c r="S77" i="6"/>
  <c r="R75" i="9"/>
  <c r="H51" i="9"/>
  <c r="T88" i="9"/>
  <c r="N13" i="9"/>
  <c r="G101" i="9"/>
  <c r="H29" i="9"/>
  <c r="K82" i="9"/>
  <c r="T84" i="9"/>
  <c r="U59" i="9"/>
  <c r="P29" i="9"/>
  <c r="B12" i="2"/>
  <c r="O46" i="9"/>
  <c r="R57" i="9"/>
  <c r="L22" i="9"/>
  <c r="E4" i="2"/>
  <c r="H42" i="9"/>
  <c r="I10" i="3"/>
  <c r="G7" i="2"/>
  <c r="N9" i="6"/>
  <c r="U78" i="6"/>
  <c r="Q38" i="6"/>
  <c r="M67" i="6"/>
  <c r="E14" i="3"/>
  <c r="L75" i="6"/>
  <c r="P73" i="6"/>
  <c r="E10" i="9"/>
  <c r="M29" i="9"/>
  <c r="T88" i="6"/>
  <c r="T62" i="6"/>
  <c r="E43" i="9"/>
  <c r="Q52" i="9"/>
  <c r="P11" i="9"/>
  <c r="J12" i="6"/>
  <c r="G104" i="9"/>
  <c r="B10" i="2"/>
  <c r="T52" i="9"/>
  <c r="Q21" i="6"/>
  <c r="I24" i="6"/>
  <c r="N82" i="9"/>
  <c r="N29" i="6"/>
  <c r="F37" i="6"/>
  <c r="N49" i="9"/>
  <c r="R16" i="9"/>
  <c r="Q49" i="6"/>
  <c r="F63" i="9"/>
  <c r="K88" i="9"/>
  <c r="P32" i="9"/>
  <c r="G101" i="6"/>
  <c r="E8" i="3"/>
  <c r="F42" i="6"/>
  <c r="M11" i="6"/>
  <c r="E101" i="6"/>
  <c r="K69" i="6"/>
  <c r="T47" i="9"/>
  <c r="E94" i="9"/>
  <c r="K77" i="6"/>
  <c r="T61" i="9"/>
  <c r="H35" i="9"/>
  <c r="J96" i="9"/>
  <c r="T30" i="9"/>
  <c r="M100" i="6"/>
  <c r="P45" i="9"/>
  <c r="U45" i="6"/>
  <c r="Q103" i="6"/>
  <c r="S92" i="6"/>
  <c r="K26" i="6"/>
  <c r="K104" i="9"/>
  <c r="N28" i="9"/>
  <c r="T72" i="9"/>
  <c r="R64" i="6"/>
  <c r="S84" i="9"/>
  <c r="I26" i="9"/>
  <c r="F75" i="6"/>
  <c r="J73" i="6"/>
  <c r="I30" i="9"/>
  <c r="J55" i="9"/>
  <c r="I11" i="6"/>
  <c r="L53" i="6"/>
  <c r="F45" i="6"/>
  <c r="Q60" i="9"/>
  <c r="P99" i="6"/>
  <c r="H14" i="6"/>
  <c r="G95" i="6"/>
  <c r="O98" i="9"/>
  <c r="E68" i="6"/>
  <c r="K65" i="9"/>
  <c r="R89" i="9"/>
  <c r="G9" i="6"/>
  <c r="F71" i="6"/>
  <c r="S33" i="6"/>
  <c r="L26" i="6"/>
  <c r="R25" i="6"/>
  <c r="I59" i="9"/>
  <c r="I98" i="9"/>
  <c r="I77" i="6"/>
  <c r="E70" i="6"/>
  <c r="U81" i="6"/>
  <c r="K51" i="9"/>
  <c r="L50" i="6"/>
  <c r="K79" i="6"/>
  <c r="G64" i="6"/>
  <c r="T56" i="9"/>
  <c r="F60" i="6"/>
  <c r="S100" i="9"/>
  <c r="I100" i="9"/>
  <c r="Q96" i="9"/>
  <c r="L22" i="6"/>
  <c r="N35" i="6"/>
  <c r="J53" i="9"/>
  <c r="T71" i="6"/>
  <c r="U80" i="9"/>
  <c r="R70" i="9"/>
  <c r="I86" i="6"/>
  <c r="L68" i="9"/>
  <c r="G72" i="6"/>
  <c r="U56" i="6"/>
  <c r="Q78" i="6"/>
  <c r="P33" i="6"/>
  <c r="T85" i="9"/>
  <c r="K74" i="6"/>
  <c r="J58" i="6"/>
  <c r="R104" i="6"/>
  <c r="M76" i="9"/>
  <c r="J62" i="6"/>
  <c r="J79" i="9"/>
  <c r="I97" i="9"/>
  <c r="E33" i="9"/>
  <c r="O61" i="6"/>
  <c r="M51" i="6"/>
  <c r="J88" i="9"/>
  <c r="P100" i="6"/>
  <c r="U49" i="6"/>
  <c r="U80" i="6"/>
  <c r="L20" i="9"/>
  <c r="E91" i="6"/>
  <c r="F10" i="3"/>
  <c r="M103" i="9"/>
  <c r="F16" i="3"/>
  <c r="U61" i="9"/>
  <c r="G3" i="2"/>
  <c r="I94" i="6"/>
  <c r="T61" i="6"/>
  <c r="F52" i="6"/>
  <c r="J64" i="9"/>
  <c r="G12" i="2"/>
  <c r="E8" i="9"/>
  <c r="O102" i="9"/>
  <c r="S76" i="9"/>
  <c r="L32" i="6"/>
  <c r="E47" i="9"/>
  <c r="K87" i="6"/>
  <c r="R12" i="9"/>
  <c r="R75" i="6"/>
  <c r="O82" i="6"/>
  <c r="G69" i="6"/>
  <c r="U17" i="9"/>
  <c r="F66" i="6"/>
  <c r="M84" i="6"/>
  <c r="F9" i="9"/>
  <c r="S98" i="9"/>
  <c r="S30" i="9"/>
  <c r="U9" i="9"/>
  <c r="I89" i="9"/>
  <c r="R103" i="9"/>
  <c r="N41" i="6"/>
  <c r="T20" i="6"/>
  <c r="T14" i="6"/>
  <c r="K14" i="6"/>
  <c r="Q65" i="9"/>
  <c r="K36" i="9"/>
  <c r="E100" i="6"/>
  <c r="B9" i="2"/>
  <c r="O35" i="9"/>
  <c r="J48" i="9"/>
  <c r="K90" i="9"/>
  <c r="O24" i="6"/>
  <c r="G77" i="6"/>
  <c r="U64" i="6"/>
  <c r="Q54" i="6"/>
  <c r="I38" i="6"/>
  <c r="E22" i="6"/>
  <c r="H12" i="3"/>
  <c r="L36" i="9"/>
  <c r="M93" i="6"/>
  <c r="R14" i="6"/>
  <c r="L28" i="9"/>
  <c r="S70" i="9"/>
  <c r="S54" i="9"/>
  <c r="P89" i="6"/>
  <c r="L88" i="9"/>
  <c r="H105" i="9"/>
  <c r="O85" i="9"/>
  <c r="R80" i="6"/>
  <c r="R91" i="6"/>
  <c r="Q26" i="6"/>
  <c r="Q22" i="9"/>
  <c r="P42" i="6"/>
  <c r="F35" i="6"/>
  <c r="G46" i="6"/>
  <c r="F88" i="6"/>
  <c r="G60" i="9"/>
  <c r="S26" i="9"/>
  <c r="R97" i="9"/>
  <c r="E89" i="9"/>
  <c r="E36" i="6"/>
  <c r="G47" i="9"/>
  <c r="Q33" i="6"/>
  <c r="H101" i="9"/>
  <c r="G93" i="9"/>
  <c r="U18" i="6"/>
  <c r="M32" i="6"/>
  <c r="L46" i="6"/>
  <c r="R26" i="9"/>
  <c r="K98" i="9"/>
  <c r="F9" i="2"/>
  <c r="T36" i="6"/>
  <c r="G95" i="9"/>
  <c r="K63" i="9"/>
  <c r="T50" i="6"/>
  <c r="L20" i="6"/>
  <c r="N29" i="9"/>
  <c r="M80" i="6"/>
  <c r="N53" i="9"/>
  <c r="O33" i="9"/>
  <c r="R17" i="9"/>
  <c r="I99" i="6"/>
  <c r="O52" i="6"/>
  <c r="N92" i="6"/>
  <c r="G33" i="6"/>
  <c r="P104" i="9"/>
  <c r="N57" i="9"/>
  <c r="U87" i="6"/>
  <c r="T89" i="6"/>
  <c r="U73" i="9"/>
  <c r="T18" i="6"/>
  <c r="I3" i="2"/>
  <c r="R58" i="6"/>
  <c r="O91" i="6"/>
  <c r="F29" i="9"/>
  <c r="Q90" i="9"/>
  <c r="Q64" i="6"/>
  <c r="S35" i="6"/>
  <c r="M79" i="9"/>
  <c r="K8" i="6"/>
  <c r="M56" i="9"/>
  <c r="O36" i="9"/>
  <c r="P26" i="9"/>
  <c r="L17" i="9"/>
  <c r="R51" i="9"/>
  <c r="P14" i="6"/>
  <c r="T59" i="9"/>
  <c r="H13" i="6"/>
  <c r="I46" i="9"/>
  <c r="U24" i="9"/>
  <c r="Q91" i="6"/>
  <c r="O16" i="6"/>
  <c r="J90" i="9"/>
  <c r="Q75" i="6"/>
  <c r="I95" i="9"/>
  <c r="M17" i="6"/>
  <c r="I82" i="6"/>
  <c r="E103" i="6"/>
  <c r="M18" i="9"/>
  <c r="F102" i="6"/>
  <c r="R102" i="9"/>
  <c r="F30" i="6"/>
  <c r="U89" i="6"/>
  <c r="T80" i="6"/>
  <c r="F100" i="6"/>
  <c r="F8" i="9"/>
  <c r="J75" i="9"/>
  <c r="E33" i="6"/>
  <c r="I46" i="6"/>
  <c r="M74" i="9"/>
  <c r="S46" i="9"/>
  <c r="P81" i="9"/>
  <c r="N33" i="6"/>
  <c r="M58" i="6"/>
  <c r="J71" i="9"/>
  <c r="S64" i="6"/>
  <c r="F17" i="6"/>
  <c r="R86" i="6"/>
  <c r="O54" i="6"/>
  <c r="K66" i="6"/>
  <c r="O95" i="6"/>
  <c r="J104" i="9"/>
  <c r="N55" i="6"/>
  <c r="E96" i="6"/>
  <c r="J99" i="6"/>
  <c r="G93" i="6"/>
  <c r="R12" i="6"/>
  <c r="I102" i="9"/>
  <c r="K62" i="6"/>
  <c r="J78" i="9"/>
  <c r="R81" i="6"/>
  <c r="S67" i="9"/>
  <c r="J11" i="9"/>
  <c r="K102" i="6"/>
  <c r="L71" i="6"/>
  <c r="H66" i="6"/>
  <c r="F38" i="6"/>
  <c r="D14" i="3"/>
  <c r="T69" i="9"/>
  <c r="G24" i="6"/>
  <c r="K80" i="6"/>
  <c r="G10" i="2"/>
  <c r="E10" i="2"/>
  <c r="H84" i="6"/>
  <c r="Q67" i="6"/>
  <c r="K55" i="6"/>
  <c r="L89" i="6"/>
  <c r="S88" i="6"/>
  <c r="R71" i="6"/>
  <c r="F12" i="2"/>
  <c r="O89" i="6"/>
  <c r="E16" i="9"/>
  <c r="Q96" i="6"/>
  <c r="E14" i="6"/>
  <c r="R95" i="9"/>
  <c r="I101" i="9"/>
  <c r="N48" i="9"/>
  <c r="K56" i="9"/>
  <c r="E26" i="9"/>
  <c r="K18" i="9"/>
  <c r="T101" i="6"/>
  <c r="K30" i="6"/>
  <c r="O86" i="6"/>
  <c r="S80" i="9"/>
  <c r="G103" i="9"/>
  <c r="Q93" i="9"/>
  <c r="P93" i="9"/>
  <c r="R101" i="6"/>
  <c r="N71" i="6"/>
  <c r="R64" i="9"/>
  <c r="G65" i="9"/>
  <c r="S84" i="6"/>
  <c r="U9" i="6"/>
  <c r="S12" i="9"/>
  <c r="E79" i="6"/>
  <c r="N32" i="9"/>
  <c r="G74" i="9"/>
  <c r="H101" i="6"/>
  <c r="G87" i="9"/>
  <c r="S63" i="9"/>
  <c r="T73" i="6"/>
  <c r="I100" i="6"/>
  <c r="R83" i="9"/>
  <c r="G90" i="9"/>
  <c r="T52" i="6"/>
  <c r="O69" i="6"/>
  <c r="S85" i="9"/>
  <c r="L45" i="6"/>
  <c r="P56" i="6"/>
  <c r="G62" i="9"/>
  <c r="L8" i="6"/>
  <c r="N73" i="9"/>
  <c r="L63" i="6"/>
  <c r="S67" i="6"/>
  <c r="L26" i="9"/>
  <c r="O75" i="6"/>
  <c r="E75" i="9"/>
  <c r="N61" i="9"/>
  <c r="H68" i="9"/>
  <c r="F83" i="9"/>
  <c r="T54" i="9"/>
  <c r="H97" i="9"/>
  <c r="L33" i="6"/>
  <c r="L88" i="6"/>
  <c r="H88" i="6"/>
  <c r="I9" i="6"/>
  <c r="K50" i="9"/>
  <c r="O63" i="6"/>
  <c r="G85" i="9"/>
  <c r="J30" i="9"/>
  <c r="J18" i="6"/>
  <c r="T63" i="6"/>
  <c r="N87" i="9"/>
  <c r="F54" i="6"/>
  <c r="M94" i="6"/>
  <c r="M51" i="9"/>
  <c r="N79" i="6"/>
  <c r="J48" i="6"/>
  <c r="E46" i="6"/>
  <c r="R46" i="9"/>
  <c r="U102" i="6"/>
  <c r="I63" i="9"/>
  <c r="P74" i="6"/>
  <c r="U22" i="6"/>
  <c r="S45" i="6"/>
  <c r="P67" i="6"/>
  <c r="R28" i="9"/>
  <c r="K92" i="6"/>
  <c r="Q53" i="9"/>
  <c r="R30" i="6"/>
  <c r="R103" i="6"/>
  <c r="Q78" i="9"/>
  <c r="H8" i="6"/>
  <c r="H87" i="6"/>
  <c r="G30" i="6"/>
  <c r="G81" i="9"/>
  <c r="L18" i="9"/>
  <c r="N36" i="9"/>
  <c r="E95" i="6"/>
  <c r="H14" i="3"/>
  <c r="O14" i="6"/>
  <c r="P30" i="9"/>
  <c r="G12" i="9"/>
  <c r="L55" i="6"/>
  <c r="R81" i="9"/>
  <c r="Q33" i="9"/>
  <c r="U64" i="9"/>
  <c r="T96" i="6"/>
  <c r="T60" i="6"/>
  <c r="L71" i="9"/>
  <c r="S66" i="6"/>
  <c r="H96" i="9"/>
  <c r="N82" i="6"/>
  <c r="G46" i="9"/>
  <c r="L17" i="6"/>
  <c r="Q35" i="9"/>
  <c r="R25" i="9"/>
  <c r="F46" i="6"/>
  <c r="O60" i="9"/>
  <c r="E50" i="9"/>
  <c r="M21" i="6"/>
  <c r="Q84" i="9"/>
  <c r="G12" i="6"/>
  <c r="R24" i="9"/>
  <c r="S26" i="6"/>
  <c r="E24" i="9"/>
  <c r="I50" i="6"/>
  <c r="L50" i="9"/>
  <c r="G98" i="9"/>
  <c r="O49" i="9"/>
  <c r="O10" i="6"/>
  <c r="L85" i="9"/>
  <c r="F71" i="9"/>
  <c r="I20" i="6"/>
  <c r="R92" i="9"/>
  <c r="U54" i="9"/>
  <c r="U98" i="9"/>
  <c r="H26" i="9"/>
  <c r="F51" i="9"/>
  <c r="M95" i="6"/>
  <c r="H104" i="9"/>
  <c r="G96" i="6"/>
  <c r="J42" i="6"/>
  <c r="E8" i="6"/>
  <c r="K78" i="6"/>
  <c r="T81" i="9"/>
  <c r="S13" i="9"/>
  <c r="L76" i="9"/>
  <c r="S51" i="6"/>
  <c r="S79" i="6"/>
  <c r="F14" i="3"/>
  <c r="F103" i="9"/>
  <c r="S44" i="6"/>
  <c r="H75" i="9"/>
  <c r="H93" i="9"/>
  <c r="D11" i="3"/>
  <c r="M60" i="9"/>
  <c r="R10" i="9"/>
  <c r="L101" i="9"/>
  <c r="J8" i="9"/>
  <c r="H100" i="9"/>
  <c r="G7" i="3"/>
  <c r="T12" i="9"/>
  <c r="Q62" i="6"/>
  <c r="P54" i="6"/>
  <c r="U42" i="9"/>
  <c r="L97" i="6"/>
  <c r="P96" i="6"/>
  <c r="I72" i="9"/>
  <c r="R71" i="9"/>
  <c r="K29" i="9"/>
  <c r="R63" i="6"/>
  <c r="H54" i="9"/>
  <c r="R54" i="9"/>
  <c r="H89" i="6"/>
  <c r="O87" i="9"/>
  <c r="M66" i="6"/>
  <c r="G88" i="6"/>
  <c r="J77" i="6"/>
  <c r="R29" i="6"/>
  <c r="T105" i="9"/>
  <c r="U103" i="9"/>
  <c r="K41" i="6"/>
  <c r="L87" i="9"/>
  <c r="O95" i="9"/>
  <c r="T51" i="6"/>
  <c r="F48" i="6"/>
  <c r="I96" i="9"/>
  <c r="M70" i="6"/>
  <c r="S73" i="9"/>
  <c r="R53" i="6"/>
  <c r="G48" i="9"/>
  <c r="P28" i="6"/>
  <c r="N75" i="6"/>
  <c r="I25" i="9"/>
  <c r="P11" i="6"/>
  <c r="E7" i="2"/>
  <c r="R83" i="6"/>
  <c r="N26" i="9"/>
  <c r="P84" i="9"/>
  <c r="K75" i="9"/>
  <c r="K95" i="9"/>
  <c r="H51" i="6"/>
  <c r="L77" i="6"/>
  <c r="T94" i="6"/>
  <c r="O99" i="6"/>
  <c r="P88" i="9"/>
  <c r="B5" i="2"/>
  <c r="F69" i="9"/>
  <c r="P37" i="6"/>
  <c r="H96" i="6"/>
  <c r="F92" i="9"/>
  <c r="E38" i="6"/>
  <c r="O25" i="9"/>
  <c r="P50" i="6"/>
  <c r="O73" i="6"/>
  <c r="S36" i="6"/>
  <c r="S20" i="6"/>
  <c r="R60" i="9"/>
  <c r="T79" i="6"/>
  <c r="G89" i="6"/>
  <c r="L79" i="6"/>
  <c r="O73" i="9"/>
  <c r="I29" i="6"/>
  <c r="U100" i="9"/>
  <c r="J100" i="6"/>
  <c r="M56" i="6"/>
  <c r="T21" i="6"/>
  <c r="H41" i="6"/>
  <c r="P18" i="6"/>
  <c r="O49" i="6"/>
  <c r="R105" i="9"/>
  <c r="G16" i="9"/>
  <c r="K45" i="6"/>
  <c r="O45" i="6"/>
  <c r="P53" i="6"/>
  <c r="E48" i="6"/>
  <c r="E12" i="2"/>
  <c r="J95" i="9"/>
  <c r="Q18" i="9"/>
  <c r="G94" i="6"/>
  <c r="P88" i="6"/>
  <c r="G10" i="6"/>
  <c r="N97" i="9"/>
  <c r="Q92" i="6"/>
  <c r="J20" i="6"/>
  <c r="U57" i="9"/>
  <c r="P90" i="9"/>
  <c r="P48" i="6"/>
  <c r="M92" i="9"/>
  <c r="K37" i="9"/>
  <c r="T100" i="9"/>
  <c r="T60" i="9"/>
  <c r="J33" i="6"/>
  <c r="E42" i="6"/>
  <c r="O9" i="9"/>
  <c r="O62" i="6"/>
  <c r="G15" i="3"/>
  <c r="H54" i="6"/>
  <c r="E88" i="9"/>
  <c r="Q77" i="6"/>
  <c r="N28" i="6"/>
  <c r="U72" i="9"/>
  <c r="N11" i="9"/>
  <c r="U50" i="9"/>
  <c r="O8" i="9"/>
  <c r="T69" i="6"/>
  <c r="G80" i="9"/>
  <c r="T74" i="6"/>
  <c r="G49" i="6"/>
  <c r="I61" i="6"/>
  <c r="G103" i="6"/>
  <c r="F41" i="6"/>
  <c r="Q20" i="6"/>
  <c r="I18" i="9"/>
  <c r="S32" i="6"/>
  <c r="N62" i="9"/>
  <c r="K46" i="9"/>
  <c r="L82" i="6"/>
  <c r="T68" i="6"/>
  <c r="T43" i="9"/>
  <c r="S102" i="6"/>
  <c r="I54" i="9"/>
  <c r="M44" i="6"/>
  <c r="U95" i="9"/>
  <c r="H10" i="6"/>
  <c r="O94" i="6"/>
  <c r="J94" i="9"/>
  <c r="L103" i="6"/>
  <c r="E61" i="9"/>
  <c r="P22" i="6"/>
  <c r="H9" i="9"/>
  <c r="M93" i="9"/>
  <c r="F9" i="6"/>
  <c r="Q81" i="6"/>
  <c r="L70" i="9"/>
  <c r="Q84" i="6"/>
  <c r="F4" i="2"/>
  <c r="G29" i="6"/>
  <c r="S97" i="9"/>
  <c r="Q16" i="9"/>
  <c r="U10" i="9"/>
  <c r="I62" i="9"/>
  <c r="M22" i="6"/>
  <c r="E78" i="9"/>
  <c r="I49" i="6"/>
  <c r="I78" i="9"/>
  <c r="M11" i="9"/>
  <c r="O93" i="6"/>
  <c r="T36" i="9"/>
  <c r="N25" i="6"/>
  <c r="E25" i="9"/>
  <c r="N70" i="9"/>
  <c r="U44" i="6"/>
  <c r="H32" i="6"/>
  <c r="G74" i="6"/>
  <c r="J17" i="6"/>
  <c r="S43" i="9"/>
  <c r="E11" i="9"/>
  <c r="U69" i="9"/>
  <c r="N68" i="6"/>
  <c r="P101" i="6"/>
  <c r="E11" i="2"/>
  <c r="Q98" i="9"/>
  <c r="F83" i="6"/>
  <c r="H69" i="6"/>
  <c r="O80" i="9"/>
  <c r="S29" i="6"/>
  <c r="N12" i="9"/>
  <c r="U32" i="6"/>
  <c r="M101" i="6"/>
  <c r="D8" i="3"/>
  <c r="I55" i="6"/>
  <c r="Q69" i="9"/>
  <c r="M24" i="9"/>
  <c r="I72" i="6"/>
  <c r="I12" i="3"/>
  <c r="T97" i="6"/>
  <c r="O71" i="9"/>
  <c r="F56" i="9"/>
  <c r="H62" i="9"/>
  <c r="P82" i="6"/>
  <c r="S35" i="9"/>
  <c r="H29" i="6"/>
  <c r="L30" i="9"/>
  <c r="H11" i="9"/>
  <c r="F100" i="9"/>
  <c r="Q17" i="6"/>
  <c r="L67" i="9"/>
  <c r="G53" i="6"/>
  <c r="E99" i="6"/>
  <c r="U36" i="6"/>
  <c r="K29" i="6"/>
  <c r="U82" i="9"/>
  <c r="J85" i="9"/>
  <c r="I8" i="3"/>
  <c r="J35" i="6"/>
  <c r="M28" i="6"/>
  <c r="J18" i="9"/>
  <c r="N78" i="6"/>
  <c r="G48" i="6"/>
  <c r="M49" i="6"/>
  <c r="O96" i="9"/>
  <c r="O48" i="9"/>
  <c r="T28" i="6"/>
  <c r="I42" i="6"/>
  <c r="U50" i="6"/>
  <c r="I16" i="9"/>
  <c r="J72" i="6"/>
  <c r="L86" i="6"/>
  <c r="I95" i="6"/>
  <c r="Q89" i="9"/>
  <c r="T44" i="6"/>
  <c r="L14" i="9"/>
  <c r="M42" i="6"/>
  <c r="J61" i="9"/>
  <c r="P43" i="9"/>
  <c r="H16" i="6"/>
  <c r="P13" i="6"/>
  <c r="S101" i="9"/>
  <c r="R96" i="9"/>
  <c r="K12" i="9"/>
  <c r="U51" i="6"/>
  <c r="Q9" i="9"/>
  <c r="E53" i="6"/>
  <c r="L90" i="9"/>
  <c r="N64" i="9"/>
  <c r="E56" i="9"/>
  <c r="S52" i="9"/>
  <c r="Q64" i="9"/>
  <c r="O69" i="9"/>
  <c r="F68" i="6"/>
  <c r="D16" i="3"/>
  <c r="I94" i="9"/>
  <c r="E13" i="6"/>
  <c r="O72" i="6"/>
  <c r="U53" i="9"/>
  <c r="J16" i="6"/>
  <c r="P37" i="9"/>
  <c r="M90" i="9"/>
  <c r="O65" i="9"/>
  <c r="E9" i="3"/>
  <c r="J36" i="9"/>
  <c r="F28" i="9"/>
  <c r="S80" i="6"/>
  <c r="N54" i="6"/>
  <c r="U56" i="9"/>
  <c r="H56" i="9"/>
  <c r="Q66" i="6"/>
  <c r="R96" i="6"/>
  <c r="G100" i="6"/>
  <c r="E63" i="9"/>
  <c r="J12" i="3"/>
  <c r="I22" i="6"/>
  <c r="L79" i="9"/>
  <c r="I15" i="3"/>
  <c r="S95" i="9"/>
  <c r="O64" i="6"/>
  <c r="N64" i="6"/>
  <c r="R65" i="9"/>
  <c r="R92" i="6"/>
  <c r="F36" i="9"/>
  <c r="J60" i="6"/>
  <c r="J21" i="9"/>
  <c r="P94" i="9"/>
  <c r="K14" i="9"/>
  <c r="N104" i="6"/>
  <c r="Q32" i="9"/>
  <c r="G54" i="6"/>
  <c r="E102" i="9"/>
  <c r="G92" i="9"/>
  <c r="T81" i="6"/>
  <c r="P102" i="9"/>
  <c r="G18" i="6"/>
  <c r="N63" i="6"/>
  <c r="K64" i="6"/>
  <c r="J51" i="6"/>
  <c r="B6" i="2"/>
  <c r="U22" i="9"/>
  <c r="O22" i="6"/>
  <c r="F82" i="9"/>
  <c r="H28" i="6"/>
  <c r="E94" i="6"/>
  <c r="L32" i="9"/>
  <c r="T33" i="6"/>
  <c r="U63" i="9"/>
  <c r="T11" i="6"/>
  <c r="Q83" i="9"/>
  <c r="O84" i="9"/>
  <c r="E81" i="6"/>
  <c r="M8" i="6"/>
  <c r="E9" i="9"/>
  <c r="U35" i="9"/>
  <c r="G22" i="6"/>
  <c r="G21" i="6"/>
  <c r="J32" i="6"/>
  <c r="T48" i="6"/>
  <c r="Q83" i="6"/>
  <c r="R66" i="6"/>
  <c r="I81" i="6"/>
  <c r="R89" i="6"/>
  <c r="G83" i="6"/>
  <c r="F88" i="9"/>
  <c r="E61" i="6"/>
  <c r="T62" i="9"/>
  <c r="I12" i="9"/>
  <c r="M71" i="6"/>
  <c r="M88" i="9"/>
  <c r="O96" i="6"/>
  <c r="H13" i="3"/>
  <c r="T42" i="9"/>
  <c r="H76" i="9"/>
  <c r="P45" i="6"/>
  <c r="N102" i="6"/>
  <c r="H92" i="6"/>
  <c r="U25" i="9"/>
  <c r="S53" i="6"/>
  <c r="H35" i="6"/>
  <c r="K73" i="9"/>
  <c r="U47" i="6"/>
  <c r="Q47" i="9"/>
  <c r="P49" i="9"/>
  <c r="N69" i="9"/>
  <c r="U95" i="6"/>
  <c r="E32" i="9"/>
  <c r="J47" i="9"/>
  <c r="L52" i="9"/>
  <c r="L95" i="6"/>
  <c r="E76" i="9"/>
  <c r="M78" i="6"/>
  <c r="M13" i="9"/>
  <c r="N56" i="6"/>
  <c r="P71" i="6"/>
  <c r="K59" i="9"/>
  <c r="Q28" i="6"/>
  <c r="L10" i="6"/>
  <c r="F87" i="6"/>
  <c r="J103" i="9"/>
  <c r="T97" i="9"/>
  <c r="G47" i="6"/>
  <c r="S51" i="9"/>
  <c r="J103" i="6"/>
  <c r="U74" i="9"/>
  <c r="U43" i="9"/>
  <c r="N93" i="9"/>
  <c r="E58" i="6"/>
  <c r="G78" i="6"/>
  <c r="K62" i="9"/>
  <c r="J70" i="6"/>
  <c r="H47" i="6"/>
  <c r="K81" i="6"/>
  <c r="L72" i="6"/>
  <c r="J8" i="6"/>
  <c r="T10" i="6"/>
  <c r="F62" i="9"/>
  <c r="F101" i="9"/>
  <c r="G99" i="6"/>
  <c r="Q14" i="6"/>
  <c r="J94" i="6"/>
  <c r="T96" i="9"/>
  <c r="M72" i="9"/>
  <c r="G50" i="9"/>
  <c r="L12" i="6"/>
  <c r="H55" i="9"/>
  <c r="H30" i="9"/>
  <c r="F6" i="3"/>
  <c r="P17" i="6"/>
  <c r="S71" i="9"/>
  <c r="M105" i="9"/>
  <c r="J56" i="6"/>
  <c r="P86" i="6"/>
  <c r="L11" i="9"/>
  <c r="J35" i="9"/>
  <c r="E100" i="9"/>
  <c r="F55" i="9"/>
  <c r="N21" i="6"/>
  <c r="E45" i="6"/>
  <c r="P93" i="6"/>
  <c r="E59" i="9"/>
  <c r="S14" i="6"/>
  <c r="N10" i="9"/>
  <c r="H38" i="6"/>
  <c r="G6" i="3"/>
  <c r="M33" i="6"/>
  <c r="G25" i="9"/>
  <c r="M73" i="9"/>
  <c r="J43" i="9"/>
  <c r="F8" i="6"/>
  <c r="Q10" i="9"/>
  <c r="J54" i="9"/>
  <c r="G97" i="6"/>
  <c r="F99" i="6"/>
  <c r="T72" i="6"/>
  <c r="R88" i="6"/>
  <c r="T37" i="6"/>
  <c r="R18" i="9"/>
  <c r="Q11" i="9"/>
  <c r="S49" i="6"/>
  <c r="F79" i="6"/>
  <c r="P62" i="6"/>
  <c r="J32" i="9"/>
  <c r="H92" i="9"/>
  <c r="N46" i="9"/>
  <c r="H10" i="2"/>
  <c r="H52" i="6"/>
  <c r="P30" i="6"/>
  <c r="F73" i="6"/>
  <c r="F70" i="9"/>
  <c r="H74" i="9"/>
  <c r="Q63" i="9"/>
  <c r="O30" i="6"/>
  <c r="H42" i="6"/>
  <c r="H63" i="6"/>
  <c r="I6" i="3"/>
  <c r="P75" i="9"/>
  <c r="H98" i="9"/>
  <c r="O32" i="6"/>
  <c r="J102" i="9"/>
  <c r="S71" i="6"/>
  <c r="I76" i="9"/>
  <c r="L57" i="9"/>
  <c r="M75" i="9"/>
  <c r="T77" i="6"/>
  <c r="G102" i="6"/>
  <c r="L74" i="9"/>
  <c r="M100" i="9"/>
  <c r="T86" i="6"/>
  <c r="I42" i="9"/>
  <c r="E54" i="6"/>
  <c r="J86" i="6"/>
  <c r="S60" i="9"/>
  <c r="S62" i="9"/>
  <c r="J81" i="6"/>
  <c r="H24" i="6"/>
  <c r="S48" i="9"/>
  <c r="H13" i="9"/>
  <c r="O47" i="9"/>
  <c r="H25" i="6"/>
  <c r="Q8" i="6"/>
  <c r="S47" i="9"/>
  <c r="K30" i="9"/>
  <c r="E17" i="6"/>
  <c r="N90" i="9"/>
  <c r="S90" i="9"/>
  <c r="J80" i="9"/>
  <c r="L37" i="9"/>
  <c r="L49" i="9"/>
  <c r="N81" i="9"/>
  <c r="S79" i="9"/>
  <c r="N14" i="6"/>
  <c r="E92" i="9"/>
  <c r="J80" i="6"/>
  <c r="T65" i="9"/>
  <c r="L69" i="9"/>
  <c r="N55" i="9"/>
  <c r="C8" i="2"/>
  <c r="O71" i="6"/>
  <c r="E37" i="9"/>
  <c r="I6" i="2"/>
  <c r="Q59" i="9"/>
  <c r="K54" i="9"/>
  <c r="G21" i="9"/>
  <c r="I24" i="9"/>
  <c r="R33" i="9"/>
  <c r="Q76" i="9"/>
  <c r="I93" i="9"/>
  <c r="N92" i="9"/>
  <c r="P78" i="6"/>
  <c r="N25" i="9"/>
  <c r="R37" i="9"/>
  <c r="B3" i="2"/>
  <c r="O59" i="6"/>
  <c r="M16" i="6"/>
  <c r="H9" i="2"/>
  <c r="E83" i="9"/>
  <c r="L16" i="6"/>
  <c r="H24" i="9"/>
  <c r="S50" i="6"/>
  <c r="Q102" i="6"/>
  <c r="G14" i="9"/>
  <c r="R59" i="9"/>
  <c r="N30" i="9"/>
  <c r="N38" i="6"/>
  <c r="I83" i="9"/>
  <c r="J24" i="9"/>
  <c r="P84" i="6"/>
  <c r="H56" i="6"/>
  <c r="Q99" i="6"/>
  <c r="E83" i="6"/>
  <c r="S53" i="9"/>
  <c r="P100" i="9"/>
  <c r="P20" i="9"/>
  <c r="K99" i="6"/>
  <c r="T101" i="9"/>
  <c r="G20" i="9"/>
  <c r="P78" i="9"/>
  <c r="I8" i="2"/>
  <c r="P10" i="9"/>
  <c r="I47" i="6"/>
  <c r="P8" i="9"/>
  <c r="L100" i="6"/>
  <c r="L33" i="9"/>
  <c r="I8" i="9"/>
  <c r="M8" i="9"/>
  <c r="J10" i="6"/>
  <c r="O77" i="6"/>
  <c r="C11" i="2"/>
  <c r="H70" i="6"/>
  <c r="F59" i="6"/>
  <c r="I79" i="6"/>
  <c r="U73" i="6"/>
  <c r="N35" i="9"/>
  <c r="F76" i="9"/>
  <c r="T49" i="6"/>
  <c r="H80" i="9"/>
  <c r="H94" i="6"/>
  <c r="H28" i="9"/>
  <c r="J16" i="3"/>
  <c r="P46" i="6"/>
  <c r="N95" i="6"/>
  <c r="N65" i="9"/>
  <c r="M83" i="9"/>
  <c r="O53" i="9"/>
  <c r="P44" i="6"/>
  <c r="Q55" i="9"/>
  <c r="L37" i="6"/>
  <c r="I35" i="9"/>
  <c r="E90" i="9"/>
  <c r="N62" i="6"/>
  <c r="F80" i="6"/>
  <c r="N11" i="6"/>
  <c r="S78" i="6"/>
  <c r="G68" i="9"/>
  <c r="T28" i="9"/>
  <c r="G57" i="9"/>
  <c r="J44" i="6"/>
  <c r="G56" i="9"/>
  <c r="N86" i="6"/>
  <c r="M47" i="9"/>
  <c r="J84" i="9"/>
  <c r="J8" i="3"/>
  <c r="E82" i="6"/>
  <c r="N94" i="6"/>
  <c r="Q37" i="9"/>
  <c r="I63" i="6"/>
  <c r="J17" i="9"/>
  <c r="E54" i="9"/>
  <c r="I14" i="3"/>
  <c r="I104" i="6"/>
  <c r="G102" i="9"/>
  <c r="E49" i="9"/>
  <c r="Q30" i="6"/>
  <c r="F53" i="6"/>
  <c r="U101" i="9"/>
  <c r="I60" i="9"/>
  <c r="T29" i="6"/>
  <c r="N45" i="6"/>
  <c r="I62" i="6"/>
  <c r="M12" i="9"/>
  <c r="S70" i="6"/>
  <c r="U54" i="6"/>
  <c r="N13" i="6"/>
  <c r="R73" i="9"/>
  <c r="J37" i="9"/>
  <c r="F18" i="6"/>
  <c r="K11" i="6"/>
  <c r="L13" i="6"/>
  <c r="U60" i="9"/>
  <c r="L14" i="6"/>
  <c r="J9" i="3"/>
  <c r="F43" i="9"/>
  <c r="K42" i="6"/>
  <c r="G55" i="6"/>
  <c r="K72" i="6"/>
  <c r="E11" i="3"/>
  <c r="H49" i="6"/>
  <c r="R80" i="9"/>
  <c r="N50" i="6"/>
  <c r="I16" i="6"/>
  <c r="T12" i="6"/>
  <c r="U20" i="9"/>
  <c r="P62" i="9"/>
  <c r="M68" i="6"/>
  <c r="G67" i="6"/>
  <c r="F58" i="6"/>
  <c r="E29" i="6"/>
  <c r="Q21" i="9"/>
  <c r="R35" i="9"/>
  <c r="I84" i="9"/>
  <c r="R45" i="6"/>
  <c r="N61" i="6"/>
  <c r="H94" i="9"/>
  <c r="Q70" i="9"/>
  <c r="T103" i="6"/>
  <c r="R104" i="9"/>
  <c r="J62" i="9"/>
  <c r="H12" i="9"/>
  <c r="H47" i="9"/>
  <c r="U70" i="6"/>
  <c r="R94" i="9"/>
  <c r="F104" i="9"/>
  <c r="H2" i="2"/>
  <c r="I93" i="6"/>
  <c r="U47" i="9"/>
  <c r="O21" i="9"/>
  <c r="J13" i="6"/>
  <c r="O11" i="6"/>
  <c r="N78" i="9"/>
  <c r="F17" i="9"/>
  <c r="N42" i="9"/>
  <c r="O101" i="6"/>
  <c r="O37" i="9"/>
  <c r="N97" i="6"/>
  <c r="O51" i="6"/>
  <c r="L25" i="9"/>
  <c r="Q12" i="9"/>
  <c r="E28" i="9"/>
  <c r="I66" i="6"/>
  <c r="Q9" i="6"/>
  <c r="R93" i="9"/>
  <c r="U77" i="6"/>
  <c r="D8" i="2"/>
  <c r="K10" i="9"/>
  <c r="L41" i="6"/>
  <c r="F21" i="6"/>
  <c r="U13" i="9"/>
  <c r="T32" i="9"/>
  <c r="I81" i="9"/>
  <c r="F78" i="6"/>
  <c r="G75" i="6"/>
  <c r="P32" i="6"/>
  <c r="F36" i="6"/>
  <c r="P56" i="9"/>
  <c r="T30" i="6"/>
  <c r="N81" i="6"/>
  <c r="G16" i="3"/>
  <c r="N30" i="6"/>
  <c r="G70" i="6"/>
  <c r="E93" i="6"/>
  <c r="O29" i="9"/>
  <c r="J75" i="6"/>
  <c r="Q12" i="6"/>
  <c r="H12" i="6"/>
  <c r="K47" i="9"/>
  <c r="F101" i="6"/>
  <c r="F55" i="6"/>
  <c r="S69" i="6"/>
  <c r="T84" i="6"/>
  <c r="J45" i="9"/>
  <c r="E5" i="2"/>
  <c r="F12" i="6"/>
  <c r="S78" i="9"/>
  <c r="N68" i="9"/>
  <c r="K56" i="6"/>
  <c r="G71" i="9"/>
  <c r="T45" i="6"/>
  <c r="F25" i="6"/>
  <c r="P98" i="9"/>
  <c r="E21" i="9"/>
  <c r="H73" i="6"/>
  <c r="N60" i="6"/>
  <c r="Q36" i="9"/>
  <c r="P46" i="9"/>
  <c r="F79" i="9"/>
  <c r="R79" i="9"/>
  <c r="T55" i="9"/>
  <c r="H79" i="6"/>
  <c r="T91" i="6"/>
  <c r="F12" i="3"/>
  <c r="L102" i="6"/>
  <c r="G88" i="9"/>
  <c r="P25" i="6"/>
  <c r="I74" i="9"/>
  <c r="T93" i="6"/>
  <c r="M85" i="9"/>
  <c r="J88" i="6"/>
  <c r="K35" i="9"/>
  <c r="M10" i="9"/>
  <c r="F11" i="2"/>
  <c r="N58" i="6"/>
  <c r="H11" i="2"/>
  <c r="Q48" i="9"/>
  <c r="R102" i="6"/>
  <c r="L78" i="6"/>
  <c r="P64" i="9"/>
  <c r="N104" i="9"/>
  <c r="F14" i="9"/>
  <c r="U14" i="6"/>
  <c r="Q71" i="9"/>
  <c r="C5" i="2"/>
  <c r="S50" i="9"/>
  <c r="O83" i="6"/>
  <c r="K10" i="6"/>
  <c r="U92" i="6"/>
  <c r="U67" i="6"/>
  <c r="U69" i="6"/>
  <c r="U25" i="6"/>
  <c r="H85" i="9"/>
  <c r="K49" i="6"/>
  <c r="M69" i="6"/>
  <c r="U89" i="9"/>
  <c r="R16" i="6"/>
  <c r="G87" i="6"/>
  <c r="U71" i="6"/>
  <c r="O37" i="6"/>
  <c r="S9" i="9"/>
  <c r="J42" i="9"/>
  <c r="L38" i="6"/>
  <c r="J101" i="6"/>
  <c r="I41" i="6"/>
  <c r="G43" i="9"/>
  <c r="O81" i="9"/>
  <c r="U45" i="9"/>
  <c r="R70" i="6"/>
  <c r="S52" i="6"/>
  <c r="S8" i="9"/>
  <c r="K83" i="6"/>
  <c r="I103" i="9"/>
  <c r="G53" i="9"/>
  <c r="M30" i="9"/>
  <c r="G12" i="3"/>
  <c r="K63" i="6"/>
  <c r="G38" i="6"/>
  <c r="F22" i="6"/>
  <c r="O28" i="6"/>
  <c r="I70" i="9"/>
  <c r="H8" i="3"/>
  <c r="S83" i="6"/>
  <c r="O92" i="6"/>
  <c r="U51" i="9"/>
  <c r="O74" i="9"/>
  <c r="O20" i="9"/>
  <c r="F53" i="9"/>
  <c r="T33" i="9"/>
  <c r="S22" i="9"/>
  <c r="J25" i="6"/>
  <c r="T37" i="9"/>
  <c r="N16" i="6"/>
  <c r="Q101" i="9"/>
  <c r="K58" i="6"/>
  <c r="H77" i="6"/>
  <c r="K45" i="9"/>
  <c r="M88" i="6"/>
  <c r="L75" i="9"/>
  <c r="I51" i="6"/>
  <c r="F95" i="9"/>
  <c r="S16" i="9"/>
  <c r="I20" i="9"/>
  <c r="J33" i="9"/>
  <c r="T83" i="6"/>
  <c r="P102" i="6"/>
  <c r="S102" i="9"/>
  <c r="S24" i="9"/>
  <c r="Q56" i="6"/>
  <c r="R26" i="6"/>
  <c r="K24" i="9"/>
  <c r="F84" i="9"/>
  <c r="T14" i="9"/>
  <c r="S59" i="6"/>
  <c r="T41" i="6"/>
  <c r="O103" i="9"/>
  <c r="M69" i="9"/>
  <c r="L83" i="9"/>
  <c r="L54" i="6"/>
  <c r="U62" i="9"/>
  <c r="H69" i="9"/>
  <c r="H58" i="6"/>
  <c r="O70" i="6"/>
  <c r="U79" i="6"/>
  <c r="S103" i="9"/>
  <c r="H64" i="6"/>
  <c r="G105" i="9"/>
  <c r="G32" i="9"/>
  <c r="G82" i="9"/>
  <c r="Q8" i="9"/>
  <c r="F64" i="9"/>
  <c r="H88" i="9"/>
  <c r="L29" i="6"/>
  <c r="S95" i="6"/>
  <c r="R9" i="6"/>
  <c r="U79" i="9"/>
  <c r="G83" i="9"/>
  <c r="N52" i="6"/>
  <c r="S42" i="6"/>
  <c r="G10" i="3"/>
  <c r="N80" i="9"/>
  <c r="O42" i="9"/>
  <c r="U68" i="9"/>
  <c r="D9" i="2"/>
  <c r="T17" i="9"/>
  <c r="M63" i="9"/>
  <c r="I65" i="9"/>
  <c r="J63" i="9"/>
  <c r="S28" i="9"/>
  <c r="L55" i="9"/>
  <c r="N17" i="9"/>
  <c r="R98" i="9"/>
  <c r="H45" i="9"/>
  <c r="N52" i="9"/>
  <c r="E10" i="6"/>
  <c r="Q45" i="9"/>
  <c r="L64" i="9"/>
  <c r="E14" i="9"/>
  <c r="O24" i="9"/>
  <c r="P61" i="6"/>
  <c r="T63" i="9"/>
  <c r="N79" i="9"/>
  <c r="F13" i="9"/>
  <c r="J84" i="6"/>
  <c r="L58" i="6"/>
  <c r="N76" i="9"/>
  <c r="I47" i="9"/>
  <c r="I83" i="6"/>
  <c r="I89" i="6"/>
  <c r="M12" i="6"/>
  <c r="U20" i="6"/>
  <c r="F35" i="9"/>
  <c r="H68" i="6"/>
  <c r="F14" i="6"/>
  <c r="L67" i="6"/>
  <c r="R62" i="9"/>
  <c r="S18" i="9"/>
  <c r="O68" i="6"/>
  <c r="R50" i="6"/>
  <c r="S32" i="9"/>
  <c r="Q10" i="6"/>
  <c r="J105" i="9"/>
  <c r="I13" i="6"/>
  <c r="P60" i="9"/>
  <c r="Q82" i="6"/>
  <c r="K69" i="9"/>
  <c r="Q61" i="9"/>
  <c r="T100" i="6"/>
  <c r="R85" i="9"/>
  <c r="S25" i="9"/>
  <c r="T83" i="9"/>
  <c r="U26" i="6"/>
  <c r="G78" i="9"/>
  <c r="K59" i="6"/>
  <c r="P79" i="6"/>
  <c r="O16" i="9"/>
  <c r="P68" i="6"/>
  <c r="E66" i="6"/>
  <c r="E101" i="9"/>
  <c r="F74" i="6"/>
  <c r="K95" i="6"/>
  <c r="Q101" i="6"/>
  <c r="O52" i="9"/>
  <c r="K73" i="6"/>
  <c r="I45" i="9"/>
  <c r="O78" i="9"/>
  <c r="L89" i="9"/>
  <c r="S17" i="9"/>
  <c r="G44" i="6"/>
  <c r="N8" i="9"/>
  <c r="P85" i="9"/>
  <c r="K94" i="9"/>
  <c r="K70" i="9"/>
  <c r="H12" i="2"/>
  <c r="L43" i="9"/>
  <c r="M103" i="6"/>
  <c r="Q30" i="9"/>
  <c r="O32" i="9"/>
  <c r="E29" i="9"/>
  <c r="F16" i="9"/>
  <c r="J14" i="6"/>
  <c r="F8" i="3"/>
  <c r="U75" i="6"/>
  <c r="P24" i="9"/>
  <c r="O76" i="9"/>
  <c r="D9" i="3"/>
  <c r="E20" i="9"/>
  <c r="M33" i="9"/>
  <c r="I85" i="9"/>
  <c r="F51" i="6"/>
  <c r="Q67" i="9"/>
  <c r="T89" i="9"/>
  <c r="M61" i="6"/>
  <c r="N18" i="6"/>
  <c r="T24" i="6"/>
  <c r="R59" i="6"/>
  <c r="S46" i="6"/>
  <c r="F57" i="9"/>
  <c r="O13" i="9"/>
  <c r="R33" i="6"/>
  <c r="R55" i="6"/>
  <c r="L103" i="9"/>
  <c r="H70" i="9"/>
  <c r="L92" i="6"/>
  <c r="P33" i="9"/>
  <c r="F70" i="6"/>
  <c r="M92" i="6"/>
  <c r="L21" i="9"/>
  <c r="T102" i="9"/>
  <c r="C4" i="2"/>
  <c r="F89" i="9"/>
  <c r="M42" i="9"/>
  <c r="K78" i="9"/>
  <c r="U74" i="6"/>
  <c r="G79" i="9"/>
  <c r="S8" i="6"/>
  <c r="G81" i="6"/>
  <c r="C9" i="2"/>
  <c r="O48" i="6"/>
  <c r="K12" i="6"/>
  <c r="P48" i="9"/>
  <c r="D11" i="2"/>
  <c r="I10" i="6"/>
  <c r="T95" i="9"/>
  <c r="E80" i="9"/>
  <c r="R63" i="9"/>
  <c r="K103" i="6"/>
  <c r="T49" i="9"/>
  <c r="S49" i="9"/>
  <c r="J9" i="9"/>
  <c r="L93" i="9"/>
  <c r="N75" i="9"/>
  <c r="M52" i="6"/>
  <c r="E92" i="6"/>
  <c r="K61" i="9"/>
  <c r="S74" i="6"/>
  <c r="J101" i="9"/>
  <c r="N103" i="9"/>
  <c r="H10" i="3"/>
  <c r="L13" i="9"/>
  <c r="L72" i="9"/>
  <c r="O12" i="9"/>
  <c r="I25" i="6"/>
  <c r="L83" i="6"/>
  <c r="E67" i="6"/>
  <c r="R97" i="6"/>
  <c r="H33" i="9"/>
  <c r="T87" i="6"/>
  <c r="E104" i="6"/>
  <c r="O97" i="6"/>
  <c r="H22" i="9"/>
  <c r="R36" i="9"/>
  <c r="L94" i="6"/>
  <c r="O25" i="6"/>
  <c r="E12" i="3"/>
  <c r="G37" i="9"/>
  <c r="K89" i="9"/>
  <c r="H37" i="6"/>
  <c r="R17" i="6"/>
  <c r="K80" i="9"/>
  <c r="I103" i="6"/>
  <c r="Q86" i="6"/>
  <c r="L28" i="6"/>
  <c r="G54" i="9"/>
  <c r="K89" i="6"/>
  <c r="L35" i="6"/>
  <c r="F82" i="6"/>
  <c r="K52" i="6"/>
  <c r="H61" i="6"/>
  <c r="L91" i="6"/>
  <c r="C10" i="2"/>
  <c r="I80" i="6"/>
  <c r="U8" i="6"/>
  <c r="H82" i="6"/>
  <c r="P22" i="9"/>
  <c r="B11" i="2"/>
  <c r="P28" i="9"/>
  <c r="Q69" i="6"/>
  <c r="P55" i="6"/>
  <c r="M81" i="6"/>
  <c r="F69" i="6"/>
  <c r="S13" i="6"/>
  <c r="N101" i="9"/>
  <c r="B7" i="2"/>
  <c r="M59" i="6"/>
  <c r="F22" i="9"/>
  <c r="J49" i="9"/>
  <c r="T26" i="6"/>
  <c r="U65" i="9"/>
  <c r="O57" i="9"/>
  <c r="U59" i="6"/>
  <c r="Q45" i="6"/>
  <c r="F84" i="6"/>
  <c r="H14" i="9"/>
  <c r="I32" i="6"/>
  <c r="K9" i="6"/>
  <c r="E20" i="6"/>
  <c r="O66" i="6"/>
  <c r="F50" i="9"/>
  <c r="O89" i="9"/>
  <c r="J60" i="9"/>
  <c r="G18" i="9"/>
  <c r="Q46" i="9"/>
  <c r="T56" i="6"/>
  <c r="I18" i="6"/>
  <c r="K9" i="9"/>
  <c r="I64" i="9"/>
  <c r="P16" i="6"/>
  <c r="E70" i="9"/>
  <c r="Q85" i="9"/>
  <c r="L42" i="6"/>
  <c r="K13" i="9"/>
  <c r="H75" i="6"/>
  <c r="G42" i="9"/>
  <c r="O33" i="6"/>
  <c r="R95" i="6"/>
  <c r="U28" i="9"/>
  <c r="S87" i="6"/>
  <c r="M98" i="9"/>
  <c r="P71" i="9"/>
  <c r="G52" i="9"/>
  <c r="G89" i="9"/>
  <c r="Q63" i="6"/>
  <c r="K52" i="9"/>
  <c r="U100" i="6"/>
  <c r="T48" i="9"/>
  <c r="F7" i="3"/>
  <c r="O82" i="9"/>
  <c r="H3" i="2"/>
  <c r="I14" i="6"/>
  <c r="N51" i="9"/>
  <c r="I54" i="6"/>
  <c r="S18" i="6"/>
  <c r="N20" i="9"/>
  <c r="U91" i="6"/>
  <c r="I56" i="9"/>
  <c r="P80" i="6"/>
  <c r="S9" i="6"/>
  <c r="M91" i="6"/>
  <c r="P61" i="9"/>
  <c r="P10" i="6"/>
  <c r="H61" i="9"/>
  <c r="G50" i="6"/>
  <c r="H60" i="6"/>
  <c r="M87" i="9"/>
  <c r="G33" i="9"/>
  <c r="E9" i="2"/>
  <c r="I33" i="9"/>
  <c r="U48" i="6"/>
  <c r="P83" i="9"/>
  <c r="R21" i="6"/>
  <c r="H89" i="9"/>
  <c r="G49" i="9"/>
  <c r="K49" i="9"/>
  <c r="R72" i="9"/>
  <c r="L65" i="9"/>
  <c r="B8" i="2"/>
  <c r="G71" i="6"/>
  <c r="I32" i="9"/>
  <c r="L97" i="9"/>
  <c r="Q51" i="6"/>
  <c r="K100" i="6"/>
  <c r="F50" i="6"/>
  <c r="O93" i="9"/>
  <c r="M52" i="9"/>
  <c r="H11" i="3"/>
  <c r="N50" i="9"/>
  <c r="J26" i="6"/>
  <c r="J38" i="6"/>
  <c r="H80" i="6"/>
  <c r="O53" i="6"/>
  <c r="K79" i="9"/>
  <c r="F5" i="2"/>
  <c r="P103" i="6"/>
  <c r="K67" i="6"/>
  <c r="J61" i="6"/>
  <c r="N87" i="6"/>
  <c r="K74" i="9"/>
  <c r="S68" i="9"/>
  <c r="E13" i="3"/>
  <c r="H60" i="9"/>
  <c r="I33" i="6"/>
  <c r="E73" i="6"/>
  <c r="N16" i="9"/>
  <c r="P18" i="9"/>
  <c r="P53" i="9"/>
  <c r="P70" i="9"/>
  <c r="T35" i="9"/>
  <c r="O47" i="6"/>
  <c r="T70" i="9"/>
  <c r="U68" i="6"/>
  <c r="O83" i="9"/>
  <c r="N49" i="6"/>
  <c r="R42" i="6"/>
  <c r="O55" i="9"/>
  <c r="Q87" i="6"/>
  <c r="P95" i="6"/>
  <c r="G35" i="9"/>
  <c r="H83" i="9"/>
  <c r="E32" i="6"/>
  <c r="T104" i="9"/>
  <c r="F26" i="6"/>
  <c r="J102" i="6"/>
  <c r="L54" i="9"/>
  <c r="M97" i="6"/>
  <c r="N74" i="9"/>
  <c r="O28" i="9"/>
  <c r="L42" i="9"/>
  <c r="J91" i="6"/>
  <c r="Q68" i="6"/>
  <c r="S58" i="6"/>
  <c r="U97" i="6"/>
  <c r="F60" i="9"/>
  <c r="L51" i="9"/>
  <c r="I58" i="6"/>
  <c r="G9" i="3"/>
  <c r="N24" i="6"/>
  <c r="J66" i="6"/>
  <c r="J54" i="6"/>
  <c r="R74" i="6"/>
  <c r="G11" i="6"/>
  <c r="L104" i="6"/>
  <c r="N17" i="6"/>
  <c r="M49" i="9"/>
  <c r="N54" i="9"/>
  <c r="E60" i="9"/>
  <c r="T90" i="9"/>
  <c r="T46" i="6"/>
  <c r="K101" i="6"/>
  <c r="O63" i="9"/>
  <c r="F102" i="9"/>
  <c r="S101" i="6"/>
  <c r="M78" i="9"/>
  <c r="H87" i="9"/>
  <c r="N71" i="9"/>
</calcChain>
</file>

<file path=xl/sharedStrings.xml><?xml version="1.0" encoding="utf-8"?>
<sst xmlns="http://schemas.openxmlformats.org/spreadsheetml/2006/main" count="1332" uniqueCount="386">
  <si>
    <t>Ticker</t>
  </si>
  <si>
    <t>Name</t>
  </si>
  <si>
    <t>Last Price</t>
  </si>
  <si>
    <t>Net</t>
  </si>
  <si>
    <t>%1D</t>
  </si>
  <si>
    <t>Chg WTD Pct</t>
  </si>
  <si>
    <t>%1M</t>
  </si>
  <si>
    <t>%YTD</t>
  </si>
  <si>
    <t>20D AVAT</t>
  </si>
  <si>
    <t>SPY US</t>
  </si>
  <si>
    <t>GLD US</t>
  </si>
  <si>
    <t>VCSH US</t>
  </si>
  <si>
    <t>EEM US</t>
  </si>
  <si>
    <t>BIL US</t>
  </si>
  <si>
    <t>EWZ US</t>
  </si>
  <si>
    <t>IEI US</t>
  </si>
  <si>
    <t>SHY US</t>
  </si>
  <si>
    <t>IEF US</t>
  </si>
  <si>
    <t>IWD US</t>
  </si>
  <si>
    <t>USO US</t>
  </si>
  <si>
    <t>Var.(%) 1d</t>
  </si>
  <si>
    <t>Fuente: elaboración propia en base a Bloomberg.</t>
  </si>
  <si>
    <t>ETFs</t>
  </si>
  <si>
    <t>Var.(%) 1sem</t>
  </si>
  <si>
    <t>Var.(%) 1mes</t>
  </si>
  <si>
    <t>Var.(USD)1d</t>
  </si>
  <si>
    <t>Oro</t>
  </si>
  <si>
    <t>Petróleo</t>
  </si>
  <si>
    <t>Acciones EE.UU.</t>
  </si>
  <si>
    <t>Acciones Brasil</t>
  </si>
  <si>
    <t>T-Bills 7-10 años</t>
  </si>
  <si>
    <t>T-Bills 1-3 años</t>
  </si>
  <si>
    <t>T-Bills 3-7 años</t>
  </si>
  <si>
    <t>T-Bills 1-3 meses</t>
  </si>
  <si>
    <t>Acciones Mercados Emergentes</t>
  </si>
  <si>
    <t>Bonos Corporativos Corto Plazo</t>
  </si>
  <si>
    <t>S&amp;P 500</t>
  </si>
  <si>
    <t>Inception Dt</t>
  </si>
  <si>
    <t>30D AVAT</t>
  </si>
  <si>
    <t>Exp Ratio</t>
  </si>
  <si>
    <t>Nombre</t>
  </si>
  <si>
    <t>Sector</t>
  </si>
  <si>
    <t>Moneda</t>
  </si>
  <si>
    <t>Último</t>
  </si>
  <si>
    <t>Spread Bid-Ask Promedio (%)</t>
  </si>
  <si>
    <t>Var. Neta</t>
  </si>
  <si>
    <t>Var. % 1D</t>
  </si>
  <si>
    <t>WTD %</t>
  </si>
  <si>
    <t>Var. % 1M</t>
  </si>
  <si>
    <t>Var. % 3M</t>
  </si>
  <si>
    <t>Var. % 6M</t>
  </si>
  <si>
    <t>YTD %</t>
  </si>
  <si>
    <t>Var. % 1Y</t>
  </si>
  <si>
    <t>Retorno Desv. Stand 3Y</t>
  </si>
  <si>
    <t>Sharpe Ratio 3Y</t>
  </si>
  <si>
    <t>Track Error</t>
  </si>
  <si>
    <t>FIXED INCOME</t>
  </si>
  <si>
    <t>AGG US Equity</t>
  </si>
  <si>
    <t>SHY US Equity</t>
  </si>
  <si>
    <t>VGIT US Equity</t>
  </si>
  <si>
    <t>TLT US Equity</t>
  </si>
  <si>
    <t>VMBS US Equity</t>
  </si>
  <si>
    <t>GOVT US Equity</t>
  </si>
  <si>
    <t>TIP US Equity</t>
  </si>
  <si>
    <t>LQD US Equity</t>
  </si>
  <si>
    <t>VCSH US Equity</t>
  </si>
  <si>
    <t>VCIT US Equity</t>
  </si>
  <si>
    <t>MINT US Equity</t>
  </si>
  <si>
    <t>JPST US Equity</t>
  </si>
  <si>
    <t>FLOT US Equity</t>
  </si>
  <si>
    <t>HYG US Equity</t>
  </si>
  <si>
    <t>SHYG US Equity</t>
  </si>
  <si>
    <t>HYLS US Equity</t>
  </si>
  <si>
    <t>AGGY US Equity</t>
  </si>
  <si>
    <t>PGX US Equity</t>
  </si>
  <si>
    <t>SRLN US Equity</t>
  </si>
  <si>
    <t>IAGG US Equity</t>
  </si>
  <si>
    <t>BWX US Equity</t>
  </si>
  <si>
    <t>EMB US Equity</t>
  </si>
  <si>
    <t>EMLC US Equity</t>
  </si>
  <si>
    <t>CEMB US Equity</t>
  </si>
  <si>
    <t>HYEM US Equity</t>
  </si>
  <si>
    <t>ACWI US Equity</t>
  </si>
  <si>
    <t>ACWV US Equity</t>
  </si>
  <si>
    <t>SPY US Equity</t>
  </si>
  <si>
    <t>IVV US Equity</t>
  </si>
  <si>
    <t>DIA US Equity</t>
  </si>
  <si>
    <t>ONEQ US Equity</t>
  </si>
  <si>
    <t>FLQL US Equity</t>
  </si>
  <si>
    <t>IJH US Equity</t>
  </si>
  <si>
    <t>IJR US Equity</t>
  </si>
  <si>
    <t>MOAT US Equity</t>
  </si>
  <si>
    <t>USMV US Equity</t>
  </si>
  <si>
    <t>DGRO US Equity</t>
  </si>
  <si>
    <t>VUG US Equity</t>
  </si>
  <si>
    <t>VTV US Equity</t>
  </si>
  <si>
    <t>FVD US Equity</t>
  </si>
  <si>
    <t>XLK US Equity</t>
  </si>
  <si>
    <t>XLV US Equity</t>
  </si>
  <si>
    <t>XLF US Equity</t>
  </si>
  <si>
    <t>IBB US Equity</t>
  </si>
  <si>
    <t>VCR US Equity</t>
  </si>
  <si>
    <t>VNQ US Equity</t>
  </si>
  <si>
    <t>FDN US Equity</t>
  </si>
  <si>
    <t>ACWX US Equity</t>
  </si>
  <si>
    <t>EFA US Equity</t>
  </si>
  <si>
    <t>HEFA US Equity</t>
  </si>
  <si>
    <t>EFAV US Equity</t>
  </si>
  <si>
    <t>EFG US Equity</t>
  </si>
  <si>
    <t>EFV US Equity</t>
  </si>
  <si>
    <t>IDV US Equity</t>
  </si>
  <si>
    <t>VGK US Equity</t>
  </si>
  <si>
    <t>HEDJ US Equity</t>
  </si>
  <si>
    <t>DXJ US Equity</t>
  </si>
  <si>
    <t>IEMG US Equity</t>
  </si>
  <si>
    <t>VWO US Equity</t>
  </si>
  <si>
    <t>EEMV US Equity</t>
  </si>
  <si>
    <t>DEM US Equity</t>
  </si>
  <si>
    <t>EEMA US Equity</t>
  </si>
  <si>
    <t>EEMS US Equity</t>
  </si>
  <si>
    <t>MCHI US Equity</t>
  </si>
  <si>
    <t>KBA US Equity</t>
  </si>
  <si>
    <t>ILF US Equity</t>
  </si>
  <si>
    <t>EWZ US Equity</t>
  </si>
  <si>
    <t>EWW US Equity</t>
  </si>
  <si>
    <t>ARGT US Equity</t>
  </si>
  <si>
    <t>ARKK US Equity</t>
  </si>
  <si>
    <t>WCLD US Equity</t>
  </si>
  <si>
    <t>ARKQ US Equity</t>
  </si>
  <si>
    <t>ICLN US Equity</t>
  </si>
  <si>
    <t>ARKF US Equity</t>
  </si>
  <si>
    <t>KWEB US Equity</t>
  </si>
  <si>
    <t>EMQQ US Equity</t>
  </si>
  <si>
    <t>DBC US Equity</t>
  </si>
  <si>
    <t>USL US Equity</t>
  </si>
  <si>
    <t>GLD US Equity</t>
  </si>
  <si>
    <t>CEF US Equity</t>
  </si>
  <si>
    <t>GDX US Equity</t>
  </si>
  <si>
    <t>QAI US Equity</t>
  </si>
  <si>
    <t>ISHARES CORE U.S. AGGREGATE</t>
  </si>
  <si>
    <t>Broad Market</t>
  </si>
  <si>
    <t>ISHARES 1-3 YEAR TREASURY BO</t>
  </si>
  <si>
    <t>Short Term Govt</t>
  </si>
  <si>
    <t>VANGUARD INTERMEDIATE-TERM T</t>
  </si>
  <si>
    <t>Medium term Govt</t>
  </si>
  <si>
    <t>ISHARES 20+ YEAR TREASURY BO</t>
  </si>
  <si>
    <t>Long Term Govt</t>
  </si>
  <si>
    <t>VANGUARD MORTGAGE-BACKED SEC</t>
  </si>
  <si>
    <t>Mortgage-Backed</t>
  </si>
  <si>
    <t>ISHARES US TREASURY BOND ETF</t>
  </si>
  <si>
    <t>I.C.E. US Treasury</t>
  </si>
  <si>
    <t>ISHARES TIPS BOND ETF</t>
  </si>
  <si>
    <t>Inflation Protected</t>
  </si>
  <si>
    <t>US Investment Grade</t>
  </si>
  <si>
    <t>ISHARES IBOXX INVESTMENT GRA</t>
  </si>
  <si>
    <t>Corporate</t>
  </si>
  <si>
    <t>VANGUARD S/T CORP BOND ETF</t>
  </si>
  <si>
    <t>VANGUARD INT-TERM CORPORATE</t>
  </si>
  <si>
    <t>Corporate Medium Mat</t>
  </si>
  <si>
    <t>Short Duration ETFs</t>
  </si>
  <si>
    <t>PIMCO ENHANCED SHORT MATURIT</t>
  </si>
  <si>
    <t>Short Duration</t>
  </si>
  <si>
    <t>JPMORGAN ULTRA-SHORT INCOME</t>
  </si>
  <si>
    <t>Ultra Short Duration</t>
  </si>
  <si>
    <t>ISHARES FLOATING RATE BOND E</t>
  </si>
  <si>
    <t>Floating Rate</t>
  </si>
  <si>
    <t>High Yield</t>
  </si>
  <si>
    <t>ISHARES IBOXX HIGH YLD CORP</t>
  </si>
  <si>
    <t>US High Yield</t>
  </si>
  <si>
    <t>ISHARES 0-5 YR HY CORP BOND</t>
  </si>
  <si>
    <t>Short Duration HY</t>
  </si>
  <si>
    <t>FT TACTICAL HIGH YIELD ETF</t>
  </si>
  <si>
    <t>Tactical High Yield</t>
  </si>
  <si>
    <t>Tactical</t>
  </si>
  <si>
    <t>WISDOMTREE YIELD ENHANCED US</t>
  </si>
  <si>
    <t>US Agg Enhanced</t>
  </si>
  <si>
    <t>INVESCO PREFERRED ETF</t>
  </si>
  <si>
    <t>Preferreds</t>
  </si>
  <si>
    <t>SPDR BLACKSTONE/GSO SEN LOAN</t>
  </si>
  <si>
    <t>Senior Loans</t>
  </si>
  <si>
    <t>International Development</t>
  </si>
  <si>
    <t>ISHARES INTL AGGREGATE BOND</t>
  </si>
  <si>
    <t>Global Aggregate</t>
  </si>
  <si>
    <t>SPDR BBG BARC INTL TREASURY</t>
  </si>
  <si>
    <t>Global Government</t>
  </si>
  <si>
    <t>Emerging Market Debt</t>
  </si>
  <si>
    <t>ISHARES JP MORGAN USD EMERGI</t>
  </si>
  <si>
    <t>Hard Currency</t>
  </si>
  <si>
    <t>VANECK JPM EM LOCAL CCY BOND</t>
  </si>
  <si>
    <t>Local Currency</t>
  </si>
  <si>
    <t>ISHARES JP MORGAN EM CORPORA</t>
  </si>
  <si>
    <t>VANECK EM HIGH YIELD BOND</t>
  </si>
  <si>
    <t>EQUITIES</t>
  </si>
  <si>
    <t>World Equities</t>
  </si>
  <si>
    <t>ISHARES MSCI ACWI ETF</t>
  </si>
  <si>
    <t>Global</t>
  </si>
  <si>
    <t>ISHARES EDGE MSCI MIN VOL GL</t>
  </si>
  <si>
    <t>Global Low Vol</t>
  </si>
  <si>
    <t>US Equities</t>
  </si>
  <si>
    <t>SPDR S&amp;P 500 ETF TRUST</t>
  </si>
  <si>
    <t>Large Cap</t>
  </si>
  <si>
    <t>ISHARES CORE S&amp;P 500 ETF</t>
  </si>
  <si>
    <t>SPDR DJIA TRUST</t>
  </si>
  <si>
    <t>FIDELITY NASDAQ COMP INDX TS</t>
  </si>
  <si>
    <t>FRANKLIN LIBERTYQ US EQUITY</t>
  </si>
  <si>
    <t>Factor</t>
  </si>
  <si>
    <t>ISHARES CORE S&amp;P MIDCAP ETF</t>
  </si>
  <si>
    <t>Mid Cap</t>
  </si>
  <si>
    <t>ISHARES CORE S&amp;P SMALL-CAP E</t>
  </si>
  <si>
    <t>Small Cap</t>
  </si>
  <si>
    <t>VANECK MORNINGSTAR WIDE MOAT</t>
  </si>
  <si>
    <t>ISHARES EDGE MSCI MIN VOL US</t>
  </si>
  <si>
    <t>Low Vol</t>
  </si>
  <si>
    <t>ISHARES CORE DIVIDEND GROWTH</t>
  </si>
  <si>
    <t>High Dividend</t>
  </si>
  <si>
    <t>VANGUARD GROWTH ETF</t>
  </si>
  <si>
    <t>Growth</t>
  </si>
  <si>
    <t>VANGUARD VALUE ETF</t>
  </si>
  <si>
    <t>Value</t>
  </si>
  <si>
    <t>FIRST TRUST VALUE LINE DVD</t>
  </si>
  <si>
    <t>US Sectors</t>
  </si>
  <si>
    <t>TECHNOLOGY SELECT SECT SPDR</t>
  </si>
  <si>
    <t>Technology</t>
  </si>
  <si>
    <t>HEALTH CARE SELECT SECTOR</t>
  </si>
  <si>
    <t>Healthcare</t>
  </si>
  <si>
    <t>FINANCIAL SELECT SECTOR SPDR</t>
  </si>
  <si>
    <t>Financial</t>
  </si>
  <si>
    <t>ISHARES NASDAQ BIOTECHNOLOGY</t>
  </si>
  <si>
    <t>Biotechnology</t>
  </si>
  <si>
    <t>VANGUARD CONSUMER DISCRE ETF</t>
  </si>
  <si>
    <t>Consumer Discretionary</t>
  </si>
  <si>
    <t>VANGUARD REAL ESTATE ETF</t>
  </si>
  <si>
    <t>Real Estate</t>
  </si>
  <si>
    <t>FIRST TRUST DJ INTERNET IND</t>
  </si>
  <si>
    <t>Internet</t>
  </si>
  <si>
    <t>International ex US</t>
  </si>
  <si>
    <t>ISHARES MSCI ACWI EX US ETF</t>
  </si>
  <si>
    <t>Core</t>
  </si>
  <si>
    <t>ISHARES MSCI EAFE ETF</t>
  </si>
  <si>
    <t>Developed</t>
  </si>
  <si>
    <t>ISHA CURR HEDGED MSCI EAFE</t>
  </si>
  <si>
    <t>Developed USD Hedge</t>
  </si>
  <si>
    <t>ISHARES EDGE MSCI MIN VOL EA</t>
  </si>
  <si>
    <t>Developed Low Vol</t>
  </si>
  <si>
    <t>ISHARES MSCI EAFE GROWTH ETF</t>
  </si>
  <si>
    <t>Developed Growth</t>
  </si>
  <si>
    <t>ISHARES MSCI EAFE VALUE ETF</t>
  </si>
  <si>
    <t>Developed Value</t>
  </si>
  <si>
    <t>ISHARES INTERNATIONAL SELECT</t>
  </si>
  <si>
    <t>VANGUARD FTSE EUROPE ETF</t>
  </si>
  <si>
    <t>Europe</t>
  </si>
  <si>
    <t>WISDOMTREE EUROPE HEDGED EQU</t>
  </si>
  <si>
    <t>Europe Hedge</t>
  </si>
  <si>
    <t>WISDOMTREE JAPAN HEDGED EQ</t>
  </si>
  <si>
    <t>Japan Hedge</t>
  </si>
  <si>
    <t>Emerging Market</t>
  </si>
  <si>
    <t>ISHARES CORE MSCI EMERGING</t>
  </si>
  <si>
    <t>VANGUARD FTSE EMERGING MARKE</t>
  </si>
  <si>
    <t>ISHARES EDGE MSCI MIN VOL EM</t>
  </si>
  <si>
    <t>WISDOMTREE EMERGING MARKETS</t>
  </si>
  <si>
    <t>ISHARES MSCI EMERG MRKT ASIA</t>
  </si>
  <si>
    <t>Asia</t>
  </si>
  <si>
    <t>ISHARES MSCI EMERGING MKT SM</t>
  </si>
  <si>
    <t>Energing Smaller</t>
  </si>
  <si>
    <t>ISHARES MSCI CHINA ETF</t>
  </si>
  <si>
    <t>China Core</t>
  </si>
  <si>
    <t>KRANESH BOSERA MSCI CHINA A</t>
  </si>
  <si>
    <t>China A Share</t>
  </si>
  <si>
    <t>Latam</t>
  </si>
  <si>
    <t>ISHARES LATIN AMERICA 40 ETF</t>
  </si>
  <si>
    <t>Latin America Large-Cap</t>
  </si>
  <si>
    <t>ISHARES MSCI BRAZIL ETF</t>
  </si>
  <si>
    <t>Brazil Large-Cap</t>
  </si>
  <si>
    <t>ISHARES MSCI MEXICO ETF</t>
  </si>
  <si>
    <t>Mexico Broad Market</t>
  </si>
  <si>
    <t>GLOBAL X MSCI ARGENTINA ETF</t>
  </si>
  <si>
    <t>Argentina Broad Market</t>
  </si>
  <si>
    <t>Thematic</t>
  </si>
  <si>
    <t>ARK INNOVATION ETF</t>
  </si>
  <si>
    <t>Innovation</t>
  </si>
  <si>
    <t>WISDOMTREE CLOUD COMPUTING</t>
  </si>
  <si>
    <t>Cloud Computing</t>
  </si>
  <si>
    <t>ARK AUTONOMOUS TECH &amp; ROBOT</t>
  </si>
  <si>
    <t>Robotics</t>
  </si>
  <si>
    <t>ISHARES GLOBAL CLEAN ENERGY</t>
  </si>
  <si>
    <t>Clean Energy</t>
  </si>
  <si>
    <t>ARK FINTECH INNOVATION ETF</t>
  </si>
  <si>
    <t>Fintech</t>
  </si>
  <si>
    <t>KRANESHARES CSI CHINA INTERN</t>
  </si>
  <si>
    <t>China Internet</t>
  </si>
  <si>
    <t>EMERGING MRKTS INTERNET &amp; EC</t>
  </si>
  <si>
    <t>Emerging Internet</t>
  </si>
  <si>
    <t>ALTERNATIVES</t>
  </si>
  <si>
    <t>INVESCO DB COMMODITY INDEX T</t>
  </si>
  <si>
    <t>UNITED STATES 12 MONTH OIL</t>
  </si>
  <si>
    <t>Oil</t>
  </si>
  <si>
    <t>SPDR GOLD SHARES</t>
  </si>
  <si>
    <t>Gold</t>
  </si>
  <si>
    <t>SPROTT PHYSICAL GOLD AND SIL</t>
  </si>
  <si>
    <t>Gold &amp; Silver</t>
  </si>
  <si>
    <t>VANECK GOLD MINERS</t>
  </si>
  <si>
    <t>Gold Miners</t>
  </si>
  <si>
    <t>IQ HEDGE MULTI-STRAT TRACKER</t>
  </si>
  <si>
    <t>Alternative</t>
  </si>
  <si>
    <t>US Government</t>
  </si>
  <si>
    <t>Fuente: elaboración propia en base a datos de Bloomberg</t>
  </si>
  <si>
    <t>Inception Date</t>
  </si>
  <si>
    <t>Last</t>
  </si>
  <si>
    <t>Return Dev. Stand 3Y</t>
  </si>
  <si>
    <t>Net. Var</t>
  </si>
  <si>
    <t>YTD    %</t>
  </si>
  <si>
    <t>-</t>
  </si>
  <si>
    <t>30D AVG VOL</t>
  </si>
  <si>
    <t>Avrg Bid-Ask Spread (%)</t>
  </si>
  <si>
    <t>Curncy</t>
  </si>
  <si>
    <t>30D Avg Vol</t>
  </si>
  <si>
    <t>2008-03-28</t>
  </si>
  <si>
    <t>USD</t>
  </si>
  <si>
    <t>2011-10-20</t>
  </si>
  <si>
    <t>1993-01-22</t>
  </si>
  <si>
    <t>2000-05-19</t>
  </si>
  <si>
    <t>1998-01-20</t>
  </si>
  <si>
    <t>2003-10-01</t>
  </si>
  <si>
    <t>2017-04-26</t>
  </si>
  <si>
    <t>2000-05-26</t>
  </si>
  <si>
    <t>2000-05-22</t>
  </si>
  <si>
    <t>2012-04-25</t>
  </si>
  <si>
    <t>2014-06-12</t>
  </si>
  <si>
    <t>2004-01-30</t>
  </si>
  <si>
    <t>2003-08-26</t>
  </si>
  <si>
    <t>1998-12-22</t>
  </si>
  <si>
    <t>2001-02-09</t>
  </si>
  <si>
    <t>2004-09-29</t>
  </si>
  <si>
    <t>2006-06-23</t>
  </si>
  <si>
    <t>2008-03-31</t>
  </si>
  <si>
    <t>2001-08-17</t>
  </si>
  <si>
    <t>2014-02-04</t>
  </si>
  <si>
    <t>2005-08-05</t>
  </si>
  <si>
    <t>2007-06-15</t>
  </si>
  <si>
    <t>2005-03-10</t>
  </si>
  <si>
    <t>2009-12-31</t>
  </si>
  <si>
    <t>2006-06-16</t>
  </si>
  <si>
    <t>2012-10-22</t>
  </si>
  <si>
    <t>2007-07-13</t>
  </si>
  <si>
    <t>2012-02-09</t>
  </si>
  <si>
    <t>2011-08-18</t>
  </si>
  <si>
    <t>2011-03-31</t>
  </si>
  <si>
    <t>2014-03-05</t>
  </si>
  <si>
    <t>2001-10-26</t>
  </si>
  <si>
    <t>2000-07-14</t>
  </si>
  <si>
    <t>1996-03-18</t>
  </si>
  <si>
    <t>2011-03-03</t>
  </si>
  <si>
    <t>2014-10-31</t>
  </si>
  <si>
    <t>2019-09-06</t>
  </si>
  <si>
    <t>2014-09-30</t>
  </si>
  <si>
    <t>2008-06-25</t>
  </si>
  <si>
    <t>2019-02-04</t>
  </si>
  <si>
    <t>2013-07-31</t>
  </si>
  <si>
    <t>2014-11-13</t>
  </si>
  <si>
    <t>2006-02-03</t>
  </si>
  <si>
    <t>2007-12-06</t>
  </si>
  <si>
    <t>2004-11-18</t>
  </si>
  <si>
    <t>2006-05-22</t>
  </si>
  <si>
    <t>2009-03-25</t>
  </si>
  <si>
    <t>2003-09-26</t>
  </si>
  <si>
    <t>2002-07-26</t>
  </si>
  <si>
    <t>2009-11-23</t>
  </si>
  <si>
    <t>2012-02-24</t>
  </si>
  <si>
    <t>2003-12-05</t>
  </si>
  <si>
    <t>2009-11-17</t>
  </si>
  <si>
    <t>2017-05-19</t>
  </si>
  <si>
    <t>2011-06-17</t>
  </si>
  <si>
    <t>2007-04-11</t>
  </si>
  <si>
    <t>2013-10-17</t>
  </si>
  <si>
    <t>2013-02-27</t>
  </si>
  <si>
    <t>2015-07-09</t>
  </si>
  <si>
    <t>2008-01-31</t>
  </si>
  <si>
    <t>2013-04-04</t>
  </si>
  <si>
    <t>2015-11-12</t>
  </si>
  <si>
    <t>2007-10-05</t>
  </si>
  <si>
    <t>2007-12-19</t>
  </si>
  <si>
    <t>2010-07-23</t>
  </si>
  <si>
    <t>2012-04-19</t>
  </si>
  <si>
    <t>2012-05-09</t>
  </si>
  <si>
    <t>Type</t>
  </si>
  <si>
    <t>Alternatives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</si>
</sst>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\ h:mm;@"/>
    <numFmt numFmtId="165" formatCode="#,##0.000"/>
  </numFmts>
  <fonts count="37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3" tint="-0.249977111117893"/>
      <name val="Calibri"/>
      <family val="2"/>
      <scheme val="minor"/>
    </font>
    <font>
      <b/>
      <sz val="24"/>
      <color theme="0"/>
      <name val="Calibri"/>
      <family val="2"/>
    </font>
    <font>
      <sz val="24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21"/>
      <color theme="3" tint="-0.249977111117893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3" tint="-0.249977111117893"/>
      <name val="Calibri"/>
      <family val="2"/>
      <scheme val="minor"/>
    </font>
    <font>
      <b/>
      <sz val="26"/>
      <color theme="0"/>
      <name val="Calibri"/>
      <family val="2"/>
    </font>
    <font>
      <sz val="32"/>
      <color theme="1"/>
      <name val="Calibri"/>
      <family val="2"/>
      <scheme val="minor"/>
    </font>
    <font>
      <sz val="35"/>
      <color theme="1"/>
      <name val="Calibri"/>
      <family val="2"/>
      <scheme val="minor"/>
    </font>
    <font>
      <b/>
      <sz val="35"/>
      <color theme="3" tint="-0.249977111117893"/>
      <name val="Calibri"/>
      <family val="2"/>
      <scheme val="minor"/>
    </font>
    <font>
      <b/>
      <sz val="35"/>
      <color theme="0"/>
      <name val="Calibri"/>
      <family val="2"/>
    </font>
    <font>
      <sz val="40"/>
      <color theme="1"/>
      <name val="Calibri"/>
      <family val="2"/>
      <scheme val="minor"/>
    </font>
    <font>
      <b/>
      <sz val="37"/>
      <color theme="3" tint="-0.249977111117893"/>
      <name val="Calibri"/>
      <family val="2"/>
      <scheme val="minor"/>
    </font>
    <font>
      <sz val="37"/>
      <color theme="1"/>
      <name val="Calibri"/>
      <family val="2"/>
      <scheme val="minor"/>
    </font>
    <font>
      <b/>
      <sz val="37"/>
      <color theme="0"/>
      <name val="Calibri"/>
      <family val="2"/>
    </font>
    <font>
      <b/>
      <sz val="37"/>
      <name val="Calibri"/>
      <family val="2"/>
    </font>
    <font>
      <b/>
      <sz val="37"/>
      <color theme="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5" applyNumberFormat="0" applyAlignment="0" applyProtection="0"/>
    <xf numFmtId="0" fontId="14" fillId="7" borderId="8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5" applyNumberFormat="0" applyAlignment="0" applyProtection="0"/>
    <xf numFmtId="0" fontId="13" fillId="0" borderId="7" applyNumberFormat="0" applyFill="0" applyAlignment="0" applyProtection="0"/>
    <xf numFmtId="0" fontId="9" fillId="4" borderId="0" applyNumberFormat="0" applyBorder="0" applyAlignment="0" applyProtection="0"/>
    <xf numFmtId="0" fontId="2" fillId="8" borderId="9" applyNumberFormat="0" applyFont="0" applyAlignment="0" applyProtection="0"/>
    <xf numFmtId="0" fontId="11" fillId="6" borderId="6" applyNumberFormat="0" applyAlignment="0" applyProtection="0"/>
    <xf numFmtId="0" fontId="3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5" fillId="0" borderId="0" applyNumberFormat="0" applyFill="0" applyBorder="0" applyAlignment="0" applyProtection="0"/>
  </cellStyleXfs>
  <cellXfs count="85">
    <xf numFmtId="0" fontId="0" fillId="0" borderId="0" xfId="0"/>
    <xf numFmtId="3" fontId="21" fillId="0" borderId="11" xfId="0" applyNumberFormat="1" applyFont="1" applyFill="1" applyBorder="1" applyAlignment="1">
      <alignment horizontal="center" vertical="center"/>
    </xf>
    <xf numFmtId="3" fontId="21" fillId="0" borderId="1" xfId="0" applyNumberFormat="1" applyFont="1" applyFill="1" applyBorder="1" applyAlignment="1">
      <alignment horizontal="center" vertical="center"/>
    </xf>
    <xf numFmtId="0" fontId="20" fillId="35" borderId="18" xfId="26" applyNumberFormat="1" applyFont="1" applyFill="1" applyBorder="1" applyAlignment="1" applyProtection="1">
      <alignment horizontal="center" vertical="center" wrapText="1"/>
    </xf>
    <xf numFmtId="4" fontId="21" fillId="0" borderId="16" xfId="0" applyNumberFormat="1" applyFont="1" applyFill="1" applyBorder="1" applyAlignment="1">
      <alignment horizontal="center" vertical="center"/>
    </xf>
    <xf numFmtId="4" fontId="21" fillId="0" borderId="12" xfId="0" applyNumberFormat="1" applyFont="1" applyFill="1" applyBorder="1" applyAlignment="1">
      <alignment horizontal="center" vertical="center"/>
    </xf>
    <xf numFmtId="0" fontId="20" fillId="35" borderId="17" xfId="26" applyNumberFormat="1" applyFont="1" applyFill="1" applyBorder="1" applyAlignment="1" applyProtection="1">
      <alignment horizontal="center" vertical="center" wrapText="1"/>
    </xf>
    <xf numFmtId="2" fontId="21" fillId="0" borderId="16" xfId="0" applyNumberFormat="1" applyFont="1" applyFill="1" applyBorder="1" applyAlignment="1">
      <alignment horizontal="center" vertical="center"/>
    </xf>
    <xf numFmtId="0" fontId="21" fillId="0" borderId="16" xfId="0" applyFont="1" applyFill="1" applyBorder="1" applyAlignment="1">
      <alignment horizontal="center" vertical="center"/>
    </xf>
    <xf numFmtId="164" fontId="23" fillId="0" borderId="0" xfId="0" applyNumberFormat="1" applyFont="1" applyFill="1" applyAlignment="1">
      <alignment horizontal="left"/>
    </xf>
    <xf numFmtId="0" fontId="0" fillId="34" borderId="0" xfId="0" applyFill="1" applyBorder="1"/>
    <xf numFmtId="0" fontId="22" fillId="34" borderId="0" xfId="0" applyFont="1" applyFill="1" applyAlignment="1">
      <alignment horizontal="left" vertical="center"/>
    </xf>
    <xf numFmtId="0" fontId="21" fillId="34" borderId="0" xfId="0" applyFont="1" applyFill="1" applyBorder="1" applyAlignment="1">
      <alignment horizontal="center" vertical="center"/>
    </xf>
    <xf numFmtId="0" fontId="0" fillId="34" borderId="0" xfId="0" applyFill="1" applyAlignment="1">
      <alignment horizontal="left" vertical="top"/>
    </xf>
    <xf numFmtId="0" fontId="21" fillId="34" borderId="12" xfId="0" applyFont="1" applyFill="1" applyBorder="1" applyAlignment="1">
      <alignment horizontal="left" vertical="top"/>
    </xf>
    <xf numFmtId="2" fontId="21" fillId="0" borderId="12" xfId="0" applyNumberFormat="1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0" fillId="35" borderId="15" xfId="26" applyNumberFormat="1" applyFont="1" applyFill="1" applyBorder="1" applyAlignment="1" applyProtection="1">
      <alignment horizontal="center" vertical="center" wrapText="1"/>
    </xf>
    <xf numFmtId="0" fontId="20" fillId="35" borderId="14" xfId="26" applyNumberFormat="1" applyFont="1" applyFill="1" applyBorder="1" applyAlignment="1" applyProtection="1">
      <alignment horizontal="center" vertical="center" wrapText="1"/>
    </xf>
    <xf numFmtId="0" fontId="20" fillId="35" borderId="13" xfId="26" applyNumberFormat="1" applyFont="1" applyFill="1" applyBorder="1" applyAlignment="1" applyProtection="1">
      <alignment horizontal="center" vertical="center" wrapText="1"/>
    </xf>
    <xf numFmtId="14" fontId="19" fillId="34" borderId="0" xfId="0" applyNumberFormat="1" applyFont="1" applyFill="1" applyBorder="1" applyAlignment="1">
      <alignment horizontal="left"/>
    </xf>
    <xf numFmtId="0" fontId="0" fillId="34" borderId="0" xfId="0" applyFill="1"/>
    <xf numFmtId="0" fontId="1" fillId="33" borderId="0" xfId="26" applyNumberFormat="1" applyFont="1" applyFill="1" applyBorder="1" applyAlignment="1" applyProtection="1"/>
    <xf numFmtId="0" fontId="24" fillId="0" borderId="12" xfId="0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34" borderId="0" xfId="0" applyFont="1" applyFill="1"/>
    <xf numFmtId="0" fontId="24" fillId="0" borderId="0" xfId="0" applyFont="1"/>
    <xf numFmtId="0" fontId="26" fillId="35" borderId="12" xfId="26" applyNumberFormat="1" applyFont="1" applyFill="1" applyBorder="1" applyAlignment="1" applyProtection="1">
      <alignment horizontal="center" vertical="center"/>
    </xf>
    <xf numFmtId="0" fontId="26" fillId="35" borderId="20" xfId="26" applyNumberFormat="1" applyFont="1" applyFill="1" applyBorder="1" applyAlignment="1" applyProtection="1">
      <alignment horizontal="center" vertical="center" wrapText="1"/>
    </xf>
    <xf numFmtId="0" fontId="26" fillId="35" borderId="19" xfId="26" applyNumberFormat="1" applyFont="1" applyFill="1" applyBorder="1" applyAlignment="1" applyProtection="1">
      <alignment horizontal="center" vertical="center" wrapText="1"/>
    </xf>
    <xf numFmtId="0" fontId="26" fillId="35" borderId="18" xfId="26" applyNumberFormat="1" applyFont="1" applyFill="1" applyBorder="1" applyAlignment="1" applyProtection="1">
      <alignment horizontal="center" vertical="center" wrapText="1"/>
    </xf>
    <xf numFmtId="164" fontId="25" fillId="0" borderId="0" xfId="0" applyNumberFormat="1" applyFont="1" applyFill="1" applyAlignment="1">
      <alignment horizontal="left"/>
    </xf>
    <xf numFmtId="14" fontId="25" fillId="34" borderId="0" xfId="0" applyNumberFormat="1" applyFont="1" applyFill="1" applyBorder="1" applyAlignment="1">
      <alignment horizontal="left"/>
    </xf>
    <xf numFmtId="0" fontId="26" fillId="35" borderId="0" xfId="26" applyNumberFormat="1" applyFont="1" applyFill="1" applyBorder="1" applyAlignment="1" applyProtection="1">
      <alignment horizontal="center" vertical="center" wrapText="1"/>
    </xf>
    <xf numFmtId="0" fontId="26" fillId="35" borderId="21" xfId="26" applyNumberFormat="1" applyFont="1" applyFill="1" applyBorder="1" applyAlignment="1" applyProtection="1">
      <alignment horizontal="center" vertical="center" wrapText="1"/>
    </xf>
    <xf numFmtId="4" fontId="24" fillId="0" borderId="12" xfId="0" applyNumberFormat="1" applyFont="1" applyFill="1" applyBorder="1" applyAlignment="1">
      <alignment horizontal="center" vertical="center"/>
    </xf>
    <xf numFmtId="3" fontId="24" fillId="0" borderId="12" xfId="0" applyNumberFormat="1" applyFont="1" applyFill="1" applyBorder="1" applyAlignment="1">
      <alignment horizontal="center" vertical="center"/>
    </xf>
    <xf numFmtId="165" fontId="24" fillId="0" borderId="12" xfId="0" applyNumberFormat="1" applyFont="1" applyFill="1" applyBorder="1" applyAlignment="1">
      <alignment horizontal="center" vertical="center"/>
    </xf>
    <xf numFmtId="2" fontId="24" fillId="0" borderId="12" xfId="0" applyNumberFormat="1" applyFont="1" applyFill="1" applyBorder="1" applyAlignment="1">
      <alignment horizontal="center" vertical="center"/>
    </xf>
    <xf numFmtId="165" fontId="24" fillId="0" borderId="1" xfId="0" applyNumberFormat="1" applyFont="1" applyFill="1" applyBorder="1" applyAlignment="1">
      <alignment horizontal="center" vertical="center"/>
    </xf>
    <xf numFmtId="0" fontId="26" fillId="35" borderId="12" xfId="26" applyNumberFormat="1" applyFont="1" applyFill="1" applyBorder="1" applyAlignment="1" applyProtection="1">
      <alignment horizontal="left" vertical="center"/>
    </xf>
    <xf numFmtId="4" fontId="24" fillId="0" borderId="16" xfId="0" applyNumberFormat="1" applyFont="1" applyFill="1" applyBorder="1" applyAlignment="1">
      <alignment horizontal="center" vertical="center"/>
    </xf>
    <xf numFmtId="3" fontId="24" fillId="0" borderId="16" xfId="0" applyNumberFormat="1" applyFont="1" applyFill="1" applyBorder="1" applyAlignment="1">
      <alignment horizontal="center" vertical="center"/>
    </xf>
    <xf numFmtId="165" fontId="24" fillId="0" borderId="16" xfId="0" applyNumberFormat="1" applyFont="1" applyFill="1" applyBorder="1" applyAlignment="1">
      <alignment horizontal="center" vertical="center"/>
    </xf>
    <xf numFmtId="2" fontId="24" fillId="0" borderId="16" xfId="0" applyNumberFormat="1" applyFont="1" applyFill="1" applyBorder="1" applyAlignment="1">
      <alignment horizontal="center" vertical="center"/>
    </xf>
    <xf numFmtId="165" fontId="24" fillId="0" borderId="11" xfId="0" applyNumberFormat="1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14" fontId="29" fillId="34" borderId="0" xfId="0" applyNumberFormat="1" applyFont="1" applyFill="1" applyBorder="1" applyAlignment="1">
      <alignment horizontal="left"/>
    </xf>
    <xf numFmtId="0" fontId="28" fillId="0" borderId="0" xfId="0" applyFont="1" applyFill="1" applyBorder="1" applyAlignment="1">
      <alignment horizontal="center" vertical="center"/>
    </xf>
    <xf numFmtId="4" fontId="28" fillId="0" borderId="0" xfId="0" applyNumberFormat="1" applyFont="1" applyFill="1" applyBorder="1" applyAlignment="1">
      <alignment horizontal="center" vertical="center"/>
    </xf>
    <xf numFmtId="3" fontId="28" fillId="0" borderId="0" xfId="0" applyNumberFormat="1" applyFont="1" applyFill="1" applyBorder="1" applyAlignment="1">
      <alignment horizontal="center" vertical="center"/>
    </xf>
    <xf numFmtId="165" fontId="28" fillId="0" borderId="0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Border="1" applyAlignment="1">
      <alignment horizontal="center" vertical="center"/>
    </xf>
    <xf numFmtId="3" fontId="27" fillId="0" borderId="0" xfId="0" applyNumberFormat="1" applyFont="1" applyFill="1" applyBorder="1" applyAlignment="1">
      <alignment horizontal="center" vertical="center"/>
    </xf>
    <xf numFmtId="0" fontId="30" fillId="36" borderId="0" xfId="26" applyNumberFormat="1" applyFont="1" applyFill="1" applyBorder="1" applyAlignment="1" applyProtection="1">
      <alignment horizontal="left" vertical="center" wrapText="1"/>
    </xf>
    <xf numFmtId="0" fontId="30" fillId="36" borderId="0" xfId="26" applyNumberFormat="1" applyFont="1" applyFill="1" applyBorder="1" applyAlignment="1" applyProtection="1">
      <alignment horizontal="center" vertical="center" wrapText="1"/>
    </xf>
    <xf numFmtId="0" fontId="28" fillId="0" borderId="0" xfId="0" applyFont="1" applyFill="1" applyBorder="1" applyAlignment="1">
      <alignment horizontal="left" vertical="center"/>
    </xf>
    <xf numFmtId="14" fontId="32" fillId="34" borderId="0" xfId="0" applyNumberFormat="1" applyFont="1" applyFill="1" applyBorder="1" applyAlignment="1">
      <alignment horizontal="left"/>
    </xf>
    <xf numFmtId="0" fontId="34" fillId="36" borderId="0" xfId="26" applyNumberFormat="1" applyFont="1" applyFill="1" applyBorder="1" applyAlignment="1" applyProtection="1">
      <alignment horizontal="left" vertical="center" wrapText="1"/>
    </xf>
    <xf numFmtId="0" fontId="34" fillId="36" borderId="0" xfId="26" applyNumberFormat="1" applyFont="1" applyFill="1" applyBorder="1" applyAlignment="1" applyProtection="1">
      <alignment horizontal="center" vertical="center" wrapText="1"/>
    </xf>
    <xf numFmtId="0" fontId="34" fillId="38" borderId="0" xfId="26" applyNumberFormat="1" applyFont="1" applyFill="1" applyBorder="1" applyAlignment="1" applyProtection="1">
      <alignment horizontal="left" vertical="center"/>
    </xf>
    <xf numFmtId="0" fontId="34" fillId="38" borderId="0" xfId="26" applyNumberFormat="1" applyFont="1" applyFill="1" applyBorder="1" applyAlignment="1" applyProtection="1">
      <alignment horizontal="center" vertical="center" wrapText="1"/>
    </xf>
    <xf numFmtId="0" fontId="35" fillId="37" borderId="0" xfId="26" applyNumberFormat="1" applyFont="1" applyFill="1" applyBorder="1" applyAlignment="1" applyProtection="1">
      <alignment horizontal="left" vertical="center"/>
    </xf>
    <xf numFmtId="0" fontId="35" fillId="37" borderId="0" xfId="26" applyNumberFormat="1" applyFont="1" applyFill="1" applyBorder="1" applyAlignment="1" applyProtection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 applyAlignment="1">
      <alignment horizontal="center" vertical="center"/>
    </xf>
    <xf numFmtId="4" fontId="33" fillId="0" borderId="0" xfId="0" applyNumberFormat="1" applyFont="1" applyFill="1" applyBorder="1" applyAlignment="1">
      <alignment horizontal="center" vertical="center"/>
    </xf>
    <xf numFmtId="3" fontId="33" fillId="0" borderId="0" xfId="0" applyNumberFormat="1" applyFont="1" applyFill="1" applyBorder="1" applyAlignment="1">
      <alignment horizontal="center" vertical="center"/>
    </xf>
    <xf numFmtId="165" fontId="33" fillId="0" borderId="0" xfId="0" applyNumberFormat="1" applyFont="1" applyFill="1" applyBorder="1" applyAlignment="1">
      <alignment horizontal="center" vertical="center"/>
    </xf>
    <xf numFmtId="2" fontId="33" fillId="0" borderId="0" xfId="0" applyNumberFormat="1" applyFont="1" applyFill="1" applyBorder="1" applyAlignment="1">
      <alignment horizontal="center" vertical="center"/>
    </xf>
    <xf numFmtId="4" fontId="35" fillId="37" borderId="0" xfId="26" applyNumberFormat="1" applyFont="1" applyFill="1" applyBorder="1" applyAlignment="1" applyProtection="1">
      <alignment horizontal="center" vertical="center" wrapText="1"/>
    </xf>
    <xf numFmtId="0" fontId="34" fillId="35" borderId="0" xfId="26" applyNumberFormat="1" applyFont="1" applyFill="1" applyBorder="1" applyAlignment="1" applyProtection="1">
      <alignment horizontal="center" vertical="center" wrapText="1"/>
    </xf>
    <xf numFmtId="0" fontId="28" fillId="34" borderId="0" xfId="0" applyFont="1" applyFill="1" applyBorder="1"/>
    <xf numFmtId="0" fontId="28" fillId="34" borderId="0" xfId="0" applyFont="1" applyFill="1" applyBorder="1" applyAlignment="1">
      <alignment horizontal="left"/>
    </xf>
    <xf numFmtId="164" fontId="32" fillId="0" borderId="0" xfId="0" applyNumberFormat="1" applyFont="1" applyFill="1" applyBorder="1" applyAlignment="1">
      <alignment horizontal="left"/>
    </xf>
    <xf numFmtId="0" fontId="33" fillId="34" borderId="0" xfId="0" applyFont="1" applyFill="1" applyBorder="1"/>
    <xf numFmtId="0" fontId="28" fillId="0" borderId="0" xfId="0" applyFont="1" applyBorder="1"/>
    <xf numFmtId="0" fontId="31" fillId="34" borderId="0" xfId="0" applyFont="1" applyFill="1" applyBorder="1"/>
    <xf numFmtId="0" fontId="31" fillId="0" borderId="0" xfId="0" applyFont="1" applyBorder="1"/>
    <xf numFmtId="0" fontId="33" fillId="0" borderId="0" xfId="0" applyFont="1" applyBorder="1"/>
    <xf numFmtId="0" fontId="34" fillId="35" borderId="0" xfId="26" applyNumberFormat="1" applyFont="1" applyFill="1" applyBorder="1" applyAlignment="1" applyProtection="1">
      <alignment horizontal="left" vertical="center"/>
    </xf>
    <xf numFmtId="0" fontId="33" fillId="34" borderId="0" xfId="0" applyFont="1" applyFill="1" applyBorder="1" applyAlignment="1">
      <alignment horizontal="left"/>
    </xf>
    <xf numFmtId="0" fontId="28" fillId="0" borderId="0" xfId="0" applyFont="1" applyBorder="1" applyAlignment="1">
      <alignment horizontal="left"/>
    </xf>
    <xf numFmtId="0" fontId="36" fillId="36" borderId="0" xfId="0" applyNumberFormat="1" applyFont="1" applyFill="1" applyBorder="1" applyAlignment="1" applyProtection="1">
      <alignment horizontal="left" vertical="center" wrapText="1"/>
    </xf>
    <xf numFmtId="0" fontId="36" fillId="36" borderId="0" xfId="0" applyNumberFormat="1" applyFont="1" applyFill="1" applyBorder="1" applyAlignment="1" applyProtection="1">
      <alignment horizontal="center" vertical="center" wrapText="1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lp_column_header" xfId="26"/>
    <cellStyle name="Buena" xfId="30" builtinId="26" customBuiltin="1"/>
    <cellStyle name="Cálculo" xfId="27" builtinId="22" customBuiltin="1"/>
    <cellStyle name="Celda de comprobación" xfId="28" builtinId="23" customBuiltin="1"/>
    <cellStyle name="Celda vinculada" xfId="36" builtinId="24" customBuiltin="1"/>
    <cellStyle name="Encabezado 1" xfId="31" builtinId="16" customBuiltin="1"/>
    <cellStyle name="Encabezado 4" xfId="34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5" builtinId="20" customBuiltin="1"/>
    <cellStyle name="Incorrecto" xfId="25" builtinId="27" customBuiltin="1"/>
    <cellStyle name="Neutral" xfId="37" builtinId="28" customBuiltin="1"/>
    <cellStyle name="Normal" xfId="0" builtinId="0"/>
    <cellStyle name="Notas" xfId="38" builtinId="10" customBuiltin="1"/>
    <cellStyle name="Salida" xfId="39" builtinId="21" customBuiltin="1"/>
    <cellStyle name="Texto de advertencia" xfId="42" builtinId="11" customBuiltin="1"/>
    <cellStyle name="Texto explicativo" xfId="29" builtinId="53" customBuiltin="1"/>
    <cellStyle name="Título" xfId="40" builtinId="15" customBuiltin="1"/>
    <cellStyle name="Título 2" xfId="32" builtinId="17" customBuiltin="1"/>
    <cellStyle name="Título 3" xfId="33" builtinId="18" customBuiltin="1"/>
    <cellStyle name="Total" xfId="41" builtinId="25" customBuiltin="1"/>
  </cellStyles>
  <dxfs count="5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37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37"/>
        <color theme="1"/>
        <name val="Calibri"/>
        <scheme val="minor"/>
      </font>
      <numFmt numFmtId="165" formatCode="#,##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37"/>
        <color theme="1"/>
        <name val="Calibri"/>
        <scheme val="minor"/>
      </font>
      <numFmt numFmtId="165" formatCode="#,##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37"/>
        <color theme="1"/>
        <name val="Calibri"/>
        <scheme val="minor"/>
      </font>
      <numFmt numFmtId="165" formatCode="#,##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37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37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37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37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37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37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37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37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37"/>
        <color theme="1"/>
        <name val="Calibri"/>
        <scheme val="minor"/>
      </font>
      <numFmt numFmtId="165" formatCode="#,##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37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37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37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37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37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37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37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37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7"/>
        <color theme="0"/>
        <name val="Calibri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309562</xdr:colOff>
      <xdr:row>0</xdr:row>
      <xdr:rowOff>142875</xdr:rowOff>
    </xdr:from>
    <xdr:to>
      <xdr:col>7</xdr:col>
      <xdr:colOff>107903</xdr:colOff>
      <xdr:row>3</xdr:row>
      <xdr:rowOff>228316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0437" y="142875"/>
          <a:ext cx="3298779" cy="8712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1828800</xdr:colOff>
      <xdr:row>3</xdr:row>
      <xdr:rowOff>352425</xdr:rowOff>
    </xdr:from>
    <xdr:to>
      <xdr:col>22</xdr:col>
      <xdr:colOff>4103641</xdr:colOff>
      <xdr:row>5</xdr:row>
      <xdr:rowOff>195262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74050" y="2114550"/>
          <a:ext cx="6732541" cy="16430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999058</xdr:colOff>
      <xdr:row>1</xdr:row>
      <xdr:rowOff>38100</xdr:rowOff>
    </xdr:from>
    <xdr:to>
      <xdr:col>9</xdr:col>
      <xdr:colOff>931815</xdr:colOff>
      <xdr:row>3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1933" y="466725"/>
          <a:ext cx="4047557" cy="9715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B5:U39" totalsRowShown="0" headerRowDxfId="53" dataDxfId="52" headerRowCellStyle="blp_column_header">
  <autoFilter ref="B5:U39"/>
  <tableColumns count="20">
    <tableColumn id="1" name="Ticker" dataDxfId="51"/>
    <tableColumn id="2" name="Name" dataDxfId="50"/>
    <tableColumn id="3" name="Sector" dataDxfId="49"/>
    <tableColumn id="4" name="Inception Date" dataDxfId="48">
      <calculatedColumnFormula>_xll.BDP(B6,"FUND_INCEPT_DT")</calculatedColumnFormula>
    </tableColumn>
    <tableColumn id="5" name="Curncy" dataDxfId="47">
      <calculatedColumnFormula>_xll.BDP(B6,"CRNCY")</calculatedColumnFormula>
    </tableColumn>
    <tableColumn id="6" name="Last" dataDxfId="46">
      <calculatedColumnFormula>_xll.BDP(B6,"LAST_PRICE")</calculatedColumnFormula>
    </tableColumn>
    <tableColumn id="7" name="30D AVG VOL" dataDxfId="45">
      <calculatedColumnFormula>_xll.BDP(B6,"30_DAY_AVERAGE_VOLUME_AT_TIME_RT")</calculatedColumnFormula>
    </tableColumn>
    <tableColumn id="8" name="Avrg Bid-Ask Spread (%)" dataDxfId="44">
      <calculatedColumnFormula>_xll.BDP(B6,"AVERAGE_BID_ASK_SPREAD_%")</calculatedColumnFormula>
    </tableColumn>
    <tableColumn id="9" name="Net. Var" dataDxfId="43">
      <calculatedColumnFormula>_xll.BDP(B6,"RT_PX_CHG_NET_1D")</calculatedColumnFormula>
    </tableColumn>
    <tableColumn id="10" name="Var. % 1D" dataDxfId="42">
      <calculatedColumnFormula>_xll.BDP(B6,"RT_PX_CHG_PCT_1D")</calculatedColumnFormula>
    </tableColumn>
    <tableColumn id="11" name="WTD %" dataDxfId="41">
      <calculatedColumnFormula>_xll.BDP(B6,"CHG_PCT_WTD")</calculatedColumnFormula>
    </tableColumn>
    <tableColumn id="12" name="Var. % 1M" dataDxfId="40">
      <calculatedColumnFormula>_xll.BDP(B6,"CHG_PCT_1M_RT")</calculatedColumnFormula>
    </tableColumn>
    <tableColumn id="13" name="Var. % 3M" dataDxfId="39">
      <calculatedColumnFormula>_xll.BDP(B6,"CHG_PCT_3M_RT")</calculatedColumnFormula>
    </tableColumn>
    <tableColumn id="14" name="Var. % 6M" dataDxfId="38">
      <calculatedColumnFormula>_xll.BDP(B6,"CHG_PCT_6M")</calculatedColumnFormula>
    </tableColumn>
    <tableColumn id="15" name="YTD    %" dataDxfId="37">
      <calculatedColumnFormula>_xll.BDP(B6,"CHG_PCT_YTD")</calculatedColumnFormula>
    </tableColumn>
    <tableColumn id="16" name="Var. % 1Y" dataDxfId="36">
      <calculatedColumnFormula>_xll.BDP(B6,"PRICE_CHANGE_1Y_PCT_RT")</calculatedColumnFormula>
    </tableColumn>
    <tableColumn id="17" name="Return Dev. Stand 3Y" dataDxfId="35">
      <calculatedColumnFormula>_xll.BDP(B6,"STANDARD_DEVIATION_3YR")</calculatedColumnFormula>
    </tableColumn>
    <tableColumn id="18" name="Sharpe Ratio 3Y" dataDxfId="34">
      <calculatedColumnFormula>_xll.BDP(B6,"EQY_SHARPE_RATIO_3YR")</calculatedColumnFormula>
    </tableColumn>
    <tableColumn id="19" name="Exp Ratio" dataDxfId="33">
      <calculatedColumnFormula>_xll.BDP(B6,"FUND_EXPENSE_RATIO")</calculatedColumnFormula>
    </tableColumn>
    <tableColumn id="20" name="Track Error" dataDxfId="32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sqref="A1:I1"/>
    </sheetView>
  </sheetViews>
  <sheetFormatPr baseColWidth="10" defaultRowHeight="15" x14ac:dyDescent="0.25"/>
  <cols>
    <col min="1" max="1" width="8.42578125" bestFit="1" customWidth="1"/>
    <col min="2" max="2" width="31.140625" bestFit="1" customWidth="1"/>
    <col min="3" max="3" width="9.28515625" bestFit="1" customWidth="1"/>
    <col min="4" max="4" width="6" bestFit="1" customWidth="1"/>
    <col min="5" max="5" width="7.7109375" bestFit="1" customWidth="1"/>
    <col min="6" max="6" width="12.140625" bestFit="1" customWidth="1"/>
    <col min="7" max="7" width="8" bestFit="1" customWidth="1"/>
    <col min="8" max="8" width="10" bestFit="1" customWidth="1"/>
    <col min="9" max="9" width="12" bestFit="1" customWidth="1"/>
    <col min="10" max="12" width="19" customWidth="1"/>
  </cols>
  <sheetData>
    <row r="1" spans="1:12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/>
      <c r="K1" s="22"/>
      <c r="L1" s="22"/>
    </row>
    <row r="2" spans="1:12" x14ac:dyDescent="0.25">
      <c r="A2" t="s">
        <v>9</v>
      </c>
      <c r="B2" t="e">
        <f ca="1">_xll.BDP("SPY US Equity","NAME")</f>
        <v>#NAME?</v>
      </c>
      <c r="C2" t="e">
        <f ca="1">_xll.BDP("SPY US Equity","LAST_PRICE")</f>
        <v>#NAME?</v>
      </c>
      <c r="D2" t="e">
        <f ca="1">_xll.BDP("SPY US Equity","RT_PX_CHG_NET_1D")</f>
        <v>#NAME?</v>
      </c>
      <c r="E2" t="e">
        <f ca="1">_xll.BDP("SPY US Equity","RT_PX_CHG_PCT_1D")</f>
        <v>#NAME?</v>
      </c>
      <c r="F2" t="e">
        <f ca="1">_xll.BDP("SPY US Equity","CHG_PCT_WTD")</f>
        <v>#NAME?</v>
      </c>
      <c r="G2" t="e">
        <f ca="1">_xll.BDP("SPY US Equity","CHG_PCT_1M_RT")</f>
        <v>#NAME?</v>
      </c>
      <c r="H2" t="e">
        <f ca="1">_xll.BDP("SPY US Equity","CHG_PCT_YTD")</f>
        <v>#NAME?</v>
      </c>
      <c r="I2" t="e">
        <f ca="1">_xll.BDP("SPY US Equity","20_DAY_AVERAGE_VOLUME_AT_TIME_RT")</f>
        <v>#NAME?</v>
      </c>
    </row>
    <row r="3" spans="1:12" x14ac:dyDescent="0.25">
      <c r="A3" t="s">
        <v>10</v>
      </c>
      <c r="B3" t="e">
        <f ca="1">_xll.BDP("GLD US Equity","NAME")</f>
        <v>#NAME?</v>
      </c>
      <c r="C3" t="e">
        <f ca="1">_xll.BDP("GLD US Equity","LAST_PRICE")</f>
        <v>#NAME?</v>
      </c>
      <c r="D3" t="e">
        <f ca="1">_xll.BDP("GLD US Equity","RT_PX_CHG_NET_1D")</f>
        <v>#NAME?</v>
      </c>
      <c r="E3" t="e">
        <f ca="1">_xll.BDP("GLD US Equity","RT_PX_CHG_PCT_1D")</f>
        <v>#NAME?</v>
      </c>
      <c r="F3" t="e">
        <f ca="1">_xll.BDP("GLD US Equity","CHG_PCT_WTD")</f>
        <v>#NAME?</v>
      </c>
      <c r="G3" t="e">
        <f ca="1">_xll.BDP("GLD US Equity","CHG_PCT_1M_RT")</f>
        <v>#NAME?</v>
      </c>
      <c r="H3" t="e">
        <f ca="1">_xll.BDP("GLD US Equity","CHG_PCT_YTD")</f>
        <v>#NAME?</v>
      </c>
      <c r="I3" t="e">
        <f ca="1">_xll.BDP("GLD US Equity","20_DAY_AVERAGE_VOLUME_AT_TIME_RT")</f>
        <v>#NAME?</v>
      </c>
    </row>
    <row r="4" spans="1:12" x14ac:dyDescent="0.25">
      <c r="A4" t="s">
        <v>11</v>
      </c>
      <c r="B4" t="e">
        <f ca="1">_xll.BDP("VCSH US Equity","NAME")</f>
        <v>#NAME?</v>
      </c>
      <c r="C4" t="e">
        <f ca="1">_xll.BDP("VCSH US Equity","LAST_PRICE")</f>
        <v>#NAME?</v>
      </c>
      <c r="D4" t="e">
        <f ca="1">_xll.BDP("VCSH US Equity","RT_PX_CHG_NET_1D")</f>
        <v>#NAME?</v>
      </c>
      <c r="E4" t="e">
        <f ca="1">_xll.BDP("VCSH US Equity","RT_PX_CHG_PCT_1D")</f>
        <v>#NAME?</v>
      </c>
      <c r="F4" t="e">
        <f ca="1">_xll.BDP("VCSH US Equity","CHG_PCT_WTD")</f>
        <v>#NAME?</v>
      </c>
      <c r="G4" t="e">
        <f ca="1">_xll.BDP("VCSH US Equity","CHG_PCT_1M_RT")</f>
        <v>#NAME?</v>
      </c>
      <c r="H4" t="e">
        <f ca="1">_xll.BDP("VCSH US Equity","CHG_PCT_YTD")</f>
        <v>#NAME?</v>
      </c>
      <c r="I4" t="e">
        <f ca="1">_xll.BDP("VCSH US Equity","20_DAY_AVERAGE_VOLUME_AT_TIME_RT")</f>
        <v>#NAME?</v>
      </c>
    </row>
    <row r="5" spans="1:12" x14ac:dyDescent="0.25">
      <c r="A5" t="s">
        <v>12</v>
      </c>
      <c r="B5" t="e">
        <f ca="1">_xll.BDP("EEM US Equity","NAME")</f>
        <v>#NAME?</v>
      </c>
      <c r="C5" t="e">
        <f ca="1">_xll.BDP("EEM US Equity","LAST_PRICE")</f>
        <v>#NAME?</v>
      </c>
      <c r="D5" t="e">
        <f ca="1">_xll.BDP("EEM US Equity","RT_PX_CHG_NET_1D")</f>
        <v>#NAME?</v>
      </c>
      <c r="E5" t="e">
        <f ca="1">_xll.BDP("EEM US Equity","RT_PX_CHG_PCT_1D")</f>
        <v>#NAME?</v>
      </c>
      <c r="F5" t="e">
        <f ca="1">_xll.BDP("EEM US Equity","CHG_PCT_WTD")</f>
        <v>#NAME?</v>
      </c>
      <c r="G5" t="e">
        <f ca="1">_xll.BDP("EEM US Equity","CHG_PCT_1M_RT")</f>
        <v>#NAME?</v>
      </c>
      <c r="H5" t="e">
        <f ca="1">_xll.BDP("EEM US Equity","CHG_PCT_YTD")</f>
        <v>#NAME?</v>
      </c>
      <c r="I5" t="e">
        <f ca="1">_xll.BDP("EEM US Equity","20_DAY_AVERAGE_VOLUME_AT_TIME_RT")</f>
        <v>#NAME?</v>
      </c>
    </row>
    <row r="6" spans="1:12" x14ac:dyDescent="0.25">
      <c r="A6" t="s">
        <v>13</v>
      </c>
      <c r="B6" t="e">
        <f ca="1">_xll.BDP("BIL US Equity","NAME")</f>
        <v>#NAME?</v>
      </c>
      <c r="C6" t="e">
        <f ca="1">_xll.BDP("BIL US Equity","LAST_PRICE")</f>
        <v>#NAME?</v>
      </c>
      <c r="D6" t="e">
        <f ca="1">_xll.BDP("BIL US Equity","RT_PX_CHG_NET_1D")</f>
        <v>#NAME?</v>
      </c>
      <c r="E6" t="e">
        <f ca="1">_xll.BDP("BIL US Equity","RT_PX_CHG_PCT_1D")</f>
        <v>#NAME?</v>
      </c>
      <c r="F6" t="e">
        <f ca="1">_xll.BDP("BIL US Equity","CHG_PCT_WTD")</f>
        <v>#NAME?</v>
      </c>
      <c r="G6" t="e">
        <f ca="1">_xll.BDP("BIL US Equity","CHG_PCT_1M_RT")</f>
        <v>#NAME?</v>
      </c>
      <c r="H6" t="e">
        <f ca="1">_xll.BDP("BIL US Equity","CHG_PCT_YTD")</f>
        <v>#NAME?</v>
      </c>
      <c r="I6" t="e">
        <f ca="1">_xll.BDP("BIL US Equity","20_DAY_AVERAGE_VOLUME_AT_TIME_RT")</f>
        <v>#NAME?</v>
      </c>
    </row>
    <row r="7" spans="1:12" x14ac:dyDescent="0.25">
      <c r="A7" t="s">
        <v>14</v>
      </c>
      <c r="B7" t="e">
        <f ca="1">_xll.BDP("EWZ US Equity","NAME")</f>
        <v>#NAME?</v>
      </c>
      <c r="C7" t="e">
        <f ca="1">_xll.BDP("EWZ US Equity","LAST_PRICE")</f>
        <v>#NAME?</v>
      </c>
      <c r="D7" t="e">
        <f ca="1">_xll.BDP("EWZ US Equity","RT_PX_CHG_NET_1D")</f>
        <v>#NAME?</v>
      </c>
      <c r="E7" t="e">
        <f ca="1">_xll.BDP("EWZ US Equity","RT_PX_CHG_PCT_1D")</f>
        <v>#NAME?</v>
      </c>
      <c r="F7" t="e">
        <f ca="1">_xll.BDP("EWZ US Equity","CHG_PCT_WTD")</f>
        <v>#NAME?</v>
      </c>
      <c r="G7" t="e">
        <f ca="1">_xll.BDP("EWZ US Equity","CHG_PCT_1M_RT")</f>
        <v>#NAME?</v>
      </c>
      <c r="H7" t="e">
        <f ca="1">_xll.BDP("EWZ US Equity","CHG_PCT_YTD")</f>
        <v>#NAME?</v>
      </c>
      <c r="I7" t="e">
        <f ca="1">_xll.BDP("EWZ US Equity","20_DAY_AVERAGE_VOLUME_AT_TIME_RT")</f>
        <v>#NAME?</v>
      </c>
    </row>
    <row r="8" spans="1:12" x14ac:dyDescent="0.25">
      <c r="A8" t="s">
        <v>15</v>
      </c>
      <c r="B8" t="e">
        <f ca="1">_xll.BDP("IEI US Equity","NAME")</f>
        <v>#NAME?</v>
      </c>
      <c r="C8" t="e">
        <f ca="1">_xll.BDP("IEI US Equity","LAST_PRICE")</f>
        <v>#NAME?</v>
      </c>
      <c r="D8" t="e">
        <f ca="1">_xll.BDP("IEI US Equity","RT_PX_CHG_NET_1D")</f>
        <v>#NAME?</v>
      </c>
      <c r="E8" t="e">
        <f ca="1">_xll.BDP("IEI US Equity","RT_PX_CHG_PCT_1D")</f>
        <v>#NAME?</v>
      </c>
      <c r="F8" t="e">
        <f ca="1">_xll.BDP("IEI US Equity","CHG_PCT_WTD")</f>
        <v>#NAME?</v>
      </c>
      <c r="G8" t="e">
        <f ca="1">_xll.BDP("IEI US Equity","CHG_PCT_1M_RT")</f>
        <v>#NAME?</v>
      </c>
      <c r="H8" t="e">
        <f ca="1">_xll.BDP("IEI US Equity","CHG_PCT_YTD")</f>
        <v>#NAME?</v>
      </c>
      <c r="I8" t="e">
        <f ca="1">_xll.BDP("IEI US Equity","20_DAY_AVERAGE_VOLUME_AT_TIME_RT")</f>
        <v>#NAME?</v>
      </c>
    </row>
    <row r="9" spans="1:12" x14ac:dyDescent="0.25">
      <c r="A9" t="s">
        <v>16</v>
      </c>
      <c r="B9" t="e">
        <f ca="1">_xll.BDP("SHY US Equity","NAME")</f>
        <v>#NAME?</v>
      </c>
      <c r="C9" t="e">
        <f ca="1">_xll.BDP("SHY US Equity","LAST_PRICE")</f>
        <v>#NAME?</v>
      </c>
      <c r="D9" t="e">
        <f ca="1">_xll.BDP("SHY US Equity","RT_PX_CHG_NET_1D")</f>
        <v>#NAME?</v>
      </c>
      <c r="E9" t="e">
        <f ca="1">_xll.BDP("SHY US Equity","RT_PX_CHG_PCT_1D")</f>
        <v>#NAME?</v>
      </c>
      <c r="F9" t="e">
        <f ca="1">_xll.BDP("SHY US Equity","CHG_PCT_WTD")</f>
        <v>#NAME?</v>
      </c>
      <c r="G9" t="e">
        <f ca="1">_xll.BDP("SHY US Equity","CHG_PCT_1M_RT")</f>
        <v>#NAME?</v>
      </c>
      <c r="H9" t="e">
        <f ca="1">_xll.BDP("SHY US Equity","CHG_PCT_YTD")</f>
        <v>#NAME?</v>
      </c>
      <c r="I9" t="e">
        <f ca="1">_xll.BDP("SHY US Equity","20_DAY_AVERAGE_VOLUME_AT_TIME_RT")</f>
        <v>#NAME?</v>
      </c>
    </row>
    <row r="10" spans="1:12" x14ac:dyDescent="0.25">
      <c r="A10" t="s">
        <v>17</v>
      </c>
      <c r="B10" t="e">
        <f ca="1">_xll.BDP("IEF US Equity","NAME")</f>
        <v>#NAME?</v>
      </c>
      <c r="C10" t="e">
        <f ca="1">_xll.BDP("IEF US Equity","LAST_PRICE")</f>
        <v>#NAME?</v>
      </c>
      <c r="D10" t="e">
        <f ca="1">_xll.BDP("IEF US Equity","RT_PX_CHG_NET_1D")</f>
        <v>#NAME?</v>
      </c>
      <c r="E10" t="e">
        <f ca="1">_xll.BDP("IEF US Equity","RT_PX_CHG_PCT_1D")</f>
        <v>#NAME?</v>
      </c>
      <c r="F10" t="e">
        <f ca="1">_xll.BDP("IEF US Equity","CHG_PCT_WTD")</f>
        <v>#NAME?</v>
      </c>
      <c r="G10" t="e">
        <f ca="1">_xll.BDP("IEF US Equity","CHG_PCT_1M_RT")</f>
        <v>#NAME?</v>
      </c>
      <c r="H10" t="e">
        <f ca="1">_xll.BDP("IEF US Equity","CHG_PCT_YTD")</f>
        <v>#NAME?</v>
      </c>
      <c r="I10" t="e">
        <f ca="1">_xll.BDP("IEF US Equity","20_DAY_AVERAGE_VOLUME_AT_TIME_RT")</f>
        <v>#NAME?</v>
      </c>
    </row>
    <row r="11" spans="1:12" x14ac:dyDescent="0.25">
      <c r="A11" t="s">
        <v>18</v>
      </c>
      <c r="B11" t="e">
        <f ca="1">_xll.BDP("IWD US Equity","NAME")</f>
        <v>#NAME?</v>
      </c>
      <c r="C11" t="e">
        <f ca="1">_xll.BDP("IWD US Equity","LAST_PRICE")</f>
        <v>#NAME?</v>
      </c>
      <c r="D11" t="e">
        <f ca="1">_xll.BDP("IWD US Equity","RT_PX_CHG_NET_1D")</f>
        <v>#NAME?</v>
      </c>
      <c r="E11" t="e">
        <f ca="1">_xll.BDP("IWD US Equity","RT_PX_CHG_PCT_1D")</f>
        <v>#NAME?</v>
      </c>
      <c r="F11" t="e">
        <f ca="1">_xll.BDP("IWD US Equity","CHG_PCT_WTD")</f>
        <v>#NAME?</v>
      </c>
      <c r="G11" t="e">
        <f ca="1">_xll.BDP("IWD US Equity","CHG_PCT_1M_RT")</f>
        <v>#NAME?</v>
      </c>
      <c r="H11" t="e">
        <f ca="1">_xll.BDP("IWD US Equity","CHG_PCT_YTD")</f>
        <v>#NAME?</v>
      </c>
      <c r="I11" t="e">
        <f ca="1">_xll.BDP("IWD US Equity","20_DAY_AVERAGE_VOLUME_AT_TIME_RT")</f>
        <v>#NAME?</v>
      </c>
    </row>
    <row r="12" spans="1:12" x14ac:dyDescent="0.25">
      <c r="A12" t="s">
        <v>19</v>
      </c>
      <c r="B12" t="e">
        <f ca="1">_xll.BDP("USO US Equity","NAME")</f>
        <v>#NAME?</v>
      </c>
      <c r="C12" t="e">
        <f ca="1">_xll.BDP("USO US Equity","LAST_PRICE")</f>
        <v>#NAME?</v>
      </c>
      <c r="D12" t="e">
        <f ca="1">_xll.BDP("USO US Equity","RT_PX_CHG_NET_1D")</f>
        <v>#NAME?</v>
      </c>
      <c r="E12" t="e">
        <f ca="1">_xll.BDP("USO US Equity","RT_PX_CHG_PCT_1D")</f>
        <v>#NAME?</v>
      </c>
      <c r="F12" t="e">
        <f ca="1">_xll.BDP("USO US Equity","CHG_PCT_WTD")</f>
        <v>#NAME?</v>
      </c>
      <c r="G12" t="e">
        <f ca="1">_xll.BDP("USO US Equity","CHG_PCT_1M_RT")</f>
        <v>#NAME?</v>
      </c>
      <c r="H12" t="e">
        <f ca="1">_xll.BDP("USO US Equity","CHG_PCT_YTD")</f>
        <v>#NAME?</v>
      </c>
      <c r="I12" t="e">
        <f ca="1">_xll.BDP("USO US Equity","20_DAY_AVERAGE_VOLUME_AT_TIME_RT")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zoomScale="40" zoomScaleNormal="40" workbookViewId="0">
      <selection activeCell="C6" sqref="C6:C16"/>
    </sheetView>
  </sheetViews>
  <sheetFormatPr baseColWidth="10" defaultRowHeight="15" x14ac:dyDescent="0.25"/>
  <cols>
    <col min="1" max="1" width="11.42578125" style="21"/>
    <col min="2" max="2" width="25.5703125" customWidth="1"/>
    <col min="3" max="3" width="67.7109375" customWidth="1"/>
    <col min="4" max="4" width="17.42578125" customWidth="1"/>
    <col min="5" max="5" width="20.42578125" hidden="1" customWidth="1"/>
    <col min="6" max="7" width="17.42578125" customWidth="1"/>
    <col min="8" max="8" width="20" customWidth="1"/>
    <col min="9" max="9" width="24.140625" customWidth="1"/>
    <col min="10" max="10" width="34.85546875" bestFit="1" customWidth="1"/>
    <col min="11" max="11" width="11.42578125" style="21"/>
    <col min="12" max="12" width="15.5703125" style="21" bestFit="1" customWidth="1"/>
    <col min="13" max="23" width="11.42578125" style="21"/>
  </cols>
  <sheetData>
    <row r="1" spans="2:16" s="21" customFormat="1" x14ac:dyDescent="0.25"/>
    <row r="2" spans="2:16" x14ac:dyDescent="0.25">
      <c r="B2" s="21"/>
      <c r="C2" s="21"/>
      <c r="D2" s="21"/>
      <c r="E2" s="21"/>
      <c r="F2" s="21"/>
      <c r="G2" s="21"/>
      <c r="H2" s="21"/>
      <c r="I2" s="21"/>
      <c r="J2" s="21"/>
    </row>
    <row r="3" spans="2:16" ht="31.5" x14ac:dyDescent="0.5">
      <c r="B3" s="20" t="s">
        <v>22</v>
      </c>
      <c r="C3" s="21"/>
      <c r="D3" s="21"/>
      <c r="E3" s="21"/>
      <c r="F3" s="21"/>
      <c r="G3" s="21"/>
      <c r="H3" s="21"/>
      <c r="I3" s="21"/>
      <c r="J3" s="21"/>
    </row>
    <row r="4" spans="2:16" s="21" customFormat="1" ht="31.5" customHeight="1" x14ac:dyDescent="0.45">
      <c r="B4" s="9">
        <f ca="1">NOW()</f>
        <v>44273.494529282405</v>
      </c>
    </row>
    <row r="5" spans="2:16" ht="58.5" customHeight="1" x14ac:dyDescent="0.25">
      <c r="B5" s="19" t="s">
        <v>0</v>
      </c>
      <c r="C5" s="18" t="s">
        <v>1</v>
      </c>
      <c r="D5" s="18" t="s">
        <v>2</v>
      </c>
      <c r="E5" s="3" t="s">
        <v>25</v>
      </c>
      <c r="F5" s="3" t="s">
        <v>20</v>
      </c>
      <c r="G5" s="3" t="s">
        <v>23</v>
      </c>
      <c r="H5" s="3" t="s">
        <v>24</v>
      </c>
      <c r="I5" s="17" t="s">
        <v>7</v>
      </c>
      <c r="J5" s="6" t="s">
        <v>8</v>
      </c>
    </row>
    <row r="6" spans="2:16" ht="33" customHeight="1" x14ac:dyDescent="0.25">
      <c r="B6" s="16" t="s">
        <v>9</v>
      </c>
      <c r="C6" s="16" t="s">
        <v>36</v>
      </c>
      <c r="D6" s="5" t="e">
        <f ca="1">_xll.BDP(L6,"LAST_PRICE")</f>
        <v>#NAME?</v>
      </c>
      <c r="E6" s="15" t="e">
        <f ca="1">_xll.BDP(L6,"RT_PX_CHG_NET_1D")</f>
        <v>#NAME?</v>
      </c>
      <c r="F6" s="15" t="e">
        <f ca="1">_xll.BDP(L6,"RT_PX_CHG_PCT_1D")</f>
        <v>#NAME?</v>
      </c>
      <c r="G6" s="15" t="e">
        <f ca="1">_xll.BDP(L6,"CHG_PCT_WTD")</f>
        <v>#NAME?</v>
      </c>
      <c r="H6" s="15" t="e">
        <f ca="1">_xll.BDP(L6,"CHG_PCT_1M_RT")</f>
        <v>#NAME?</v>
      </c>
      <c r="I6" s="15" t="e">
        <f ca="1">_xll.BDP(L6,"CHG_PCT_YTD")</f>
        <v>#NAME?</v>
      </c>
      <c r="J6" s="2" t="e">
        <f ca="1">_xll.BDP(L6,"20_DAY_AVERAGE_VOLUME_AT_TIME_RT")</f>
        <v>#NAME?</v>
      </c>
      <c r="L6" s="14" t="str">
        <f>+B6&amp;" Curncy"</f>
        <v>SPY US Curncy</v>
      </c>
      <c r="M6" s="13"/>
      <c r="P6" s="21" t="s">
        <v>26</v>
      </c>
    </row>
    <row r="7" spans="2:16" ht="33" customHeight="1" x14ac:dyDescent="0.25">
      <c r="B7" s="16" t="s">
        <v>10</v>
      </c>
      <c r="C7" s="16" t="s">
        <v>26</v>
      </c>
      <c r="D7" s="5" t="e">
        <f ca="1">_xll.BDP(L7,"LAST_PRICE")</f>
        <v>#NAME?</v>
      </c>
      <c r="E7" s="15" t="e">
        <f ca="1">_xll.BDP(L7,"RT_PX_CHG_NET_1D")</f>
        <v>#NAME?</v>
      </c>
      <c r="F7" s="15" t="e">
        <f ca="1">_xll.BDP(L7,"RT_PX_CHG_PCT_1D")</f>
        <v>#NAME?</v>
      </c>
      <c r="G7" s="15" t="e">
        <f ca="1">_xll.BDP(L7,"CHG_PCT_WTD")</f>
        <v>#NAME?</v>
      </c>
      <c r="H7" s="15" t="e">
        <f ca="1">_xll.BDP(L7,"CHG_PCT_1M_RT")</f>
        <v>#NAME?</v>
      </c>
      <c r="I7" s="15" t="e">
        <f ca="1">_xll.BDP(L7,"CHG_PCT_YTD")</f>
        <v>#NAME?</v>
      </c>
      <c r="J7" s="2" t="e">
        <f ca="1">_xll.BDP(L7,"20_DAY_AVERAGE_VOLUME_AT_TIME_RT")</f>
        <v>#NAME?</v>
      </c>
      <c r="L7" s="14" t="str">
        <f t="shared" ref="L7:L16" si="0">+B7&amp;" Curncy"</f>
        <v>GLD US Curncy</v>
      </c>
      <c r="M7" s="13"/>
    </row>
    <row r="8" spans="2:16" ht="33" customHeight="1" x14ac:dyDescent="0.25">
      <c r="B8" s="16" t="s">
        <v>11</v>
      </c>
      <c r="C8" s="16" t="s">
        <v>35</v>
      </c>
      <c r="D8" s="5" t="e">
        <f ca="1">_xll.BDP(L8,"LAST_PRICE")</f>
        <v>#NAME?</v>
      </c>
      <c r="E8" s="15" t="e">
        <f ca="1">_xll.BDP(L8,"RT_PX_CHG_NET_1D")</f>
        <v>#NAME?</v>
      </c>
      <c r="F8" s="15" t="e">
        <f ca="1">_xll.BDP(L8,"RT_PX_CHG_PCT_1D")</f>
        <v>#NAME?</v>
      </c>
      <c r="G8" s="15" t="e">
        <f ca="1">_xll.BDP(L8,"CHG_PCT_WTD")</f>
        <v>#NAME?</v>
      </c>
      <c r="H8" s="15" t="e">
        <f ca="1">_xll.BDP(L8,"CHG_PCT_1M_RT")</f>
        <v>#NAME?</v>
      </c>
      <c r="I8" s="15" t="e">
        <f ca="1">_xll.BDP(L8,"CHG_PCT_YTD")</f>
        <v>#NAME?</v>
      </c>
      <c r="J8" s="2" t="e">
        <f ca="1">_xll.BDP(L8,"20_DAY_AVERAGE_VOLUME_AT_TIME_RT")</f>
        <v>#NAME?</v>
      </c>
      <c r="L8" s="14" t="str">
        <f t="shared" si="0"/>
        <v>VCSH US Curncy</v>
      </c>
      <c r="M8" s="13"/>
    </row>
    <row r="9" spans="2:16" ht="33" customHeight="1" x14ac:dyDescent="0.25">
      <c r="B9" s="16" t="s">
        <v>12</v>
      </c>
      <c r="C9" s="16" t="s">
        <v>34</v>
      </c>
      <c r="D9" s="5" t="e">
        <f ca="1">_xll.BDP(L9,"LAST_PRICE")</f>
        <v>#NAME?</v>
      </c>
      <c r="E9" s="15" t="e">
        <f ca="1">_xll.BDP(L9,"RT_PX_CHG_NET_1D")</f>
        <v>#NAME?</v>
      </c>
      <c r="F9" s="15" t="e">
        <f ca="1">_xll.BDP(L9,"RT_PX_CHG_PCT_1D")</f>
        <v>#NAME?</v>
      </c>
      <c r="G9" s="15" t="e">
        <f ca="1">_xll.BDP(L9,"CHG_PCT_WTD")</f>
        <v>#NAME?</v>
      </c>
      <c r="H9" s="15" t="e">
        <f ca="1">_xll.BDP(L9,"CHG_PCT_1M_RT")</f>
        <v>#NAME?</v>
      </c>
      <c r="I9" s="15" t="e">
        <f ca="1">_xll.BDP(L9,"CHG_PCT_YTD")</f>
        <v>#NAME?</v>
      </c>
      <c r="J9" s="2" t="e">
        <f ca="1">_xll.BDP(L9,"20_DAY_AVERAGE_VOLUME_AT_TIME_RT")</f>
        <v>#NAME?</v>
      </c>
      <c r="L9" s="14" t="str">
        <f t="shared" si="0"/>
        <v>EEM US Curncy</v>
      </c>
      <c r="M9" s="13"/>
    </row>
    <row r="10" spans="2:16" ht="33" customHeight="1" x14ac:dyDescent="0.25">
      <c r="B10" s="16" t="s">
        <v>13</v>
      </c>
      <c r="C10" s="16" t="s">
        <v>33</v>
      </c>
      <c r="D10" s="5" t="e">
        <f ca="1">_xll.BDP(L10,"LAST_PRICE")</f>
        <v>#NAME?</v>
      </c>
      <c r="E10" s="15" t="e">
        <f ca="1">_xll.BDP(L10,"RT_PX_CHG_NET_1D")</f>
        <v>#NAME?</v>
      </c>
      <c r="F10" s="15" t="e">
        <f ca="1">_xll.BDP(L10,"RT_PX_CHG_PCT_1D")</f>
        <v>#NAME?</v>
      </c>
      <c r="G10" s="15" t="e">
        <f ca="1">_xll.BDP(L10,"CHG_PCT_WTD")</f>
        <v>#NAME?</v>
      </c>
      <c r="H10" s="15" t="e">
        <f ca="1">_xll.BDP(L10,"CHG_PCT_1M_RT")</f>
        <v>#NAME?</v>
      </c>
      <c r="I10" s="15" t="e">
        <f ca="1">_xll.BDP(L10,"CHG_PCT_YTD")</f>
        <v>#NAME?</v>
      </c>
      <c r="J10" s="2" t="e">
        <f ca="1">_xll.BDP(L10,"20_DAY_AVERAGE_VOLUME_AT_TIME_RT")</f>
        <v>#NAME?</v>
      </c>
      <c r="L10" s="14" t="str">
        <f t="shared" si="0"/>
        <v>BIL US Curncy</v>
      </c>
      <c r="M10" s="13"/>
    </row>
    <row r="11" spans="2:16" ht="33" customHeight="1" x14ac:dyDescent="0.25">
      <c r="B11" s="16" t="s">
        <v>14</v>
      </c>
      <c r="C11" s="16" t="s">
        <v>29</v>
      </c>
      <c r="D11" s="5" t="e">
        <f ca="1">_xll.BDP(L11,"LAST_PRICE")</f>
        <v>#NAME?</v>
      </c>
      <c r="E11" s="15" t="e">
        <f ca="1">_xll.BDP(L11,"RT_PX_CHG_NET_1D")</f>
        <v>#NAME?</v>
      </c>
      <c r="F11" s="15" t="e">
        <f ca="1">_xll.BDP(L11,"RT_PX_CHG_PCT_1D")</f>
        <v>#NAME?</v>
      </c>
      <c r="G11" s="15" t="e">
        <f ca="1">_xll.BDP(L11,"CHG_PCT_WTD")</f>
        <v>#NAME?</v>
      </c>
      <c r="H11" s="15" t="e">
        <f ca="1">_xll.BDP(L11,"CHG_PCT_1M_RT")</f>
        <v>#NAME?</v>
      </c>
      <c r="I11" s="15" t="e">
        <f ca="1">_xll.BDP(L11,"CHG_PCT_YTD")</f>
        <v>#NAME?</v>
      </c>
      <c r="J11" s="2" t="e">
        <f ca="1">_xll.BDP(L11,"20_DAY_AVERAGE_VOLUME_AT_TIME_RT")</f>
        <v>#NAME?</v>
      </c>
      <c r="L11" s="14" t="str">
        <f t="shared" si="0"/>
        <v>EWZ US Curncy</v>
      </c>
      <c r="M11" s="13"/>
    </row>
    <row r="12" spans="2:16" ht="33" customHeight="1" x14ac:dyDescent="0.25">
      <c r="B12" s="16" t="s">
        <v>15</v>
      </c>
      <c r="C12" s="16" t="s">
        <v>32</v>
      </c>
      <c r="D12" s="5" t="e">
        <f ca="1">_xll.BDP(L12,"LAST_PRICE")</f>
        <v>#NAME?</v>
      </c>
      <c r="E12" s="15" t="e">
        <f ca="1">_xll.BDP(L12,"RT_PX_CHG_NET_1D")</f>
        <v>#NAME?</v>
      </c>
      <c r="F12" s="15" t="e">
        <f ca="1">_xll.BDP(L12,"RT_PX_CHG_PCT_1D")</f>
        <v>#NAME?</v>
      </c>
      <c r="G12" s="15" t="e">
        <f ca="1">_xll.BDP(L12,"CHG_PCT_WTD")</f>
        <v>#NAME?</v>
      </c>
      <c r="H12" s="15" t="e">
        <f ca="1">_xll.BDP(L12,"CHG_PCT_1M_RT")</f>
        <v>#NAME?</v>
      </c>
      <c r="I12" s="15" t="e">
        <f ca="1">_xll.BDP(L12,"CHG_PCT_YTD")</f>
        <v>#NAME?</v>
      </c>
      <c r="J12" s="2" t="e">
        <f ca="1">_xll.BDP(L12,"20_DAY_AVERAGE_VOLUME_AT_TIME_RT")</f>
        <v>#NAME?</v>
      </c>
      <c r="L12" s="14" t="str">
        <f t="shared" si="0"/>
        <v>IEI US Curncy</v>
      </c>
      <c r="M12" s="13"/>
    </row>
    <row r="13" spans="2:16" ht="33" customHeight="1" x14ac:dyDescent="0.25">
      <c r="B13" s="16" t="s">
        <v>16</v>
      </c>
      <c r="C13" s="16" t="s">
        <v>31</v>
      </c>
      <c r="D13" s="5" t="e">
        <f ca="1">_xll.BDP(L13,"LAST_PRICE")</f>
        <v>#NAME?</v>
      </c>
      <c r="E13" s="15" t="e">
        <f ca="1">_xll.BDP(L13,"RT_PX_CHG_NET_1D")</f>
        <v>#NAME?</v>
      </c>
      <c r="F13" s="15" t="e">
        <f ca="1">_xll.BDP(L13,"RT_PX_CHG_PCT_1D")</f>
        <v>#NAME?</v>
      </c>
      <c r="G13" s="15" t="e">
        <f ca="1">_xll.BDP(L13,"CHG_PCT_WTD")</f>
        <v>#NAME?</v>
      </c>
      <c r="H13" s="15" t="e">
        <f ca="1">_xll.BDP(L13,"CHG_PCT_1M_RT")</f>
        <v>#NAME?</v>
      </c>
      <c r="I13" s="15" t="e">
        <f ca="1">_xll.BDP(L13,"CHG_PCT_YTD")</f>
        <v>#NAME?</v>
      </c>
      <c r="J13" s="2" t="e">
        <f ca="1">_xll.BDP(L13,"20_DAY_AVERAGE_VOLUME_AT_TIME_RT")</f>
        <v>#NAME?</v>
      </c>
      <c r="L13" s="14" t="str">
        <f t="shared" si="0"/>
        <v>SHY US Curncy</v>
      </c>
      <c r="M13" s="13"/>
    </row>
    <row r="14" spans="2:16" ht="33" customHeight="1" x14ac:dyDescent="0.25">
      <c r="B14" s="16" t="s">
        <v>17</v>
      </c>
      <c r="C14" s="16" t="s">
        <v>30</v>
      </c>
      <c r="D14" s="5" t="e">
        <f ca="1">_xll.BDP(L14,"LAST_PRICE")</f>
        <v>#NAME?</v>
      </c>
      <c r="E14" s="15" t="e">
        <f ca="1">_xll.BDP(L14,"RT_PX_CHG_NET_1D")</f>
        <v>#NAME?</v>
      </c>
      <c r="F14" s="15" t="e">
        <f ca="1">_xll.BDP(L14,"RT_PX_CHG_PCT_1D")</f>
        <v>#NAME?</v>
      </c>
      <c r="G14" s="15" t="e">
        <f ca="1">_xll.BDP(L14,"CHG_PCT_WTD")</f>
        <v>#NAME?</v>
      </c>
      <c r="H14" s="15" t="e">
        <f ca="1">_xll.BDP(L14,"CHG_PCT_1M_RT")</f>
        <v>#NAME?</v>
      </c>
      <c r="I14" s="15" t="e">
        <f ca="1">_xll.BDP(L14,"CHG_PCT_YTD")</f>
        <v>#NAME?</v>
      </c>
      <c r="J14" s="2" t="e">
        <f ca="1">_xll.BDP(L14,"20_DAY_AVERAGE_VOLUME_AT_TIME_RT")</f>
        <v>#NAME?</v>
      </c>
      <c r="L14" s="14" t="str">
        <f t="shared" si="0"/>
        <v>IEF US Curncy</v>
      </c>
      <c r="M14" s="13"/>
    </row>
    <row r="15" spans="2:16" ht="33" customHeight="1" x14ac:dyDescent="0.25">
      <c r="B15" s="16" t="s">
        <v>18</v>
      </c>
      <c r="C15" s="16" t="s">
        <v>28</v>
      </c>
      <c r="D15" s="5" t="e">
        <f ca="1">_xll.BDP(L15,"LAST_PRICE")</f>
        <v>#NAME?</v>
      </c>
      <c r="E15" s="15" t="e">
        <f ca="1">_xll.BDP(L15,"RT_PX_CHG_NET_1D")</f>
        <v>#NAME?</v>
      </c>
      <c r="F15" s="15" t="e">
        <f ca="1">_xll.BDP(L15,"RT_PX_CHG_PCT_1D")</f>
        <v>#NAME?</v>
      </c>
      <c r="G15" s="15" t="e">
        <f ca="1">_xll.BDP(L15,"CHG_PCT_WTD")</f>
        <v>#NAME?</v>
      </c>
      <c r="H15" s="15" t="e">
        <f ca="1">_xll.BDP(L15,"CHG_PCT_1M_RT")</f>
        <v>#NAME?</v>
      </c>
      <c r="I15" s="15" t="e">
        <f ca="1">_xll.BDP(L15,"CHG_PCT_YTD")</f>
        <v>#NAME?</v>
      </c>
      <c r="J15" s="2" t="e">
        <f ca="1">_xll.BDP(L15,"20_DAY_AVERAGE_VOLUME_AT_TIME_RT")</f>
        <v>#NAME?</v>
      </c>
      <c r="L15" s="14" t="str">
        <f t="shared" si="0"/>
        <v>IWD US Curncy</v>
      </c>
      <c r="M15" s="13"/>
    </row>
    <row r="16" spans="2:16" ht="33" customHeight="1" x14ac:dyDescent="0.25">
      <c r="B16" s="8" t="s">
        <v>19</v>
      </c>
      <c r="C16" s="8" t="s">
        <v>27</v>
      </c>
      <c r="D16" s="4" t="e">
        <f ca="1">_xll.BDP(L16,"LAST_PRICE")</f>
        <v>#NAME?</v>
      </c>
      <c r="E16" s="7" t="e">
        <f ca="1">_xll.BDP(L16,"RT_PX_CHG_NET_1D")</f>
        <v>#NAME?</v>
      </c>
      <c r="F16" s="7" t="e">
        <f ca="1">_xll.BDP(L16,"RT_PX_CHG_PCT_1D")</f>
        <v>#NAME?</v>
      </c>
      <c r="G16" s="7" t="e">
        <f ca="1">_xll.BDP(L16,"CHG_PCT_WTD")</f>
        <v>#NAME?</v>
      </c>
      <c r="H16" s="7" t="e">
        <f ca="1">_xll.BDP(L16,"CHG_PCT_1M_RT")</f>
        <v>#NAME?</v>
      </c>
      <c r="I16" s="7" t="e">
        <f ca="1">_xll.BDP(L16,"CHG_PCT_YTD")</f>
        <v>#NAME?</v>
      </c>
      <c r="J16" s="1" t="e">
        <f ca="1">_xll.BDP(L16,"20_DAY_AVERAGE_VOLUME_AT_TIME_RT")</f>
        <v>#NAME?</v>
      </c>
      <c r="L16" s="14" t="str">
        <f t="shared" si="0"/>
        <v>USO US Curncy</v>
      </c>
      <c r="M16" s="13"/>
    </row>
    <row r="17" spans="2:13" ht="33" customHeight="1" x14ac:dyDescent="0.25">
      <c r="B17" s="11" t="s">
        <v>21</v>
      </c>
      <c r="C17" s="21"/>
      <c r="D17" s="21"/>
      <c r="E17" s="21"/>
      <c r="F17" s="21"/>
      <c r="G17" s="21"/>
      <c r="H17" s="21"/>
      <c r="I17" s="21"/>
      <c r="J17" s="21"/>
      <c r="L17" s="14"/>
      <c r="M17" s="13"/>
    </row>
    <row r="18" spans="2:13" ht="33" customHeight="1" x14ac:dyDescent="0.25">
      <c r="B18" s="11"/>
      <c r="C18" s="21"/>
      <c r="D18" s="21"/>
      <c r="E18" s="21"/>
      <c r="F18" s="21"/>
      <c r="G18" s="21"/>
      <c r="H18" s="21"/>
      <c r="I18" s="10"/>
      <c r="J18" s="21"/>
      <c r="L18" s="12"/>
    </row>
    <row r="19" spans="2:13" s="21" customFormat="1" ht="31.5" x14ac:dyDescent="0.25">
      <c r="I19" s="10"/>
      <c r="L19" s="12"/>
    </row>
    <row r="20" spans="2:13" s="21" customFormat="1" ht="31.5" x14ac:dyDescent="0.25">
      <c r="I20" s="10"/>
      <c r="L20" s="12"/>
    </row>
    <row r="21" spans="2:13" s="21" customFormat="1" ht="31.5" x14ac:dyDescent="0.25">
      <c r="I21" s="10"/>
      <c r="L21" s="12"/>
    </row>
    <row r="22" spans="2:13" s="21" customFormat="1" x14ac:dyDescent="0.25">
      <c r="I22" s="10"/>
    </row>
    <row r="23" spans="2:13" s="21" customFormat="1" x14ac:dyDescent="0.25">
      <c r="I23" s="10"/>
    </row>
    <row r="24" spans="2:13" s="21" customFormat="1" x14ac:dyDescent="0.25"/>
    <row r="25" spans="2:13" s="21" customFormat="1" x14ac:dyDescent="0.25"/>
    <row r="26" spans="2:13" x14ac:dyDescent="0.25">
      <c r="B26" s="21"/>
      <c r="C26" s="21"/>
      <c r="D26" s="21"/>
      <c r="E26" s="21"/>
      <c r="F26" s="21"/>
      <c r="G26" s="21"/>
      <c r="H26" s="21"/>
      <c r="I26" s="21"/>
      <c r="J26" s="21"/>
    </row>
    <row r="27" spans="2:13" x14ac:dyDescent="0.25">
      <c r="B27" s="21"/>
      <c r="C27" s="21"/>
      <c r="D27" s="21"/>
      <c r="E27" s="21"/>
      <c r="F27" s="21"/>
      <c r="G27" s="21"/>
      <c r="H27" s="21"/>
      <c r="I27" s="21"/>
      <c r="J27" s="21"/>
    </row>
    <row r="28" spans="2:13" x14ac:dyDescent="0.25">
      <c r="B28" s="21"/>
      <c r="C28" s="21"/>
      <c r="D28" s="21"/>
      <c r="E28" s="21"/>
      <c r="F28" s="21"/>
      <c r="G28" s="21"/>
      <c r="H28" s="21"/>
      <c r="I28" s="21"/>
      <c r="J28" s="21"/>
    </row>
    <row r="29" spans="2:13" x14ac:dyDescent="0.25">
      <c r="B29" s="21"/>
      <c r="C29" s="21"/>
      <c r="D29" s="21"/>
      <c r="E29" s="21"/>
      <c r="F29" s="21"/>
      <c r="G29" s="21"/>
      <c r="H29" s="21"/>
      <c r="I29" s="21"/>
      <c r="J29" s="21"/>
    </row>
    <row r="30" spans="2:13" x14ac:dyDescent="0.25">
      <c r="B30" s="21"/>
      <c r="C30" s="21"/>
      <c r="D30" s="21"/>
      <c r="E30" s="21"/>
      <c r="F30" s="21"/>
      <c r="G30" s="21"/>
      <c r="H30" s="21"/>
      <c r="I30" s="21"/>
      <c r="J30" s="21"/>
    </row>
    <row r="31" spans="2:13" x14ac:dyDescent="0.25">
      <c r="B31" s="21"/>
      <c r="C31" s="21"/>
      <c r="D31" s="21"/>
      <c r="E31" s="21"/>
      <c r="F31" s="21"/>
      <c r="G31" s="21"/>
      <c r="H31" s="21"/>
      <c r="I31" s="21"/>
      <c r="J31" s="21"/>
    </row>
    <row r="32" spans="2:13" x14ac:dyDescent="0.25">
      <c r="B32" s="21"/>
      <c r="C32" s="21"/>
      <c r="D32" s="21"/>
      <c r="E32" s="21"/>
      <c r="F32" s="21"/>
      <c r="G32" s="21"/>
      <c r="H32" s="21"/>
      <c r="I32" s="21"/>
      <c r="J32" s="21"/>
    </row>
    <row r="33" spans="2:10" x14ac:dyDescent="0.25">
      <c r="B33" s="21"/>
      <c r="C33" s="21"/>
      <c r="D33" s="21"/>
      <c r="E33" s="21"/>
      <c r="F33" s="21"/>
      <c r="G33" s="21"/>
      <c r="H33" s="21"/>
      <c r="I33" s="21"/>
      <c r="J33" s="21"/>
    </row>
    <row r="34" spans="2:10" x14ac:dyDescent="0.25">
      <c r="B34" s="21"/>
      <c r="C34" s="21"/>
      <c r="D34" s="21"/>
      <c r="E34" s="21"/>
      <c r="F34" s="21"/>
      <c r="G34" s="21"/>
      <c r="H34" s="21"/>
      <c r="I34" s="21"/>
      <c r="J34" s="21"/>
    </row>
    <row r="35" spans="2:10" x14ac:dyDescent="0.25">
      <c r="B35" s="21"/>
      <c r="C35" s="21"/>
      <c r="D35" s="21"/>
      <c r="E35" s="21"/>
      <c r="F35" s="21"/>
      <c r="G35" s="21"/>
      <c r="H35" s="21"/>
      <c r="I35" s="21"/>
      <c r="J35" s="21"/>
    </row>
    <row r="36" spans="2:10" x14ac:dyDescent="0.25">
      <c r="B36" s="21"/>
      <c r="C36" s="21"/>
      <c r="D36" s="21"/>
      <c r="E36" s="21"/>
      <c r="F36" s="21"/>
      <c r="G36" s="21"/>
      <c r="H36" s="21"/>
      <c r="I36" s="21"/>
      <c r="J36" s="21"/>
    </row>
    <row r="37" spans="2:10" x14ac:dyDescent="0.25">
      <c r="B37" s="21"/>
      <c r="C37" s="21"/>
      <c r="D37" s="21"/>
      <c r="E37" s="21"/>
      <c r="F37" s="21"/>
      <c r="G37" s="21"/>
      <c r="H37" s="21"/>
      <c r="I37" s="21"/>
      <c r="J37" s="21"/>
    </row>
    <row r="38" spans="2:10" x14ac:dyDescent="0.25">
      <c r="B38" s="21"/>
      <c r="C38" s="21"/>
      <c r="D38" s="21"/>
      <c r="E38" s="21"/>
      <c r="F38" s="21"/>
      <c r="G38" s="21"/>
      <c r="H38" s="21"/>
      <c r="I38" s="21"/>
      <c r="J38" s="21"/>
    </row>
    <row r="39" spans="2:10" x14ac:dyDescent="0.25">
      <c r="B39" s="21"/>
      <c r="C39" s="21"/>
      <c r="D39" s="21"/>
      <c r="E39" s="21"/>
      <c r="F39" s="21"/>
      <c r="G39" s="21"/>
      <c r="H39" s="21"/>
      <c r="I39" s="21"/>
      <c r="J39" s="21"/>
    </row>
    <row r="40" spans="2:10" x14ac:dyDescent="0.25">
      <c r="B40" s="21"/>
      <c r="C40" s="21"/>
      <c r="D40" s="21"/>
      <c r="E40" s="21"/>
      <c r="F40" s="21"/>
      <c r="G40" s="21"/>
      <c r="H40" s="21"/>
      <c r="I40" s="21"/>
      <c r="J40" s="21"/>
    </row>
    <row r="41" spans="2:10" x14ac:dyDescent="0.25">
      <c r="B41" s="21"/>
      <c r="C41" s="21"/>
      <c r="D41" s="21"/>
      <c r="E41" s="21"/>
      <c r="F41" s="21"/>
      <c r="G41" s="21"/>
      <c r="H41" s="21"/>
      <c r="I41" s="21"/>
      <c r="J41" s="21"/>
    </row>
  </sheetData>
  <conditionalFormatting sqref="E6:I16">
    <cfRule type="cellIs" dxfId="31" priority="1" operator="lessThan">
      <formula>0</formula>
    </cfRule>
    <cfRule type="cellIs" dxfId="3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1"/>
  <sheetViews>
    <sheetView zoomScale="25" zoomScaleNormal="25" zoomScaleSheetLayoutView="25" workbookViewId="0">
      <selection activeCell="C1" sqref="C1"/>
    </sheetView>
  </sheetViews>
  <sheetFormatPr baseColWidth="10" defaultColWidth="66.85546875" defaultRowHeight="38.1" customHeight="1" x14ac:dyDescent="0.7"/>
  <cols>
    <col min="1" max="1" width="66.85546875" style="82"/>
    <col min="2" max="2" width="116.7109375" style="76" bestFit="1" customWidth="1"/>
    <col min="3" max="3" width="92.7109375" style="76" customWidth="1"/>
    <col min="4" max="4" width="81.28515625" style="76" customWidth="1"/>
    <col min="5" max="5" width="38.42578125" style="76" customWidth="1"/>
    <col min="6" max="6" width="28.7109375" style="76" customWidth="1"/>
    <col min="7" max="7" width="22.42578125" style="76" bestFit="1" customWidth="1"/>
    <col min="8" max="8" width="37" style="76" customWidth="1"/>
    <col min="9" max="9" width="37.85546875" style="76" customWidth="1"/>
    <col min="10" max="10" width="23" style="76" customWidth="1"/>
    <col min="11" max="11" width="25.85546875" style="76" customWidth="1"/>
    <col min="12" max="12" width="25.42578125" style="76" customWidth="1"/>
    <col min="13" max="13" width="22.140625" style="76" customWidth="1"/>
    <col min="14" max="14" width="26" style="76" customWidth="1"/>
    <col min="15" max="15" width="23.5703125" style="76" customWidth="1"/>
    <col min="16" max="16" width="21.85546875" style="76" bestFit="1" customWidth="1"/>
    <col min="17" max="17" width="22.28515625" style="76" customWidth="1"/>
    <col min="18" max="18" width="38.7109375" style="76" customWidth="1"/>
    <col min="19" max="19" width="31.28515625" style="76" customWidth="1"/>
    <col min="20" max="21" width="26.28515625" style="76" customWidth="1"/>
    <col min="22" max="16384" width="66.85546875" style="76"/>
  </cols>
  <sheetData>
    <row r="1" spans="1:23" ht="132.75" customHeight="1" x14ac:dyDescent="0.7">
      <c r="A1" s="58" t="s">
        <v>0</v>
      </c>
      <c r="B1" s="59" t="s">
        <v>1</v>
      </c>
      <c r="C1" s="59" t="s">
        <v>384</v>
      </c>
      <c r="D1" s="59" t="s">
        <v>41</v>
      </c>
      <c r="E1" s="59" t="s">
        <v>306</v>
      </c>
      <c r="F1" s="59" t="s">
        <v>314</v>
      </c>
      <c r="G1" s="59" t="s">
        <v>307</v>
      </c>
      <c r="H1" s="59" t="s">
        <v>312</v>
      </c>
      <c r="I1" s="59" t="s">
        <v>313</v>
      </c>
      <c r="J1" s="59" t="s">
        <v>309</v>
      </c>
      <c r="K1" s="59" t="s">
        <v>46</v>
      </c>
      <c r="L1" s="59" t="s">
        <v>47</v>
      </c>
      <c r="M1" s="59" t="s">
        <v>48</v>
      </c>
      <c r="N1" s="59" t="s">
        <v>49</v>
      </c>
      <c r="O1" s="59" t="s">
        <v>50</v>
      </c>
      <c r="P1" s="59" t="s">
        <v>310</v>
      </c>
      <c r="Q1" s="59" t="s">
        <v>52</v>
      </c>
      <c r="R1" s="59" t="s">
        <v>308</v>
      </c>
      <c r="S1" s="59" t="s">
        <v>54</v>
      </c>
      <c r="T1" s="59" t="s">
        <v>39</v>
      </c>
      <c r="U1" s="59" t="s">
        <v>55</v>
      </c>
      <c r="V1" s="75"/>
      <c r="W1" s="72"/>
    </row>
    <row r="2" spans="1:23" ht="38.1" customHeight="1" x14ac:dyDescent="0.7">
      <c r="A2" s="64" t="s">
        <v>57</v>
      </c>
      <c r="B2" s="65" t="s">
        <v>139</v>
      </c>
      <c r="C2" s="65" t="s">
        <v>304</v>
      </c>
      <c r="D2" s="65" t="s">
        <v>140</v>
      </c>
      <c r="E2" s="65" t="s">
        <v>364</v>
      </c>
      <c r="F2" s="65" t="s">
        <v>317</v>
      </c>
      <c r="G2" s="66">
        <v>114.43</v>
      </c>
      <c r="H2" s="67">
        <v>4004416.75</v>
      </c>
      <c r="I2" s="68">
        <v>8.8285502807872972E-3</v>
      </c>
      <c r="J2" s="69">
        <v>-0.02</v>
      </c>
      <c r="K2" s="69">
        <v>-1.7500000000000002E-2</v>
      </c>
      <c r="L2" s="69">
        <v>0.12933249999999999</v>
      </c>
      <c r="M2" s="69">
        <v>-2.1882000000000001</v>
      </c>
      <c r="N2" s="69">
        <v>-2.9432</v>
      </c>
      <c r="O2" s="69">
        <v>-3.3304070000000001</v>
      </c>
      <c r="P2" s="69">
        <v>-3.183182</v>
      </c>
      <c r="Q2" s="69">
        <v>-1.6755</v>
      </c>
      <c r="R2" s="68">
        <v>3.55</v>
      </c>
      <c r="S2" s="68">
        <v>1.04</v>
      </c>
      <c r="T2" s="68">
        <v>0.04</v>
      </c>
      <c r="U2" s="66">
        <v>3.7268800735473633</v>
      </c>
      <c r="V2" s="75"/>
      <c r="W2" s="72"/>
    </row>
    <row r="3" spans="1:23" ht="38.1" customHeight="1" x14ac:dyDescent="0.7">
      <c r="A3" s="64" t="s">
        <v>58</v>
      </c>
      <c r="B3" s="65" t="s">
        <v>141</v>
      </c>
      <c r="C3" s="65" t="s">
        <v>304</v>
      </c>
      <c r="D3" s="65" t="s">
        <v>142</v>
      </c>
      <c r="E3" s="65" t="s">
        <v>365</v>
      </c>
      <c r="F3" s="65" t="s">
        <v>317</v>
      </c>
      <c r="G3" s="66">
        <v>86.26</v>
      </c>
      <c r="H3" s="67">
        <v>1669020.875</v>
      </c>
      <c r="I3" s="68">
        <v>1.1595496605650317E-2</v>
      </c>
      <c r="J3" s="69">
        <v>0</v>
      </c>
      <c r="K3" s="69">
        <v>0</v>
      </c>
      <c r="L3" s="69">
        <v>5.7939530000000001E-3</v>
      </c>
      <c r="M3" s="69">
        <v>-0.1158</v>
      </c>
      <c r="N3" s="69">
        <v>-0.12740000000000001</v>
      </c>
      <c r="O3" s="69">
        <v>-0.26014320000000002</v>
      </c>
      <c r="P3" s="69">
        <v>-0.13312950000000001</v>
      </c>
      <c r="Q3" s="69">
        <v>-3.4799999999999998E-2</v>
      </c>
      <c r="R3" s="68">
        <v>1.17</v>
      </c>
      <c r="S3" s="68">
        <v>1.04</v>
      </c>
      <c r="T3" s="68">
        <v>0.15</v>
      </c>
      <c r="U3" s="66"/>
      <c r="V3" s="75"/>
      <c r="W3" s="72"/>
    </row>
    <row r="4" spans="1:23" ht="38.1" customHeight="1" x14ac:dyDescent="0.7">
      <c r="A4" s="64" t="s">
        <v>59</v>
      </c>
      <c r="B4" s="65" t="s">
        <v>143</v>
      </c>
      <c r="C4" s="65" t="s">
        <v>304</v>
      </c>
      <c r="D4" s="65" t="s">
        <v>144</v>
      </c>
      <c r="E4" s="65" t="s">
        <v>366</v>
      </c>
      <c r="F4" s="65" t="s">
        <v>317</v>
      </c>
      <c r="G4" s="66">
        <v>67.760000000000005</v>
      </c>
      <c r="H4" s="67">
        <v>582736.6875</v>
      </c>
      <c r="I4" s="68">
        <v>1.488035434671597E-2</v>
      </c>
      <c r="J4" s="69">
        <v>0.01</v>
      </c>
      <c r="K4" s="69">
        <v>1.4800000000000001E-2</v>
      </c>
      <c r="L4" s="69">
        <v>0.1182235</v>
      </c>
      <c r="M4" s="69">
        <v>-1.7685999999999999</v>
      </c>
      <c r="N4" s="69">
        <v>-2.3525999999999998</v>
      </c>
      <c r="O4" s="69">
        <v>-3.280497</v>
      </c>
      <c r="P4" s="69">
        <v>-2.4056440000000001</v>
      </c>
      <c r="Q4" s="69">
        <v>-1.8187</v>
      </c>
      <c r="R4" s="68">
        <v>3.64</v>
      </c>
      <c r="S4" s="68">
        <v>0.97</v>
      </c>
      <c r="T4" s="68">
        <v>0.05</v>
      </c>
      <c r="U4" s="66">
        <v>0.65609598159790039</v>
      </c>
      <c r="V4" s="75"/>
      <c r="W4" s="72"/>
    </row>
    <row r="5" spans="1:23" ht="38.1" customHeight="1" x14ac:dyDescent="0.7">
      <c r="A5" s="64" t="s">
        <v>60</v>
      </c>
      <c r="B5" s="65" t="s">
        <v>145</v>
      </c>
      <c r="C5" s="65" t="s">
        <v>304</v>
      </c>
      <c r="D5" s="65" t="s">
        <v>146</v>
      </c>
      <c r="E5" s="65" t="s">
        <v>365</v>
      </c>
      <c r="F5" s="65" t="s">
        <v>317</v>
      </c>
      <c r="G5" s="66">
        <v>138.83000000000001</v>
      </c>
      <c r="H5" s="67">
        <v>9494959</v>
      </c>
      <c r="I5" s="68">
        <v>7.4676523614739488E-3</v>
      </c>
      <c r="J5" s="69">
        <v>-1.19</v>
      </c>
      <c r="K5" s="69">
        <v>-0.84989999999999999</v>
      </c>
      <c r="L5" s="69">
        <v>-7.1991689999999997E-2</v>
      </c>
      <c r="M5" s="69">
        <v>-7.3106999999999998</v>
      </c>
      <c r="N5" s="69">
        <v>-12.249499999999999</v>
      </c>
      <c r="O5" s="69">
        <v>-15.60676</v>
      </c>
      <c r="P5" s="69">
        <v>-11.99518</v>
      </c>
      <c r="Q5" s="69">
        <v>-14.571400000000001</v>
      </c>
      <c r="R5" s="68">
        <v>13.54</v>
      </c>
      <c r="S5" s="68">
        <v>0.56999999999999995</v>
      </c>
      <c r="T5" s="68">
        <v>0.15</v>
      </c>
      <c r="U5" s="66"/>
      <c r="V5" s="75"/>
      <c r="W5" s="72"/>
    </row>
    <row r="6" spans="1:23" ht="38.1" customHeight="1" x14ac:dyDescent="0.7">
      <c r="A6" s="64" t="s">
        <v>61</v>
      </c>
      <c r="B6" s="65" t="s">
        <v>147</v>
      </c>
      <c r="C6" s="65" t="s">
        <v>304</v>
      </c>
      <c r="D6" s="65" t="s">
        <v>148</v>
      </c>
      <c r="E6" s="65" t="s">
        <v>366</v>
      </c>
      <c r="F6" s="65" t="s">
        <v>317</v>
      </c>
      <c r="G6" s="66">
        <v>53.619900000000001</v>
      </c>
      <c r="H6" s="67">
        <v>960391.1875</v>
      </c>
      <c r="I6" s="68">
        <v>1.9590565446867304E-2</v>
      </c>
      <c r="J6" s="69">
        <v>4.99E-2</v>
      </c>
      <c r="K6" s="69">
        <v>9.3100000000000002E-2</v>
      </c>
      <c r="L6" s="69">
        <v>-9.3344830000000004E-2</v>
      </c>
      <c r="M6" s="69">
        <v>-0.77739999999999998</v>
      </c>
      <c r="N6" s="69">
        <v>-0.50419999999999998</v>
      </c>
      <c r="O6" s="69">
        <v>-0.99923139999999999</v>
      </c>
      <c r="P6" s="69">
        <v>-0.83243889999999998</v>
      </c>
      <c r="Q6" s="69">
        <v>-0.35659999999999997</v>
      </c>
      <c r="R6" s="68">
        <v>1.95</v>
      </c>
      <c r="S6" s="68">
        <v>1.27</v>
      </c>
      <c r="T6" s="68">
        <v>0.05</v>
      </c>
      <c r="U6" s="66">
        <v>3.5431399345397949</v>
      </c>
      <c r="V6" s="75"/>
      <c r="W6" s="72"/>
    </row>
    <row r="7" spans="1:23" ht="38.1" customHeight="1" x14ac:dyDescent="0.7">
      <c r="A7" s="64" t="s">
        <v>62</v>
      </c>
      <c r="B7" s="65" t="s">
        <v>149</v>
      </c>
      <c r="C7" s="65" t="s">
        <v>304</v>
      </c>
      <c r="D7" s="65" t="s">
        <v>150</v>
      </c>
      <c r="E7" s="65" t="s">
        <v>367</v>
      </c>
      <c r="F7" s="65" t="s">
        <v>317</v>
      </c>
      <c r="G7" s="66">
        <v>26.377600000000001</v>
      </c>
      <c r="H7" s="67">
        <v>2873541.75</v>
      </c>
      <c r="I7" s="68">
        <v>3.7960996103271812E-2</v>
      </c>
      <c r="J7" s="69">
        <v>-1.7399999999999999E-2</v>
      </c>
      <c r="K7" s="69">
        <v>-6.59E-2</v>
      </c>
      <c r="L7" s="69">
        <v>6.4868700000000001E-2</v>
      </c>
      <c r="M7" s="69">
        <v>-2.3414000000000001</v>
      </c>
      <c r="N7" s="69">
        <v>-3.6610999999999998</v>
      </c>
      <c r="O7" s="69">
        <v>-4.9029530000000001</v>
      </c>
      <c r="P7" s="69">
        <v>-3.167767</v>
      </c>
      <c r="Q7" s="69">
        <v>-4.1473000000000004</v>
      </c>
      <c r="R7" s="68">
        <v>4.37</v>
      </c>
      <c r="S7" s="68">
        <v>0.76</v>
      </c>
      <c r="T7" s="68">
        <v>0.15</v>
      </c>
      <c r="U7" s="66"/>
      <c r="V7" s="75"/>
      <c r="W7" s="72"/>
    </row>
    <row r="8" spans="1:23" ht="38.1" customHeight="1" x14ac:dyDescent="0.7">
      <c r="A8" s="64" t="s">
        <v>63</v>
      </c>
      <c r="B8" s="65" t="s">
        <v>151</v>
      </c>
      <c r="C8" s="65" t="s">
        <v>304</v>
      </c>
      <c r="D8" s="65" t="s">
        <v>152</v>
      </c>
      <c r="E8" s="65" t="s">
        <v>368</v>
      </c>
      <c r="F8" s="65" t="s">
        <v>317</v>
      </c>
      <c r="G8" s="66">
        <v>125.99</v>
      </c>
      <c r="H8" s="67">
        <v>1822573.25</v>
      </c>
      <c r="I8" s="68">
        <v>8.0508658298167456E-3</v>
      </c>
      <c r="J8" s="69">
        <v>0.08</v>
      </c>
      <c r="K8" s="69">
        <v>6.3500000000000001E-2</v>
      </c>
      <c r="L8" s="69">
        <v>0.57884230000000003</v>
      </c>
      <c r="M8" s="69">
        <v>-1.5780000000000001</v>
      </c>
      <c r="N8" s="69">
        <v>-0.67010000000000003</v>
      </c>
      <c r="O8" s="69">
        <v>-0.41501979999999999</v>
      </c>
      <c r="P8" s="69">
        <v>-1.3121830000000001</v>
      </c>
      <c r="Q8" s="69">
        <v>8.0716999999999999</v>
      </c>
      <c r="R8" s="68">
        <v>3.95</v>
      </c>
      <c r="S8" s="68">
        <v>1.1100000000000001</v>
      </c>
      <c r="T8" s="68">
        <v>0.19</v>
      </c>
      <c r="U8" s="66">
        <v>2.7793800830841064</v>
      </c>
      <c r="V8" s="75"/>
      <c r="W8" s="72"/>
    </row>
    <row r="9" spans="1:23" ht="38.1" customHeight="1" x14ac:dyDescent="0.7">
      <c r="A9" s="64" t="s">
        <v>64</v>
      </c>
      <c r="B9" s="65" t="s">
        <v>154</v>
      </c>
      <c r="C9" s="65" t="s">
        <v>153</v>
      </c>
      <c r="D9" s="65" t="s">
        <v>155</v>
      </c>
      <c r="E9" s="65" t="s">
        <v>365</v>
      </c>
      <c r="F9" s="65" t="s">
        <v>317</v>
      </c>
      <c r="G9" s="66">
        <v>130.33500000000001</v>
      </c>
      <c r="H9" s="67">
        <v>10781940</v>
      </c>
      <c r="I9" s="68">
        <v>7.8048472048597353E-3</v>
      </c>
      <c r="J9" s="69">
        <v>0.20499999999999999</v>
      </c>
      <c r="K9" s="69">
        <v>0.1575</v>
      </c>
      <c r="L9" s="69">
        <v>0.43157020000000001</v>
      </c>
      <c r="M9" s="69">
        <v>-3.7976000000000001</v>
      </c>
      <c r="N9" s="69">
        <v>-4.9621000000000004</v>
      </c>
      <c r="O9" s="69">
        <v>-3.7305130000000002</v>
      </c>
      <c r="P9" s="69">
        <v>-5.6540970000000002</v>
      </c>
      <c r="Q9" s="69">
        <v>1.7765</v>
      </c>
      <c r="R9" s="68">
        <v>7.53</v>
      </c>
      <c r="S9" s="68">
        <v>0.81</v>
      </c>
      <c r="T9" s="68">
        <v>0.14000000000000001</v>
      </c>
      <c r="U9" s="66">
        <v>7.4286098480224609</v>
      </c>
      <c r="V9" s="75"/>
      <c r="W9" s="72"/>
    </row>
    <row r="10" spans="1:23" ht="38.1" customHeight="1" x14ac:dyDescent="0.7">
      <c r="A10" s="64" t="s">
        <v>65</v>
      </c>
      <c r="B10" s="65" t="s">
        <v>156</v>
      </c>
      <c r="C10" s="65" t="s">
        <v>153</v>
      </c>
      <c r="D10" s="65" t="s">
        <v>155</v>
      </c>
      <c r="E10" s="65" t="s">
        <v>366</v>
      </c>
      <c r="F10" s="65" t="s">
        <v>317</v>
      </c>
      <c r="G10" s="66">
        <v>82.441999999999993</v>
      </c>
      <c r="H10" s="67">
        <v>2303094.75</v>
      </c>
      <c r="I10" s="68">
        <v>1.2353015683434668E-2</v>
      </c>
      <c r="J10" s="69">
        <v>9.1999999999999998E-2</v>
      </c>
      <c r="K10" s="69">
        <v>0.11169999999999999</v>
      </c>
      <c r="L10" s="69">
        <v>-4.8500670000000003E-2</v>
      </c>
      <c r="M10" s="69">
        <v>-0.83950000000000002</v>
      </c>
      <c r="N10" s="69">
        <v>-0.64829999999999999</v>
      </c>
      <c r="O10" s="69">
        <v>-0.626807</v>
      </c>
      <c r="P10" s="69">
        <v>-0.97297299999999998</v>
      </c>
      <c r="Q10" s="69">
        <v>1.6547000000000001</v>
      </c>
      <c r="R10" s="68">
        <v>3.09</v>
      </c>
      <c r="S10" s="68">
        <v>0.95</v>
      </c>
      <c r="T10" s="68">
        <v>0.05</v>
      </c>
      <c r="U10" s="66">
        <v>6.540870189666748</v>
      </c>
      <c r="V10" s="75"/>
      <c r="W10" s="72"/>
    </row>
    <row r="11" spans="1:23" s="72" customFormat="1" ht="38.1" customHeight="1" x14ac:dyDescent="0.7">
      <c r="A11" s="64" t="s">
        <v>66</v>
      </c>
      <c r="B11" s="65" t="s">
        <v>157</v>
      </c>
      <c r="C11" s="65" t="s">
        <v>153</v>
      </c>
      <c r="D11" s="65" t="s">
        <v>158</v>
      </c>
      <c r="E11" s="65" t="s">
        <v>366</v>
      </c>
      <c r="F11" s="65" t="s">
        <v>317</v>
      </c>
      <c r="G11" s="66">
        <v>93.555000000000007</v>
      </c>
      <c r="H11" s="67">
        <v>3309025.75</v>
      </c>
      <c r="I11" s="68">
        <v>1.087420824962762E-2</v>
      </c>
      <c r="J11" s="69">
        <v>0.155</v>
      </c>
      <c r="K11" s="69">
        <v>0.16600000000000001</v>
      </c>
      <c r="L11" s="69">
        <v>0.1659513</v>
      </c>
      <c r="M11" s="69">
        <v>-2.9512</v>
      </c>
      <c r="N11" s="69">
        <v>-3.0834000000000001</v>
      </c>
      <c r="O11" s="69">
        <v>-2.4683639999999998</v>
      </c>
      <c r="P11" s="69">
        <v>-3.6905489999999999</v>
      </c>
      <c r="Q11" s="69">
        <v>2.0992000000000002</v>
      </c>
      <c r="R11" s="68">
        <v>6.72</v>
      </c>
      <c r="S11" s="68">
        <v>0.84</v>
      </c>
      <c r="T11" s="68">
        <v>0.05</v>
      </c>
      <c r="U11" s="66">
        <v>6.3673100471496582</v>
      </c>
      <c r="V11" s="75"/>
    </row>
    <row r="12" spans="1:23" s="72" customFormat="1" ht="38.1" customHeight="1" x14ac:dyDescent="0.7">
      <c r="A12" s="64" t="s">
        <v>67</v>
      </c>
      <c r="B12" s="65" t="s">
        <v>160</v>
      </c>
      <c r="C12" s="65" t="s">
        <v>159</v>
      </c>
      <c r="D12" s="65" t="s">
        <v>161</v>
      </c>
      <c r="E12" s="65" t="s">
        <v>369</v>
      </c>
      <c r="F12" s="65" t="s">
        <v>317</v>
      </c>
      <c r="G12" s="66">
        <v>101.98399999999999</v>
      </c>
      <c r="H12" s="67">
        <v>778273.9375</v>
      </c>
      <c r="I12" s="68">
        <v>9.8664106004150622E-3</v>
      </c>
      <c r="J12" s="69">
        <v>2.4E-2</v>
      </c>
      <c r="K12" s="69">
        <v>2.35E-2</v>
      </c>
      <c r="L12" s="69">
        <v>-1.9588819999999999E-3</v>
      </c>
      <c r="M12" s="69">
        <v>-0.1038</v>
      </c>
      <c r="N12" s="69">
        <v>-2.5499999999999998E-2</v>
      </c>
      <c r="O12" s="69">
        <v>1.7651050000000001E-2</v>
      </c>
      <c r="P12" s="69">
        <v>-5.0961300000000001E-2</v>
      </c>
      <c r="Q12" s="69">
        <v>0.35820000000000002</v>
      </c>
      <c r="R12" s="68">
        <v>2.0299999999999998</v>
      </c>
      <c r="S12" s="68">
        <v>0.33</v>
      </c>
      <c r="T12" s="68">
        <v>0.35</v>
      </c>
      <c r="U12" s="66">
        <v>4.2734498977661133</v>
      </c>
      <c r="V12" s="75"/>
    </row>
    <row r="13" spans="1:23" s="72" customFormat="1" ht="38.1" customHeight="1" x14ac:dyDescent="0.7">
      <c r="A13" s="64" t="s">
        <v>68</v>
      </c>
      <c r="B13" s="65" t="s">
        <v>162</v>
      </c>
      <c r="C13" s="65" t="s">
        <v>159</v>
      </c>
      <c r="D13" s="65" t="s">
        <v>163</v>
      </c>
      <c r="E13" s="65" t="s">
        <v>370</v>
      </c>
      <c r="F13" s="65" t="s">
        <v>317</v>
      </c>
      <c r="G13" s="66">
        <v>50.725000000000001</v>
      </c>
      <c r="H13" s="67">
        <v>1902226.875</v>
      </c>
      <c r="I13" s="68">
        <v>1.9707266889244051E-2</v>
      </c>
      <c r="J13" s="69">
        <v>-5.0000000000000001E-3</v>
      </c>
      <c r="K13" s="69">
        <v>-9.9000000000000008E-3</v>
      </c>
      <c r="L13" s="69">
        <v>-6.4614500000000005E-2</v>
      </c>
      <c r="M13" s="69">
        <v>-0.14760000000000001</v>
      </c>
      <c r="N13" s="69">
        <v>-0.1</v>
      </c>
      <c r="O13" s="69">
        <v>-0.18411069999999999</v>
      </c>
      <c r="P13" s="69">
        <v>-0.1236482</v>
      </c>
      <c r="Q13" s="69">
        <v>0.37440000000000001</v>
      </c>
      <c r="R13" s="68">
        <v>1.43</v>
      </c>
      <c r="S13" s="68">
        <v>0.71</v>
      </c>
      <c r="T13" s="68">
        <v>0.18</v>
      </c>
      <c r="U13" s="66"/>
      <c r="V13" s="75"/>
    </row>
    <row r="14" spans="1:23" s="72" customFormat="1" ht="38.1" customHeight="1" x14ac:dyDescent="0.7">
      <c r="A14" s="64" t="s">
        <v>69</v>
      </c>
      <c r="B14" s="65" t="s">
        <v>164</v>
      </c>
      <c r="C14" s="65" t="s">
        <v>159</v>
      </c>
      <c r="D14" s="65" t="s">
        <v>165</v>
      </c>
      <c r="E14" s="65" t="s">
        <v>371</v>
      </c>
      <c r="F14" s="65" t="s">
        <v>317</v>
      </c>
      <c r="G14" s="66">
        <v>50.8</v>
      </c>
      <c r="H14" s="67">
        <v>606184.5</v>
      </c>
      <c r="I14" s="68">
        <v>2.0022054298376418E-2</v>
      </c>
      <c r="J14" s="69">
        <v>0</v>
      </c>
      <c r="K14" s="69">
        <v>0</v>
      </c>
      <c r="L14" s="69">
        <v>0</v>
      </c>
      <c r="M14" s="69">
        <v>-5.8999999999999997E-2</v>
      </c>
      <c r="N14" s="69">
        <v>0.17749999999999999</v>
      </c>
      <c r="O14" s="69">
        <v>0.1972372</v>
      </c>
      <c r="P14" s="69">
        <v>0.15772630000000001</v>
      </c>
      <c r="Q14" s="69">
        <v>1.3568</v>
      </c>
      <c r="R14" s="68">
        <v>3.07</v>
      </c>
      <c r="S14" s="68">
        <v>0.18</v>
      </c>
      <c r="T14" s="68">
        <v>0.2</v>
      </c>
      <c r="U14" s="66">
        <v>8.8055496215820312</v>
      </c>
      <c r="V14" s="75"/>
    </row>
    <row r="15" spans="1:23" s="72" customFormat="1" ht="38.1" customHeight="1" x14ac:dyDescent="0.7">
      <c r="A15" s="64" t="s">
        <v>70</v>
      </c>
      <c r="B15" s="65" t="s">
        <v>167</v>
      </c>
      <c r="C15" s="65" t="s">
        <v>166</v>
      </c>
      <c r="D15" s="65" t="s">
        <v>168</v>
      </c>
      <c r="E15" s="65" t="s">
        <v>372</v>
      </c>
      <c r="F15" s="65" t="s">
        <v>317</v>
      </c>
      <c r="G15" s="66">
        <v>86.64</v>
      </c>
      <c r="H15" s="67">
        <v>18682548</v>
      </c>
      <c r="I15" s="68">
        <v>1.1607288724703565E-2</v>
      </c>
      <c r="J15" s="69">
        <v>0.26</v>
      </c>
      <c r="K15" s="69">
        <v>0.30099999999999999</v>
      </c>
      <c r="L15" s="69">
        <v>0</v>
      </c>
      <c r="M15" s="69">
        <v>-1.0959000000000001</v>
      </c>
      <c r="N15" s="69">
        <v>-0.14979999999999999</v>
      </c>
      <c r="O15" s="69">
        <v>2.5695709999999998</v>
      </c>
      <c r="P15" s="69">
        <v>-0.77892669999999997</v>
      </c>
      <c r="Q15" s="69">
        <v>4.8403</v>
      </c>
      <c r="R15" s="68">
        <v>8.86</v>
      </c>
      <c r="S15" s="68">
        <v>0.47</v>
      </c>
      <c r="T15" s="68">
        <v>0.49</v>
      </c>
      <c r="U15" s="66">
        <v>9.1242399215698242</v>
      </c>
      <c r="V15" s="75"/>
    </row>
    <row r="16" spans="1:23" s="72" customFormat="1" ht="38.1" customHeight="1" x14ac:dyDescent="0.7">
      <c r="A16" s="64" t="s">
        <v>71</v>
      </c>
      <c r="B16" s="65" t="s">
        <v>169</v>
      </c>
      <c r="C16" s="65" t="s">
        <v>166</v>
      </c>
      <c r="D16" s="65" t="s">
        <v>170</v>
      </c>
      <c r="E16" s="65" t="s">
        <v>373</v>
      </c>
      <c r="F16" s="65" t="s">
        <v>317</v>
      </c>
      <c r="G16" s="66">
        <v>45.52</v>
      </c>
      <c r="H16" s="67">
        <v>1063645.75</v>
      </c>
      <c r="I16" s="68">
        <v>2.2490835120680862E-2</v>
      </c>
      <c r="J16" s="69">
        <v>0.08</v>
      </c>
      <c r="K16" s="69">
        <v>0.17610000000000001</v>
      </c>
      <c r="L16" s="69">
        <v>6.596407E-2</v>
      </c>
      <c r="M16" s="69">
        <v>-0.24110000000000001</v>
      </c>
      <c r="N16" s="69">
        <v>0.68569999999999998</v>
      </c>
      <c r="O16" s="69">
        <v>3.244097</v>
      </c>
      <c r="P16" s="69">
        <v>0.1540523</v>
      </c>
      <c r="Q16" s="69">
        <v>3.4781</v>
      </c>
      <c r="R16" s="68">
        <v>7.93</v>
      </c>
      <c r="S16" s="68">
        <v>0.41</v>
      </c>
      <c r="T16" s="68">
        <v>0.3</v>
      </c>
      <c r="U16" s="66">
        <v>8.1690998077392578</v>
      </c>
      <c r="V16" s="75"/>
    </row>
    <row r="17" spans="1:22" s="72" customFormat="1" ht="38.1" customHeight="1" x14ac:dyDescent="0.7">
      <c r="A17" s="64" t="s">
        <v>72</v>
      </c>
      <c r="B17" s="65" t="s">
        <v>171</v>
      </c>
      <c r="C17" s="65" t="s">
        <v>166</v>
      </c>
      <c r="D17" s="65" t="s">
        <v>172</v>
      </c>
      <c r="E17" s="65" t="s">
        <v>374</v>
      </c>
      <c r="F17" s="65" t="s">
        <v>317</v>
      </c>
      <c r="G17" s="66">
        <v>48.77</v>
      </c>
      <c r="H17" s="67">
        <v>215373</v>
      </c>
      <c r="I17" s="68">
        <v>6.4469870468853885E-2</v>
      </c>
      <c r="J17" s="69">
        <v>0.1</v>
      </c>
      <c r="K17" s="69">
        <v>0.20549999999999999</v>
      </c>
      <c r="L17" s="69">
        <v>0.38073649999999998</v>
      </c>
      <c r="M17" s="69">
        <v>-0.69230000000000003</v>
      </c>
      <c r="N17" s="69">
        <v>8.2100000000000006E-2</v>
      </c>
      <c r="O17" s="69">
        <v>2.3609619999999998</v>
      </c>
      <c r="P17" s="69">
        <v>0.1128875</v>
      </c>
      <c r="Q17" s="69">
        <v>6.0208000000000004</v>
      </c>
      <c r="R17" s="68">
        <v>9.92</v>
      </c>
      <c r="S17" s="68">
        <v>0.48</v>
      </c>
      <c r="T17" s="68">
        <v>0.95</v>
      </c>
      <c r="U17" s="66"/>
      <c r="V17" s="75"/>
    </row>
    <row r="18" spans="1:22" s="72" customFormat="1" ht="38.1" customHeight="1" x14ac:dyDescent="0.7">
      <c r="A18" s="64" t="s">
        <v>73</v>
      </c>
      <c r="B18" s="65" t="s">
        <v>174</v>
      </c>
      <c r="C18" s="65" t="s">
        <v>173</v>
      </c>
      <c r="D18" s="65" t="s">
        <v>175</v>
      </c>
      <c r="E18" s="65" t="s">
        <v>375</v>
      </c>
      <c r="F18" s="65" t="s">
        <v>317</v>
      </c>
      <c r="G18" s="66">
        <v>51.69</v>
      </c>
      <c r="H18" s="67">
        <v>112405.710938</v>
      </c>
      <c r="I18" s="68">
        <v>6.0285449723507981E-2</v>
      </c>
      <c r="J18" s="69">
        <v>0.09</v>
      </c>
      <c r="K18" s="69">
        <v>0.1744</v>
      </c>
      <c r="L18" s="69">
        <v>0.20148859999999999</v>
      </c>
      <c r="M18" s="69">
        <v>-2.6737000000000002</v>
      </c>
      <c r="N18" s="69">
        <v>-3.4011999999999998</v>
      </c>
      <c r="O18" s="69">
        <v>-3.8442820000000002</v>
      </c>
      <c r="P18" s="69">
        <v>-3.6710720000000001</v>
      </c>
      <c r="Q18" s="69">
        <v>-2.2713000000000001</v>
      </c>
      <c r="R18" s="68">
        <v>4.83</v>
      </c>
      <c r="S18" s="68">
        <v>0.76</v>
      </c>
      <c r="T18" s="68">
        <v>0.12</v>
      </c>
      <c r="U18" s="66">
        <v>7.228489875793457</v>
      </c>
      <c r="V18" s="75"/>
    </row>
    <row r="19" spans="1:22" s="72" customFormat="1" ht="38.1" customHeight="1" x14ac:dyDescent="0.7">
      <c r="A19" s="64" t="s">
        <v>74</v>
      </c>
      <c r="B19" s="65" t="s">
        <v>176</v>
      </c>
      <c r="C19" s="65" t="s">
        <v>173</v>
      </c>
      <c r="D19" s="65" t="s">
        <v>177</v>
      </c>
      <c r="E19" s="65" t="s">
        <v>376</v>
      </c>
      <c r="F19" s="65" t="s">
        <v>317</v>
      </c>
      <c r="G19" s="66">
        <v>14.9186</v>
      </c>
      <c r="H19" s="67">
        <v>3087865</v>
      </c>
      <c r="I19" s="68">
        <v>6.7946100080803207E-2</v>
      </c>
      <c r="J19" s="69">
        <v>5.8599999999999999E-2</v>
      </c>
      <c r="K19" s="69">
        <v>0.39429999999999998</v>
      </c>
      <c r="L19" s="69">
        <v>0.94655120000000004</v>
      </c>
      <c r="M19" s="69">
        <v>-0.14319999999999999</v>
      </c>
      <c r="N19" s="69">
        <v>-1.3972</v>
      </c>
      <c r="O19" s="69">
        <v>0.94655120000000004</v>
      </c>
      <c r="P19" s="69">
        <v>-2.228704</v>
      </c>
      <c r="Q19" s="69">
        <v>4.2530000000000001</v>
      </c>
      <c r="R19" s="68">
        <v>9.66</v>
      </c>
      <c r="S19" s="68">
        <v>0.46</v>
      </c>
      <c r="T19" s="68">
        <v>0.52</v>
      </c>
      <c r="U19" s="66"/>
      <c r="V19" s="75"/>
    </row>
    <row r="20" spans="1:22" s="72" customFormat="1" ht="38.1" customHeight="1" x14ac:dyDescent="0.7">
      <c r="A20" s="64" t="s">
        <v>75</v>
      </c>
      <c r="B20" s="65" t="s">
        <v>178</v>
      </c>
      <c r="C20" s="65" t="s">
        <v>173</v>
      </c>
      <c r="D20" s="65" t="s">
        <v>179</v>
      </c>
      <c r="E20" s="65" t="s">
        <v>377</v>
      </c>
      <c r="F20" s="65" t="s">
        <v>317</v>
      </c>
      <c r="G20" s="66">
        <v>45.825699999999998</v>
      </c>
      <c r="H20" s="67">
        <v>809760.125</v>
      </c>
      <c r="I20" s="68">
        <v>2.4822610973178706E-2</v>
      </c>
      <c r="J20" s="69">
        <v>2.5700000000000001E-2</v>
      </c>
      <c r="K20" s="69">
        <v>5.6099999999999997E-2</v>
      </c>
      <c r="L20" s="69">
        <v>-4.3630349999999998E-2</v>
      </c>
      <c r="M20" s="69">
        <v>-0.18360000000000001</v>
      </c>
      <c r="N20" s="69">
        <v>0.62739999999999996</v>
      </c>
      <c r="O20" s="69">
        <v>1.980858</v>
      </c>
      <c r="P20" s="69">
        <v>0.37239529999999998</v>
      </c>
      <c r="Q20" s="69">
        <v>3.3273999999999999</v>
      </c>
      <c r="R20" s="68">
        <v>8.8000000000000007</v>
      </c>
      <c r="S20" s="68">
        <v>0.34</v>
      </c>
      <c r="T20" s="68">
        <v>0.7</v>
      </c>
      <c r="U20" s="66">
        <v>8.3874702453613281</v>
      </c>
      <c r="V20" s="75"/>
    </row>
    <row r="21" spans="1:22" s="72" customFormat="1" ht="38.1" customHeight="1" x14ac:dyDescent="0.7">
      <c r="A21" s="64" t="s">
        <v>76</v>
      </c>
      <c r="B21" s="65" t="s">
        <v>181</v>
      </c>
      <c r="C21" s="65" t="s">
        <v>180</v>
      </c>
      <c r="D21" s="65" t="s">
        <v>182</v>
      </c>
      <c r="E21" s="65" t="s">
        <v>378</v>
      </c>
      <c r="F21" s="65" t="s">
        <v>317</v>
      </c>
      <c r="G21" s="66">
        <v>55.055</v>
      </c>
      <c r="H21" s="67">
        <v>153767.09375</v>
      </c>
      <c r="I21" s="68">
        <v>2.7161579985466634E-2</v>
      </c>
      <c r="J21" s="69">
        <v>1.4999999999999999E-2</v>
      </c>
      <c r="K21" s="69">
        <v>2.7300000000000001E-2</v>
      </c>
      <c r="L21" s="69">
        <v>0.22756180000000001</v>
      </c>
      <c r="M21" s="69">
        <v>-1.0158</v>
      </c>
      <c r="N21" s="69">
        <v>-1.7577</v>
      </c>
      <c r="O21" s="69">
        <v>-0.98021309999999995</v>
      </c>
      <c r="P21" s="69">
        <v>-2.0547930000000001</v>
      </c>
      <c r="Q21" s="69">
        <v>-2.1766000000000001</v>
      </c>
      <c r="R21" s="68">
        <v>3.29</v>
      </c>
      <c r="S21" s="68">
        <v>0.89</v>
      </c>
      <c r="T21" s="68">
        <v>0.08</v>
      </c>
      <c r="U21" s="66">
        <v>1.7892600297927856</v>
      </c>
      <c r="V21" s="75"/>
    </row>
    <row r="22" spans="1:22" s="72" customFormat="1" ht="38.1" customHeight="1" x14ac:dyDescent="0.7">
      <c r="A22" s="64" t="s">
        <v>77</v>
      </c>
      <c r="B22" s="65" t="s">
        <v>183</v>
      </c>
      <c r="C22" s="65" t="s">
        <v>180</v>
      </c>
      <c r="D22" s="65" t="s">
        <v>184</v>
      </c>
      <c r="E22" s="65" t="s">
        <v>379</v>
      </c>
      <c r="F22" s="65" t="s">
        <v>317</v>
      </c>
      <c r="G22" s="66">
        <v>29.8537</v>
      </c>
      <c r="H22" s="67">
        <v>329164.6875</v>
      </c>
      <c r="I22" s="68">
        <v>3.7870539090016357E-2</v>
      </c>
      <c r="J22" s="69">
        <v>0.16370000000000001</v>
      </c>
      <c r="K22" s="69">
        <v>0.5514</v>
      </c>
      <c r="L22" s="69">
        <v>0.8230307</v>
      </c>
      <c r="M22" s="69">
        <v>-2.7250000000000001</v>
      </c>
      <c r="N22" s="69">
        <v>-3.7597999999999998</v>
      </c>
      <c r="O22" s="69">
        <v>-0.18823090000000001</v>
      </c>
      <c r="P22" s="69">
        <v>-4.4069789999999998</v>
      </c>
      <c r="Q22" s="69">
        <v>1.4052</v>
      </c>
      <c r="R22" s="68">
        <v>6.08</v>
      </c>
      <c r="S22" s="68">
        <v>0.14000000000000001</v>
      </c>
      <c r="T22" s="68">
        <v>0.35</v>
      </c>
      <c r="U22" s="66">
        <v>2.7733399868011475</v>
      </c>
      <c r="V22" s="75"/>
    </row>
    <row r="23" spans="1:22" s="72" customFormat="1" ht="38.1" customHeight="1" x14ac:dyDescent="0.7">
      <c r="A23" s="64" t="s">
        <v>78</v>
      </c>
      <c r="B23" s="65" t="s">
        <v>186</v>
      </c>
      <c r="C23" s="65" t="s">
        <v>185</v>
      </c>
      <c r="D23" s="65" t="s">
        <v>187</v>
      </c>
      <c r="E23" s="65" t="s">
        <v>380</v>
      </c>
      <c r="F23" s="65" t="s">
        <v>317</v>
      </c>
      <c r="G23" s="66">
        <v>109.895</v>
      </c>
      <c r="H23" s="67">
        <v>3643186.75</v>
      </c>
      <c r="I23" s="68">
        <v>9.4916510321300367E-3</v>
      </c>
      <c r="J23" s="69">
        <v>0.86499999999999999</v>
      </c>
      <c r="K23" s="69">
        <v>0.79339999999999999</v>
      </c>
      <c r="L23" s="69">
        <v>1.197055</v>
      </c>
      <c r="M23" s="69">
        <v>-3.6347</v>
      </c>
      <c r="N23" s="69">
        <v>-4.3227000000000002</v>
      </c>
      <c r="O23" s="69">
        <v>-2.9580570000000002</v>
      </c>
      <c r="P23" s="69">
        <v>-5.18506</v>
      </c>
      <c r="Q23" s="69">
        <v>2.5236000000000001</v>
      </c>
      <c r="R23" s="68">
        <v>12.14</v>
      </c>
      <c r="S23" s="68">
        <v>0.27</v>
      </c>
      <c r="T23" s="68">
        <v>0.39</v>
      </c>
      <c r="U23" s="66">
        <v>5.6664299964904785</v>
      </c>
      <c r="V23" s="75"/>
    </row>
    <row r="24" spans="1:22" s="72" customFormat="1" ht="38.1" customHeight="1" x14ac:dyDescent="0.7">
      <c r="A24" s="64" t="s">
        <v>79</v>
      </c>
      <c r="B24" s="65" t="s">
        <v>188</v>
      </c>
      <c r="C24" s="65" t="s">
        <v>185</v>
      </c>
      <c r="D24" s="65" t="s">
        <v>189</v>
      </c>
      <c r="E24" s="65" t="s">
        <v>381</v>
      </c>
      <c r="F24" s="65" t="s">
        <v>317</v>
      </c>
      <c r="G24" s="66">
        <v>31.52</v>
      </c>
      <c r="H24" s="67">
        <v>1645106.875</v>
      </c>
      <c r="I24" s="68">
        <v>3.2314790912717939E-2</v>
      </c>
      <c r="J24" s="69">
        <v>0.31</v>
      </c>
      <c r="K24" s="69">
        <v>0.99329999999999996</v>
      </c>
      <c r="L24" s="69">
        <v>1.3014110000000001</v>
      </c>
      <c r="M24" s="69">
        <v>-4.4558999999999997</v>
      </c>
      <c r="N24" s="69">
        <v>-4.7157999999999998</v>
      </c>
      <c r="O24" s="69">
        <v>0.30225800000000003</v>
      </c>
      <c r="P24" s="69">
        <v>-5.2449669999999999</v>
      </c>
      <c r="Q24" s="69">
        <v>-0.25319999999999998</v>
      </c>
      <c r="R24" s="68">
        <v>13.28</v>
      </c>
      <c r="S24" s="68">
        <v>-0.12</v>
      </c>
      <c r="T24" s="68">
        <v>0.3</v>
      </c>
      <c r="U24" s="66">
        <v>5.0622200965881348</v>
      </c>
      <c r="V24" s="75"/>
    </row>
    <row r="25" spans="1:22" s="72" customFormat="1" ht="38.1" customHeight="1" x14ac:dyDescent="0.7">
      <c r="A25" s="64" t="s">
        <v>80</v>
      </c>
      <c r="B25" s="65" t="s">
        <v>190</v>
      </c>
      <c r="C25" s="65" t="s">
        <v>185</v>
      </c>
      <c r="D25" s="65" t="s">
        <v>155</v>
      </c>
      <c r="E25" s="65" t="s">
        <v>382</v>
      </c>
      <c r="F25" s="65" t="s">
        <v>317</v>
      </c>
      <c r="G25" s="66">
        <v>52.042900000000003</v>
      </c>
      <c r="H25" s="67">
        <v>50202.449219000002</v>
      </c>
      <c r="I25" s="68">
        <v>4.0690934492319551E-2</v>
      </c>
      <c r="J25" s="69">
        <v>0.1229</v>
      </c>
      <c r="K25" s="69">
        <v>0.23669999999999999</v>
      </c>
      <c r="L25" s="69">
        <v>5.5708770000000001E-3</v>
      </c>
      <c r="M25" s="69">
        <v>-1.8798999999999999</v>
      </c>
      <c r="N25" s="69">
        <v>-1.9169</v>
      </c>
      <c r="O25" s="69">
        <v>-0.18622820000000001</v>
      </c>
      <c r="P25" s="69">
        <v>-1.990769</v>
      </c>
      <c r="Q25" s="69">
        <v>2.8515999999999999</v>
      </c>
      <c r="R25" s="68">
        <v>10.16</v>
      </c>
      <c r="S25" s="68">
        <v>0.47</v>
      </c>
      <c r="T25" s="68">
        <v>0.5</v>
      </c>
      <c r="U25" s="66"/>
      <c r="V25" s="75"/>
    </row>
    <row r="26" spans="1:22" s="72" customFormat="1" ht="38.1" customHeight="1" x14ac:dyDescent="0.7">
      <c r="A26" s="64" t="s">
        <v>81</v>
      </c>
      <c r="B26" s="65" t="s">
        <v>191</v>
      </c>
      <c r="C26" s="65" t="s">
        <v>185</v>
      </c>
      <c r="D26" s="65" t="s">
        <v>166</v>
      </c>
      <c r="E26" s="65" t="s">
        <v>383</v>
      </c>
      <c r="F26" s="65" t="s">
        <v>317</v>
      </c>
      <c r="G26" s="66">
        <v>23.65</v>
      </c>
      <c r="H26" s="67">
        <v>155489.34375</v>
      </c>
      <c r="I26" s="68">
        <v>0.20811639266023052</v>
      </c>
      <c r="J26" s="69">
        <v>7.0000000000000007E-2</v>
      </c>
      <c r="K26" s="69">
        <v>0.2969</v>
      </c>
      <c r="L26" s="69">
        <v>-0.21097369999999999</v>
      </c>
      <c r="M26" s="69">
        <v>-1.0045999999999999</v>
      </c>
      <c r="N26" s="69">
        <v>-8.4500000000000006E-2</v>
      </c>
      <c r="O26" s="69">
        <v>1.9396519999999999</v>
      </c>
      <c r="P26" s="69">
        <v>-1.0460240000000001</v>
      </c>
      <c r="Q26" s="69">
        <v>5.5803000000000003</v>
      </c>
      <c r="R26" s="68">
        <v>11.99</v>
      </c>
      <c r="S26" s="68">
        <v>0.39</v>
      </c>
      <c r="T26" s="68">
        <v>0.4</v>
      </c>
      <c r="U26" s="66"/>
      <c r="V26" s="75"/>
    </row>
    <row r="27" spans="1:22" s="72" customFormat="1" ht="38.1" customHeight="1" x14ac:dyDescent="0.7">
      <c r="A27" s="73"/>
    </row>
    <row r="28" spans="1:22" s="72" customFormat="1" ht="38.1" customHeight="1" x14ac:dyDescent="0.7">
      <c r="A28" s="73"/>
    </row>
    <row r="29" spans="1:22" s="72" customFormat="1" ht="38.1" customHeight="1" x14ac:dyDescent="0.7">
      <c r="A29" s="73"/>
    </row>
    <row r="30" spans="1:22" s="72" customFormat="1" ht="38.1" customHeight="1" x14ac:dyDescent="0.7">
      <c r="A30" s="73"/>
    </row>
    <row r="31" spans="1:22" s="72" customFormat="1" ht="38.1" customHeight="1" x14ac:dyDescent="0.7">
      <c r="A31" s="73"/>
    </row>
  </sheetData>
  <printOptions horizontalCentered="1" verticalCentered="1"/>
  <pageMargins left="0" right="0" top="0" bottom="0" header="0" footer="0"/>
  <pageSetup paperSize="3" scale="27" orientation="landscape" r:id="rId1"/>
  <colBreaks count="1" manualBreakCount="1">
    <brk id="2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8"/>
  <sheetViews>
    <sheetView tabSelected="1" zoomScale="40" zoomScaleNormal="40" zoomScaleSheetLayoutView="25" workbookViewId="0">
      <selection activeCell="B1" sqref="B1"/>
    </sheetView>
  </sheetViews>
  <sheetFormatPr baseColWidth="10" defaultColWidth="66.85546875" defaultRowHeight="38.1" customHeight="1" x14ac:dyDescent="0.7"/>
  <cols>
    <col min="1" max="1" width="66.85546875" style="82"/>
    <col min="2" max="3" width="142.85546875" style="76" customWidth="1"/>
    <col min="4" max="4" width="81.85546875" style="76" customWidth="1"/>
    <col min="5" max="5" width="41.7109375" style="76" customWidth="1"/>
    <col min="6" max="6" width="33.85546875" style="76" customWidth="1"/>
    <col min="7" max="7" width="23" style="76" bestFit="1" customWidth="1"/>
    <col min="8" max="8" width="50.140625" style="76" customWidth="1"/>
    <col min="9" max="9" width="47" style="76" customWidth="1"/>
    <col min="10" max="10" width="24.7109375" style="76" customWidth="1"/>
    <col min="11" max="11" width="25.85546875" style="76" customWidth="1"/>
    <col min="12" max="12" width="25.42578125" style="76" customWidth="1"/>
    <col min="13" max="13" width="26.42578125" style="76" customWidth="1"/>
    <col min="14" max="14" width="22.42578125" style="76" customWidth="1"/>
    <col min="15" max="15" width="26.42578125" style="76" customWidth="1"/>
    <col min="16" max="16" width="21.85546875" style="76" bestFit="1" customWidth="1"/>
    <col min="17" max="17" width="22.28515625" style="76" customWidth="1"/>
    <col min="18" max="18" width="38.7109375" style="76" customWidth="1"/>
    <col min="19" max="19" width="31.28515625" style="76" customWidth="1"/>
    <col min="20" max="21" width="26.28515625" style="76" customWidth="1"/>
    <col min="22" max="16384" width="66.85546875" style="76"/>
  </cols>
  <sheetData>
    <row r="1" spans="1:23" ht="91.5" x14ac:dyDescent="0.7">
      <c r="A1" s="54" t="s">
        <v>0</v>
      </c>
      <c r="B1" s="55" t="s">
        <v>1</v>
      </c>
      <c r="C1" s="55" t="s">
        <v>384</v>
      </c>
      <c r="D1" s="55" t="s">
        <v>41</v>
      </c>
      <c r="E1" s="55" t="s">
        <v>306</v>
      </c>
      <c r="F1" s="59" t="s">
        <v>314</v>
      </c>
      <c r="G1" s="55" t="s">
        <v>307</v>
      </c>
      <c r="H1" s="55" t="s">
        <v>312</v>
      </c>
      <c r="I1" s="55" t="s">
        <v>313</v>
      </c>
      <c r="J1" s="55" t="s">
        <v>309</v>
      </c>
      <c r="K1" s="55" t="s">
        <v>46</v>
      </c>
      <c r="L1" s="55" t="s">
        <v>47</v>
      </c>
      <c r="M1" s="55" t="s">
        <v>48</v>
      </c>
      <c r="N1" s="55" t="s">
        <v>49</v>
      </c>
      <c r="O1" s="55" t="s">
        <v>50</v>
      </c>
      <c r="P1" s="55" t="s">
        <v>310</v>
      </c>
      <c r="Q1" s="55" t="s">
        <v>52</v>
      </c>
      <c r="R1" s="55" t="s">
        <v>308</v>
      </c>
      <c r="S1" s="55" t="s">
        <v>54</v>
      </c>
      <c r="T1" s="55" t="s">
        <v>39</v>
      </c>
      <c r="U1" s="55" t="s">
        <v>55</v>
      </c>
      <c r="V1" s="72"/>
      <c r="W1" s="72"/>
    </row>
    <row r="2" spans="1:23" s="72" customFormat="1" ht="38.1" customHeight="1" x14ac:dyDescent="0.7">
      <c r="A2" s="56" t="s">
        <v>82</v>
      </c>
      <c r="B2" s="48" t="s">
        <v>194</v>
      </c>
      <c r="C2" s="48" t="s">
        <v>193</v>
      </c>
      <c r="D2" s="48" t="s">
        <v>195</v>
      </c>
      <c r="E2" s="48" t="s">
        <v>316</v>
      </c>
      <c r="F2" s="48" t="s">
        <v>317</v>
      </c>
      <c r="G2" s="49">
        <v>95.49</v>
      </c>
      <c r="H2" s="50">
        <v>2121730.25</v>
      </c>
      <c r="I2" s="51">
        <v>1.1114910921685515E-2</v>
      </c>
      <c r="J2" s="52">
        <v>1.36</v>
      </c>
      <c r="K2" s="52">
        <v>1.4448000000000001</v>
      </c>
      <c r="L2" s="52">
        <v>2.68933</v>
      </c>
      <c r="M2" s="52">
        <v>8.3799999999999999E-2</v>
      </c>
      <c r="N2" s="52">
        <v>6.8239999999999998</v>
      </c>
      <c r="O2" s="52">
        <v>19.62406</v>
      </c>
      <c r="P2" s="52">
        <v>5.2248659999999996</v>
      </c>
      <c r="Q2" s="52">
        <v>36.687697999999997</v>
      </c>
      <c r="R2" s="51">
        <v>17.579999999999998</v>
      </c>
      <c r="S2" s="51">
        <v>0.57999999999999996</v>
      </c>
      <c r="T2" s="51">
        <v>0.32</v>
      </c>
      <c r="U2" s="49">
        <v>3.2688300609588623</v>
      </c>
    </row>
    <row r="3" spans="1:23" s="72" customFormat="1" ht="38.1" customHeight="1" x14ac:dyDescent="0.7">
      <c r="A3" s="56" t="s">
        <v>83</v>
      </c>
      <c r="B3" s="48" t="s">
        <v>196</v>
      </c>
      <c r="C3" s="48" t="s">
        <v>193</v>
      </c>
      <c r="D3" s="48" t="s">
        <v>197</v>
      </c>
      <c r="E3" s="48" t="s">
        <v>318</v>
      </c>
      <c r="F3" s="48" t="s">
        <v>317</v>
      </c>
      <c r="G3" s="49">
        <v>97.027199999999993</v>
      </c>
      <c r="H3" s="50">
        <v>255882.0625</v>
      </c>
      <c r="I3" s="51">
        <v>6.5982394839497513E-2</v>
      </c>
      <c r="J3" s="52">
        <v>0.43719999999999998</v>
      </c>
      <c r="K3" s="52">
        <v>0.4526</v>
      </c>
      <c r="L3" s="52">
        <v>1.9836039999999999</v>
      </c>
      <c r="M3" s="52">
        <v>-0.8105</v>
      </c>
      <c r="N3" s="52">
        <v>1.0174000000000001</v>
      </c>
      <c r="O3" s="52">
        <v>5.7056310000000003</v>
      </c>
      <c r="P3" s="52">
        <v>0.1209332</v>
      </c>
      <c r="Q3" s="52">
        <v>7.6406000000000001</v>
      </c>
      <c r="R3" s="51">
        <v>12.3</v>
      </c>
      <c r="S3" s="51">
        <v>0.45</v>
      </c>
      <c r="T3" s="51">
        <v>0.2</v>
      </c>
      <c r="U3" s="49">
        <v>2.6520700454711914</v>
      </c>
    </row>
    <row r="4" spans="1:23" s="72" customFormat="1" ht="38.1" customHeight="1" x14ac:dyDescent="0.7">
      <c r="A4" s="56" t="s">
        <v>84</v>
      </c>
      <c r="B4" s="48" t="s">
        <v>199</v>
      </c>
      <c r="C4" s="48" t="s">
        <v>198</v>
      </c>
      <c r="D4" s="48" t="s">
        <v>200</v>
      </c>
      <c r="E4" s="48" t="s">
        <v>319</v>
      </c>
      <c r="F4" s="48" t="s">
        <v>317</v>
      </c>
      <c r="G4" s="49">
        <v>394.9</v>
      </c>
      <c r="H4" s="53">
        <v>52589676</v>
      </c>
      <c r="I4" s="51">
        <v>2.9645878742826778E-3</v>
      </c>
      <c r="J4" s="52">
        <v>5.32</v>
      </c>
      <c r="K4" s="52">
        <v>1.3655999999999999</v>
      </c>
      <c r="L4" s="52">
        <v>2.9038379999999999</v>
      </c>
      <c r="M4" s="52">
        <v>1.2356</v>
      </c>
      <c r="N4" s="52">
        <v>7.6814</v>
      </c>
      <c r="O4" s="52">
        <v>18.173380000000002</v>
      </c>
      <c r="P4" s="52">
        <v>5.5873530000000002</v>
      </c>
      <c r="Q4" s="52">
        <v>36.918399999999998</v>
      </c>
      <c r="R4" s="51">
        <v>18.329999999999998</v>
      </c>
      <c r="S4" s="51">
        <v>0.73</v>
      </c>
      <c r="T4" s="51">
        <v>9.4500000000000001E-2</v>
      </c>
      <c r="U4" s="49">
        <v>1.0738999843597412</v>
      </c>
    </row>
    <row r="5" spans="1:23" s="72" customFormat="1" ht="38.1" customHeight="1" x14ac:dyDescent="0.7">
      <c r="A5" s="56" t="s">
        <v>85</v>
      </c>
      <c r="B5" s="48" t="s">
        <v>201</v>
      </c>
      <c r="C5" s="48" t="s">
        <v>198</v>
      </c>
      <c r="D5" s="48" t="s">
        <v>200</v>
      </c>
      <c r="E5" s="48" t="s">
        <v>320</v>
      </c>
      <c r="F5" s="48" t="s">
        <v>317</v>
      </c>
      <c r="G5" s="49">
        <v>396.39</v>
      </c>
      <c r="H5" s="50">
        <v>2355465</v>
      </c>
      <c r="I5" s="51">
        <v>9.3342106927119164E-3</v>
      </c>
      <c r="J5" s="52">
        <v>5.42</v>
      </c>
      <c r="K5" s="52">
        <v>1.3863000000000001</v>
      </c>
      <c r="L5" s="52">
        <v>2.9069500000000001</v>
      </c>
      <c r="M5" s="52">
        <v>1.2335</v>
      </c>
      <c r="N5" s="52">
        <v>7.6913</v>
      </c>
      <c r="O5" s="52">
        <v>18.153670000000002</v>
      </c>
      <c r="P5" s="52">
        <v>5.5605599999999997</v>
      </c>
      <c r="Q5" s="52">
        <v>36.898601999999997</v>
      </c>
      <c r="R5" s="51">
        <v>18.309999999999999</v>
      </c>
      <c r="S5" s="51">
        <v>0.73</v>
      </c>
      <c r="T5" s="51">
        <v>0.03</v>
      </c>
      <c r="U5" s="49">
        <v>0.63713699579238892</v>
      </c>
    </row>
    <row r="6" spans="1:23" s="72" customFormat="1" ht="38.1" customHeight="1" x14ac:dyDescent="0.7">
      <c r="A6" s="56" t="s">
        <v>86</v>
      </c>
      <c r="B6" s="48" t="s">
        <v>202</v>
      </c>
      <c r="C6" s="48" t="s">
        <v>198</v>
      </c>
      <c r="D6" s="48" t="s">
        <v>200</v>
      </c>
      <c r="E6" s="48" t="s">
        <v>321</v>
      </c>
      <c r="F6" s="48" t="s">
        <v>317</v>
      </c>
      <c r="G6" s="49">
        <v>326.33999999999997</v>
      </c>
      <c r="H6" s="50">
        <v>2933441.75</v>
      </c>
      <c r="I6" s="51">
        <v>6.7788997021393672E-3</v>
      </c>
      <c r="J6" s="52">
        <v>3.01</v>
      </c>
      <c r="K6" s="52">
        <v>0.93089999999999995</v>
      </c>
      <c r="L6" s="52">
        <v>3.4925799999999998</v>
      </c>
      <c r="M6" s="52">
        <v>3.7646999999999999</v>
      </c>
      <c r="N6" s="52">
        <v>8.5845000000000002</v>
      </c>
      <c r="O6" s="52">
        <v>17.741530000000001</v>
      </c>
      <c r="P6" s="52">
        <v>6.6908630000000002</v>
      </c>
      <c r="Q6" s="52">
        <v>30.2911</v>
      </c>
      <c r="R6" s="51">
        <v>18.57</v>
      </c>
      <c r="S6" s="51">
        <v>0.51</v>
      </c>
      <c r="T6" s="51">
        <v>0.16</v>
      </c>
      <c r="U6" s="49">
        <v>0.38146999478340149</v>
      </c>
    </row>
    <row r="7" spans="1:23" s="72" customFormat="1" ht="38.1" customHeight="1" x14ac:dyDescent="0.7">
      <c r="A7" s="56" t="s">
        <v>87</v>
      </c>
      <c r="B7" s="48" t="s">
        <v>203</v>
      </c>
      <c r="C7" s="48" t="s">
        <v>198</v>
      </c>
      <c r="D7" s="48" t="s">
        <v>200</v>
      </c>
      <c r="E7" s="48" t="s">
        <v>322</v>
      </c>
      <c r="F7" s="48" t="s">
        <v>317</v>
      </c>
      <c r="G7" s="49">
        <v>520.99</v>
      </c>
      <c r="H7" s="50">
        <v>39948.050780999998</v>
      </c>
      <c r="I7" s="51">
        <v>0.37322644189411236</v>
      </c>
      <c r="J7" s="52">
        <v>13.56</v>
      </c>
      <c r="K7" s="52">
        <v>2.6722999999999999</v>
      </c>
      <c r="L7" s="52">
        <v>3.9070610000000001</v>
      </c>
      <c r="M7" s="52">
        <v>-3.7307000000000001</v>
      </c>
      <c r="N7" s="52">
        <v>7.6448</v>
      </c>
      <c r="O7" s="52">
        <v>23.419319999999999</v>
      </c>
      <c r="P7" s="52">
        <v>3.8552789999999999</v>
      </c>
      <c r="Q7" s="52">
        <v>60.305</v>
      </c>
      <c r="R7" s="51">
        <v>20.99</v>
      </c>
      <c r="S7" s="51">
        <v>1.03</v>
      </c>
      <c r="T7" s="51">
        <v>0.21</v>
      </c>
      <c r="U7" s="49">
        <v>1.8234399557113647</v>
      </c>
    </row>
    <row r="8" spans="1:23" s="72" customFormat="1" ht="38.1" customHeight="1" x14ac:dyDescent="0.7">
      <c r="A8" s="56" t="s">
        <v>88</v>
      </c>
      <c r="B8" s="48" t="s">
        <v>204</v>
      </c>
      <c r="C8" s="48" t="s">
        <v>198</v>
      </c>
      <c r="D8" s="48" t="s">
        <v>205</v>
      </c>
      <c r="E8" s="48" t="s">
        <v>323</v>
      </c>
      <c r="F8" s="48" t="s">
        <v>317</v>
      </c>
      <c r="G8" s="49">
        <v>39.042200000000001</v>
      </c>
      <c r="H8" s="50">
        <v>65289.996094000002</v>
      </c>
      <c r="I8" s="51">
        <v>8.1458524523151291E-2</v>
      </c>
      <c r="J8" s="52">
        <v>0.4229</v>
      </c>
      <c r="K8" s="52">
        <v>1.095</v>
      </c>
      <c r="L8" s="52">
        <v>2.365497</v>
      </c>
      <c r="M8" s="52">
        <v>0.76</v>
      </c>
      <c r="N8" s="52">
        <v>4.2237</v>
      </c>
      <c r="O8" s="52">
        <v>13.133010000000001</v>
      </c>
      <c r="P8" s="52">
        <v>3.0409099999999998</v>
      </c>
      <c r="Q8" s="52">
        <v>23.747101000000001</v>
      </c>
      <c r="R8" s="51">
        <v>17.22</v>
      </c>
      <c r="S8" s="51">
        <v>0.6</v>
      </c>
      <c r="T8" s="51">
        <v>0.15</v>
      </c>
      <c r="U8" s="49">
        <v>0.65917998552322388</v>
      </c>
    </row>
    <row r="9" spans="1:23" s="72" customFormat="1" ht="38.1" customHeight="1" x14ac:dyDescent="0.7">
      <c r="A9" s="56" t="s">
        <v>89</v>
      </c>
      <c r="B9" s="48" t="s">
        <v>206</v>
      </c>
      <c r="C9" s="48" t="s">
        <v>198</v>
      </c>
      <c r="D9" s="48" t="s">
        <v>207</v>
      </c>
      <c r="E9" s="48" t="s">
        <v>324</v>
      </c>
      <c r="F9" s="48" t="s">
        <v>317</v>
      </c>
      <c r="G9" s="49">
        <v>261.91000000000003</v>
      </c>
      <c r="H9" s="50">
        <v>914959.5625</v>
      </c>
      <c r="I9" s="51">
        <v>3.0884547289760471E-2</v>
      </c>
      <c r="J9" s="52">
        <v>3.83</v>
      </c>
      <c r="K9" s="52">
        <v>1.484</v>
      </c>
      <c r="L9" s="52">
        <v>4.4173340000000003</v>
      </c>
      <c r="M9" s="52">
        <v>4.1308999999999996</v>
      </c>
      <c r="N9" s="52">
        <v>16.752099999999999</v>
      </c>
      <c r="O9" s="52">
        <v>41.160939999999997</v>
      </c>
      <c r="P9" s="52">
        <v>13.95814</v>
      </c>
      <c r="Q9" s="52">
        <v>54.209999000000003</v>
      </c>
      <c r="R9" s="51">
        <v>23.63</v>
      </c>
      <c r="S9" s="51">
        <v>0.54</v>
      </c>
      <c r="T9" s="51">
        <v>0.05</v>
      </c>
      <c r="U9" s="49">
        <v>0.86340099573135376</v>
      </c>
    </row>
    <row r="10" spans="1:23" s="72" customFormat="1" ht="38.1" customHeight="1" x14ac:dyDescent="0.7">
      <c r="A10" s="56" t="s">
        <v>90</v>
      </c>
      <c r="B10" s="48" t="s">
        <v>208</v>
      </c>
      <c r="C10" s="48" t="s">
        <v>198</v>
      </c>
      <c r="D10" s="48" t="s">
        <v>209</v>
      </c>
      <c r="E10" s="48" t="s">
        <v>325</v>
      </c>
      <c r="F10" s="48" t="s">
        <v>317</v>
      </c>
      <c r="G10" s="49">
        <v>113.69</v>
      </c>
      <c r="H10" s="53">
        <v>3141238</v>
      </c>
      <c r="I10" s="51">
        <v>2.084869578661433E-2</v>
      </c>
      <c r="J10" s="52">
        <v>1.24</v>
      </c>
      <c r="K10" s="52">
        <v>1.1027</v>
      </c>
      <c r="L10" s="52">
        <v>6.1550649999999996</v>
      </c>
      <c r="M10" s="52">
        <v>7.0728999999999997</v>
      </c>
      <c r="N10" s="52">
        <v>26.154</v>
      </c>
      <c r="O10" s="52">
        <v>60.100020000000001</v>
      </c>
      <c r="P10" s="52">
        <v>23.655059999999999</v>
      </c>
      <c r="Q10" s="52">
        <v>71.529899999999998</v>
      </c>
      <c r="R10" s="51">
        <v>26.22</v>
      </c>
      <c r="S10" s="51">
        <v>0.55000000000000004</v>
      </c>
      <c r="T10" s="51">
        <v>0.06</v>
      </c>
      <c r="U10" s="49">
        <v>0.83098000288009644</v>
      </c>
    </row>
    <row r="11" spans="1:23" s="72" customFormat="1" ht="38.1" customHeight="1" x14ac:dyDescent="0.7">
      <c r="A11" s="56" t="s">
        <v>91</v>
      </c>
      <c r="B11" s="48" t="s">
        <v>210</v>
      </c>
      <c r="C11" s="48" t="s">
        <v>198</v>
      </c>
      <c r="D11" s="48" t="s">
        <v>200</v>
      </c>
      <c r="E11" s="48" t="s">
        <v>326</v>
      </c>
      <c r="F11" s="48" t="s">
        <v>317</v>
      </c>
      <c r="G11" s="49">
        <v>68.36</v>
      </c>
      <c r="H11" s="50">
        <v>234526.6875</v>
      </c>
      <c r="I11" s="51">
        <v>3.0295111414448551E-2</v>
      </c>
      <c r="J11" s="52">
        <v>0.48</v>
      </c>
      <c r="K11" s="52">
        <v>0.70709999999999995</v>
      </c>
      <c r="L11" s="52">
        <v>2.5810330000000001</v>
      </c>
      <c r="M11" s="52">
        <v>3.8906000000000001</v>
      </c>
      <c r="N11" s="52">
        <v>9.2012999999999998</v>
      </c>
      <c r="O11" s="52">
        <v>24.245729999999998</v>
      </c>
      <c r="P11" s="52">
        <v>10.25806</v>
      </c>
      <c r="Q11" s="52">
        <v>43.522998999999999</v>
      </c>
      <c r="R11" s="51">
        <v>20.09</v>
      </c>
      <c r="S11" s="51">
        <v>0.8</v>
      </c>
      <c r="T11" s="51">
        <v>0.48</v>
      </c>
      <c r="U11" s="49">
        <v>1.2883100509643555</v>
      </c>
    </row>
    <row r="12" spans="1:23" s="72" customFormat="1" ht="38.1" customHeight="1" x14ac:dyDescent="0.7">
      <c r="A12" s="56" t="s">
        <v>92</v>
      </c>
      <c r="B12" s="48" t="s">
        <v>211</v>
      </c>
      <c r="C12" s="48" t="s">
        <v>198</v>
      </c>
      <c r="D12" s="48" t="s">
        <v>212</v>
      </c>
      <c r="E12" s="48" t="s">
        <v>318</v>
      </c>
      <c r="F12" s="48" t="s">
        <v>317</v>
      </c>
      <c r="G12" s="49">
        <v>68.165000000000006</v>
      </c>
      <c r="H12" s="53">
        <v>2678123.25</v>
      </c>
      <c r="I12" s="51">
        <v>1.5337454837906725E-2</v>
      </c>
      <c r="J12" s="52">
        <v>0.51500000000000001</v>
      </c>
      <c r="K12" s="52">
        <v>0.76129999999999998</v>
      </c>
      <c r="L12" s="52">
        <v>2.2419690000000001</v>
      </c>
      <c r="M12" s="52">
        <v>0.3755</v>
      </c>
      <c r="N12" s="52">
        <v>2.1964000000000001</v>
      </c>
      <c r="O12" s="52">
        <v>7.1443159999999999</v>
      </c>
      <c r="P12" s="52">
        <v>0.40439419999999998</v>
      </c>
      <c r="Q12" s="52">
        <v>9.5196000000000005</v>
      </c>
      <c r="R12" s="51">
        <v>14.38</v>
      </c>
      <c r="S12" s="51">
        <v>0.64</v>
      </c>
      <c r="T12" s="51">
        <v>0.15</v>
      </c>
      <c r="U12" s="49">
        <v>0.96575099229812622</v>
      </c>
    </row>
    <row r="13" spans="1:23" s="72" customFormat="1" ht="38.1" customHeight="1" x14ac:dyDescent="0.7">
      <c r="A13" s="56" t="s">
        <v>93</v>
      </c>
      <c r="B13" s="48" t="s">
        <v>213</v>
      </c>
      <c r="C13" s="48" t="s">
        <v>198</v>
      </c>
      <c r="D13" s="48" t="s">
        <v>214</v>
      </c>
      <c r="E13" s="48" t="s">
        <v>327</v>
      </c>
      <c r="F13" s="48" t="s">
        <v>317</v>
      </c>
      <c r="G13" s="49">
        <v>47.44</v>
      </c>
      <c r="H13" s="50">
        <v>1682868.375</v>
      </c>
      <c r="I13" s="51">
        <v>2.2047674630103389E-2</v>
      </c>
      <c r="J13" s="52">
        <v>0.33</v>
      </c>
      <c r="K13" s="52">
        <v>0.70050000000000001</v>
      </c>
      <c r="L13" s="52">
        <v>2.6845669999999999</v>
      </c>
      <c r="M13" s="52">
        <v>3.1080000000000001</v>
      </c>
      <c r="N13" s="52">
        <v>6.5110000000000001</v>
      </c>
      <c r="O13" s="52">
        <v>18.132000000000001</v>
      </c>
      <c r="P13" s="52">
        <v>5.8232939999999997</v>
      </c>
      <c r="Q13" s="52">
        <v>29.264299000000001</v>
      </c>
      <c r="R13" s="51">
        <v>17.75</v>
      </c>
      <c r="S13" s="51">
        <v>0.63</v>
      </c>
      <c r="T13" s="51">
        <v>0.08</v>
      </c>
      <c r="U13" s="49">
        <v>0.42133998870849609</v>
      </c>
    </row>
    <row r="14" spans="1:23" s="72" customFormat="1" ht="38.1" customHeight="1" x14ac:dyDescent="0.7">
      <c r="A14" s="56" t="s">
        <v>94</v>
      </c>
      <c r="B14" s="48" t="s">
        <v>215</v>
      </c>
      <c r="C14" s="48" t="s">
        <v>198</v>
      </c>
      <c r="D14" s="48" t="s">
        <v>216</v>
      </c>
      <c r="E14" s="48" t="s">
        <v>328</v>
      </c>
      <c r="F14" s="48" t="s">
        <v>317</v>
      </c>
      <c r="G14" s="49">
        <v>257.29500000000002</v>
      </c>
      <c r="H14" s="50">
        <v>632063.5625</v>
      </c>
      <c r="I14" s="51">
        <v>2.5422932073889438E-2</v>
      </c>
      <c r="J14" s="52">
        <v>6.2249999999999996</v>
      </c>
      <c r="K14" s="52">
        <v>2.4794</v>
      </c>
      <c r="L14" s="52">
        <v>3.6291869999999999</v>
      </c>
      <c r="M14" s="52">
        <v>-3.2871000000000001</v>
      </c>
      <c r="N14" s="52">
        <v>5.0612000000000004</v>
      </c>
      <c r="O14" s="52">
        <v>15.570830000000001</v>
      </c>
      <c r="P14" s="52">
        <v>1.5430269999999999</v>
      </c>
      <c r="Q14" s="52">
        <v>49.087398999999998</v>
      </c>
      <c r="R14" s="51">
        <v>19.68</v>
      </c>
      <c r="S14" s="51">
        <v>1.01</v>
      </c>
      <c r="T14" s="51">
        <v>0.04</v>
      </c>
      <c r="U14" s="49">
        <v>0.61083602905273438</v>
      </c>
    </row>
    <row r="15" spans="1:23" s="72" customFormat="1" ht="38.1" customHeight="1" x14ac:dyDescent="0.7">
      <c r="A15" s="56" t="s">
        <v>95</v>
      </c>
      <c r="B15" s="48" t="s">
        <v>217</v>
      </c>
      <c r="C15" s="48" t="s">
        <v>198</v>
      </c>
      <c r="D15" s="48" t="s">
        <v>218</v>
      </c>
      <c r="E15" s="48" t="s">
        <v>328</v>
      </c>
      <c r="F15" s="48" t="s">
        <v>317</v>
      </c>
      <c r="G15" s="49">
        <v>131.15299999999999</v>
      </c>
      <c r="H15" s="50">
        <v>2199182.5</v>
      </c>
      <c r="I15" s="51">
        <v>9.9881573699666746E-3</v>
      </c>
      <c r="J15" s="52">
        <v>0.48299999999999998</v>
      </c>
      <c r="K15" s="52">
        <v>0.36959999999999998</v>
      </c>
      <c r="L15" s="52">
        <v>2.516845</v>
      </c>
      <c r="M15" s="52">
        <v>5.7515000000000001</v>
      </c>
      <c r="N15" s="52">
        <v>10.631</v>
      </c>
      <c r="O15" s="52">
        <v>23.706890000000001</v>
      </c>
      <c r="P15" s="52">
        <v>10.22974</v>
      </c>
      <c r="Q15" s="52">
        <v>28.619199999999999</v>
      </c>
      <c r="R15" s="51">
        <v>18.66</v>
      </c>
      <c r="S15" s="51">
        <v>0.43</v>
      </c>
      <c r="T15" s="51">
        <v>0.04</v>
      </c>
      <c r="U15" s="49">
        <v>0.64753800630569458</v>
      </c>
    </row>
    <row r="16" spans="1:23" s="72" customFormat="1" ht="38.1" customHeight="1" x14ac:dyDescent="0.7">
      <c r="A16" s="56" t="s">
        <v>96</v>
      </c>
      <c r="B16" s="48" t="s">
        <v>219</v>
      </c>
      <c r="C16" s="48" t="s">
        <v>198</v>
      </c>
      <c r="D16" s="48" t="s">
        <v>218</v>
      </c>
      <c r="E16" s="48" t="s">
        <v>329</v>
      </c>
      <c r="F16" s="48" t="s">
        <v>317</v>
      </c>
      <c r="G16" s="49">
        <v>37.195</v>
      </c>
      <c r="H16" s="50">
        <v>1039921.125</v>
      </c>
      <c r="I16" s="51">
        <v>2.9624909457651127E-2</v>
      </c>
      <c r="J16" s="52">
        <v>0.115</v>
      </c>
      <c r="K16" s="52">
        <v>0.31009999999999999</v>
      </c>
      <c r="L16" s="52">
        <v>2.480019</v>
      </c>
      <c r="M16" s="52">
        <v>3.7227999999999999</v>
      </c>
      <c r="N16" s="52">
        <v>6.3322000000000003</v>
      </c>
      <c r="O16" s="52">
        <v>17.133859999999999</v>
      </c>
      <c r="P16" s="52">
        <v>6.0450540000000004</v>
      </c>
      <c r="Q16" s="52">
        <v>16.745100000000001</v>
      </c>
      <c r="R16" s="51">
        <v>15.62</v>
      </c>
      <c r="S16" s="51">
        <v>0.5</v>
      </c>
      <c r="T16" s="51">
        <v>0.7</v>
      </c>
      <c r="U16" s="49">
        <v>0.59284299612045288</v>
      </c>
    </row>
    <row r="17" spans="1:21" s="72" customFormat="1" ht="38.1" customHeight="1" x14ac:dyDescent="0.7">
      <c r="A17" s="56" t="s">
        <v>97</v>
      </c>
      <c r="B17" s="48" t="s">
        <v>221</v>
      </c>
      <c r="C17" s="48" t="s">
        <v>220</v>
      </c>
      <c r="D17" s="48" t="s">
        <v>222</v>
      </c>
      <c r="E17" s="48" t="s">
        <v>330</v>
      </c>
      <c r="F17" s="48" t="s">
        <v>317</v>
      </c>
      <c r="G17" s="49">
        <v>132.80000000000001</v>
      </c>
      <c r="H17" s="53">
        <v>6271559.5</v>
      </c>
      <c r="I17" s="51">
        <v>8.2608626269192222E-3</v>
      </c>
      <c r="J17" s="52">
        <v>3.21</v>
      </c>
      <c r="K17" s="52">
        <v>2.4769999999999999</v>
      </c>
      <c r="L17" s="52">
        <v>2.9468809999999999</v>
      </c>
      <c r="M17" s="52">
        <v>-2.625</v>
      </c>
      <c r="N17" s="52">
        <v>6.6153000000000004</v>
      </c>
      <c r="O17" s="52">
        <v>17.519480000000001</v>
      </c>
      <c r="P17" s="52">
        <v>2.0996739999999998</v>
      </c>
      <c r="Q17" s="52">
        <v>51.528998999999999</v>
      </c>
      <c r="R17" s="51">
        <v>21.11</v>
      </c>
      <c r="S17" s="51">
        <v>1.1299999999999999</v>
      </c>
      <c r="T17" s="51">
        <v>0.12</v>
      </c>
      <c r="U17" s="49">
        <v>0.4938730001449585</v>
      </c>
    </row>
    <row r="18" spans="1:21" s="72" customFormat="1" ht="38.1" customHeight="1" x14ac:dyDescent="0.7">
      <c r="A18" s="56" t="s">
        <v>98</v>
      </c>
      <c r="B18" s="48" t="s">
        <v>223</v>
      </c>
      <c r="C18" s="48" t="s">
        <v>220</v>
      </c>
      <c r="D18" s="48" t="s">
        <v>224</v>
      </c>
      <c r="E18" s="48" t="s">
        <v>330</v>
      </c>
      <c r="F18" s="48" t="s">
        <v>317</v>
      </c>
      <c r="G18" s="49">
        <v>114.705</v>
      </c>
      <c r="H18" s="53">
        <v>5971788</v>
      </c>
      <c r="I18" s="51">
        <v>9.1349792718898697E-3</v>
      </c>
      <c r="J18" s="52">
        <v>1.0449999999999999</v>
      </c>
      <c r="K18" s="52">
        <v>0.9194</v>
      </c>
      <c r="L18" s="52">
        <v>1.4776180000000001</v>
      </c>
      <c r="M18" s="52">
        <v>-1.2781</v>
      </c>
      <c r="N18" s="52">
        <v>2.3056000000000001</v>
      </c>
      <c r="O18" s="52">
        <v>9.6567589999999992</v>
      </c>
      <c r="P18" s="52">
        <v>1.1019019999999999</v>
      </c>
      <c r="Q18" s="52">
        <v>20.412600000000001</v>
      </c>
      <c r="R18" s="51">
        <v>16.2</v>
      </c>
      <c r="S18" s="51">
        <v>0.7</v>
      </c>
      <c r="T18" s="51">
        <v>0.13</v>
      </c>
      <c r="U18" s="49">
        <v>0.56686997413635254</v>
      </c>
    </row>
    <row r="19" spans="1:21" s="72" customFormat="1" ht="38.1" customHeight="1" x14ac:dyDescent="0.7">
      <c r="A19" s="56" t="s">
        <v>99</v>
      </c>
      <c r="B19" s="48" t="s">
        <v>225</v>
      </c>
      <c r="C19" s="48" t="s">
        <v>220</v>
      </c>
      <c r="D19" s="48" t="s">
        <v>226</v>
      </c>
      <c r="E19" s="48" t="s">
        <v>330</v>
      </c>
      <c r="F19" s="48" t="s">
        <v>317</v>
      </c>
      <c r="G19" s="49">
        <v>34.515000000000001</v>
      </c>
      <c r="H19" s="53">
        <v>42498772</v>
      </c>
      <c r="I19" s="51">
        <v>2.961911813232786E-2</v>
      </c>
      <c r="J19" s="52">
        <v>-5.0000000000000001E-3</v>
      </c>
      <c r="K19" s="52">
        <v>-1.4500000000000001E-2</v>
      </c>
      <c r="L19" s="52">
        <v>2.3583530000000001</v>
      </c>
      <c r="M19" s="52">
        <v>10.271599999999999</v>
      </c>
      <c r="N19" s="52">
        <v>20.052199999999999</v>
      </c>
      <c r="O19" s="52">
        <v>39.639830000000003</v>
      </c>
      <c r="P19" s="52">
        <v>17.045459999999999</v>
      </c>
      <c r="Q19" s="52">
        <v>42.9193</v>
      </c>
      <c r="R19" s="51">
        <v>24.29</v>
      </c>
      <c r="S19" s="51">
        <v>0.3</v>
      </c>
      <c r="T19" s="51">
        <v>0.12</v>
      </c>
      <c r="U19" s="49">
        <v>0.70845699310302734</v>
      </c>
    </row>
    <row r="20" spans="1:21" s="72" customFormat="1" ht="38.1" customHeight="1" x14ac:dyDescent="0.7">
      <c r="A20" s="56" t="s">
        <v>100</v>
      </c>
      <c r="B20" s="48" t="s">
        <v>227</v>
      </c>
      <c r="C20" s="48" t="s">
        <v>220</v>
      </c>
      <c r="D20" s="48" t="s">
        <v>228</v>
      </c>
      <c r="E20" s="48" t="s">
        <v>331</v>
      </c>
      <c r="F20" s="48" t="s">
        <v>317</v>
      </c>
      <c r="G20" s="49">
        <v>155.68</v>
      </c>
      <c r="H20" s="53">
        <v>2140942</v>
      </c>
      <c r="I20" s="51">
        <v>2.1498646684611593E-2</v>
      </c>
      <c r="J20" s="52">
        <v>4.07</v>
      </c>
      <c r="K20" s="52">
        <v>2.6844999999999999</v>
      </c>
      <c r="L20" s="52">
        <v>3.6496879999999998</v>
      </c>
      <c r="M20" s="52">
        <v>-8.5633999999999997</v>
      </c>
      <c r="N20" s="52">
        <v>3.9114</v>
      </c>
      <c r="O20" s="52">
        <v>21.785740000000001</v>
      </c>
      <c r="P20" s="52">
        <v>2.73285</v>
      </c>
      <c r="Q20" s="52">
        <v>38.616298999999998</v>
      </c>
      <c r="R20" s="51">
        <v>22.95</v>
      </c>
      <c r="S20" s="51">
        <v>0.6</v>
      </c>
      <c r="T20" s="51">
        <v>0.47</v>
      </c>
      <c r="U20" s="49">
        <v>1.4624300003051758</v>
      </c>
    </row>
    <row r="21" spans="1:21" s="72" customFormat="1" ht="38.1" customHeight="1" x14ac:dyDescent="0.7">
      <c r="A21" s="56" t="s">
        <v>101</v>
      </c>
      <c r="B21" s="48" t="s">
        <v>229</v>
      </c>
      <c r="C21" s="48" t="s">
        <v>220</v>
      </c>
      <c r="D21" s="48" t="s">
        <v>230</v>
      </c>
      <c r="E21" s="48" t="s">
        <v>328</v>
      </c>
      <c r="F21" s="48" t="s">
        <v>317</v>
      </c>
      <c r="G21" s="49">
        <v>295.04000000000002</v>
      </c>
      <c r="H21" s="50">
        <v>94833.859375</v>
      </c>
      <c r="I21" s="51">
        <v>9.4934721397954475E-2</v>
      </c>
      <c r="J21" s="52">
        <v>5.0999999999999996</v>
      </c>
      <c r="K21" s="52">
        <v>1.7589999999999999</v>
      </c>
      <c r="L21" s="52">
        <v>6.1180810000000001</v>
      </c>
      <c r="M21" s="52">
        <v>-0.5494</v>
      </c>
      <c r="N21" s="52">
        <v>11.243499999999999</v>
      </c>
      <c r="O21" s="52">
        <v>28.083390000000001</v>
      </c>
      <c r="P21" s="52">
        <v>7.2171329999999996</v>
      </c>
      <c r="Q21" s="52">
        <v>73.654999000000004</v>
      </c>
      <c r="R21" s="51">
        <v>25.04</v>
      </c>
      <c r="S21" s="51">
        <v>0.87</v>
      </c>
      <c r="T21" s="51">
        <v>0.1</v>
      </c>
      <c r="U21" s="49">
        <v>1.1319999694824219</v>
      </c>
    </row>
    <row r="22" spans="1:21" s="72" customFormat="1" ht="38.1" customHeight="1" x14ac:dyDescent="0.7">
      <c r="A22" s="56" t="s">
        <v>102</v>
      </c>
      <c r="B22" s="48" t="s">
        <v>231</v>
      </c>
      <c r="C22" s="48" t="s">
        <v>220</v>
      </c>
      <c r="D22" s="48" t="s">
        <v>232</v>
      </c>
      <c r="E22" s="48" t="s">
        <v>332</v>
      </c>
      <c r="F22" s="48" t="s">
        <v>317</v>
      </c>
      <c r="G22" s="49">
        <v>90.56</v>
      </c>
      <c r="H22" s="53">
        <v>2972566.75</v>
      </c>
      <c r="I22" s="51">
        <v>1.2266740012845539E-2</v>
      </c>
      <c r="J22" s="52">
        <v>1.49</v>
      </c>
      <c r="K22" s="52">
        <v>1.6728000000000001</v>
      </c>
      <c r="L22" s="52">
        <v>4.2367020000000002</v>
      </c>
      <c r="M22" s="52">
        <v>1.3202</v>
      </c>
      <c r="N22" s="52">
        <v>7.2096999999999998</v>
      </c>
      <c r="O22" s="52">
        <v>12.822430000000001</v>
      </c>
      <c r="P22" s="52">
        <v>6.6054389999999996</v>
      </c>
      <c r="Q22" s="52">
        <v>4.6452999999999998</v>
      </c>
      <c r="R22" s="51">
        <v>18.190000000000001</v>
      </c>
      <c r="S22" s="51">
        <v>0.56000000000000005</v>
      </c>
      <c r="T22" s="51">
        <v>0.12</v>
      </c>
      <c r="U22" s="49">
        <v>1.0857700109481812</v>
      </c>
    </row>
    <row r="23" spans="1:21" ht="38.1" customHeight="1" x14ac:dyDescent="0.7">
      <c r="A23" s="56" t="s">
        <v>103</v>
      </c>
      <c r="B23" s="48" t="s">
        <v>233</v>
      </c>
      <c r="C23" s="48" t="s">
        <v>220</v>
      </c>
      <c r="D23" s="48" t="s">
        <v>234</v>
      </c>
      <c r="E23" s="48" t="s">
        <v>333</v>
      </c>
      <c r="F23" s="48" t="s">
        <v>317</v>
      </c>
      <c r="G23" s="49">
        <v>222.66</v>
      </c>
      <c r="H23" s="50">
        <v>322041.5</v>
      </c>
      <c r="I23" s="51">
        <v>6.3707478717675195E-2</v>
      </c>
      <c r="J23" s="52">
        <v>7.91</v>
      </c>
      <c r="K23" s="52">
        <v>3.6833999999999998</v>
      </c>
      <c r="L23" s="52">
        <v>4.4077679999999999</v>
      </c>
      <c r="M23" s="52">
        <v>-7.0236000000000001</v>
      </c>
      <c r="N23" s="52">
        <v>6.2918000000000003</v>
      </c>
      <c r="O23" s="52">
        <v>21.905290000000001</v>
      </c>
      <c r="P23" s="52">
        <v>4.9144819999999996</v>
      </c>
      <c r="Q23" s="52">
        <v>69.272002999999998</v>
      </c>
      <c r="R23" s="51">
        <v>22.65</v>
      </c>
      <c r="S23" s="51">
        <v>0.93</v>
      </c>
      <c r="T23" s="51">
        <v>0.54</v>
      </c>
      <c r="U23" s="49">
        <v>0.65952301025390625</v>
      </c>
    </row>
    <row r="24" spans="1:21" ht="38.1" customHeight="1" x14ac:dyDescent="0.7">
      <c r="A24" s="56" t="s">
        <v>104</v>
      </c>
      <c r="B24" s="48" t="s">
        <v>236</v>
      </c>
      <c r="C24" s="48" t="s">
        <v>235</v>
      </c>
      <c r="D24" s="48" t="s">
        <v>237</v>
      </c>
      <c r="E24" s="48" t="s">
        <v>334</v>
      </c>
      <c r="F24" s="48" t="s">
        <v>317</v>
      </c>
      <c r="G24" s="49">
        <v>55.89</v>
      </c>
      <c r="H24" s="50">
        <v>730284</v>
      </c>
      <c r="I24" s="51">
        <v>1.8627565670781152E-2</v>
      </c>
      <c r="J24" s="52">
        <v>0.73</v>
      </c>
      <c r="K24" s="52">
        <v>1.3233999999999999</v>
      </c>
      <c r="L24" s="52">
        <v>2.0449139999999999</v>
      </c>
      <c r="M24" s="52">
        <v>-0.24990000000000001</v>
      </c>
      <c r="N24" s="52">
        <v>6.2750000000000004</v>
      </c>
      <c r="O24" s="52">
        <v>20.16771</v>
      </c>
      <c r="P24" s="52">
        <v>5.3733009999999997</v>
      </c>
      <c r="Q24" s="52">
        <v>32.755299000000001</v>
      </c>
      <c r="R24" s="51">
        <v>17.32</v>
      </c>
      <c r="S24" s="51">
        <v>0.31</v>
      </c>
      <c r="T24" s="51">
        <v>0.32</v>
      </c>
      <c r="U24" s="49">
        <v>7.269050121307373</v>
      </c>
    </row>
    <row r="25" spans="1:21" ht="38.1" customHeight="1" x14ac:dyDescent="0.7">
      <c r="A25" s="56" t="s">
        <v>105</v>
      </c>
      <c r="B25" s="48" t="s">
        <v>238</v>
      </c>
      <c r="C25" s="48" t="s">
        <v>235</v>
      </c>
      <c r="D25" s="48" t="s">
        <v>239</v>
      </c>
      <c r="E25" s="48" t="s">
        <v>335</v>
      </c>
      <c r="F25" s="48" t="s">
        <v>317</v>
      </c>
      <c r="G25" s="49">
        <v>76.094999999999999</v>
      </c>
      <c r="H25" s="53">
        <v>13640907</v>
      </c>
      <c r="I25" s="51">
        <v>1.3395413937885292E-2</v>
      </c>
      <c r="J25" s="52">
        <v>0.40500000000000003</v>
      </c>
      <c r="K25" s="52">
        <v>0.53510000000000002</v>
      </c>
      <c r="L25" s="52">
        <v>1.942922</v>
      </c>
      <c r="M25" s="52">
        <v>0.94850000000000001</v>
      </c>
      <c r="N25" s="52">
        <v>5.1036000000000001</v>
      </c>
      <c r="O25" s="52">
        <v>17.407399999999999</v>
      </c>
      <c r="P25" s="52">
        <v>4.2763169999999997</v>
      </c>
      <c r="Q25" s="52">
        <v>28.843499999999999</v>
      </c>
      <c r="R25" s="51">
        <v>17.45</v>
      </c>
      <c r="S25" s="51">
        <v>0.27</v>
      </c>
      <c r="T25" s="51">
        <v>0.32</v>
      </c>
      <c r="U25" s="49">
        <v>8.5066299438476563</v>
      </c>
    </row>
    <row r="26" spans="1:21" ht="38.1" customHeight="1" x14ac:dyDescent="0.7">
      <c r="A26" s="56" t="s">
        <v>106</v>
      </c>
      <c r="B26" s="48" t="s">
        <v>240</v>
      </c>
      <c r="C26" s="48" t="s">
        <v>235</v>
      </c>
      <c r="D26" s="48" t="s">
        <v>241</v>
      </c>
      <c r="E26" s="48" t="s">
        <v>336</v>
      </c>
      <c r="F26" s="48" t="s">
        <v>317</v>
      </c>
      <c r="G26" s="49">
        <v>32.4358</v>
      </c>
      <c r="H26" s="50">
        <v>321165.53125</v>
      </c>
      <c r="I26" s="51">
        <v>3.1460309946907204E-2</v>
      </c>
      <c r="J26" s="52">
        <v>6.5799999999999997E-2</v>
      </c>
      <c r="K26" s="52">
        <v>0.20330000000000001</v>
      </c>
      <c r="L26" s="52">
        <v>1.359375</v>
      </c>
      <c r="M26" s="52">
        <v>2.4731000000000001</v>
      </c>
      <c r="N26" s="52">
        <v>6.2946</v>
      </c>
      <c r="O26" s="52">
        <v>16.21283</v>
      </c>
      <c r="P26" s="52">
        <v>6.448969</v>
      </c>
      <c r="Q26" s="52">
        <v>24.945298999999999</v>
      </c>
      <c r="R26" s="51">
        <v>15.74</v>
      </c>
      <c r="S26" s="51">
        <v>0.4</v>
      </c>
      <c r="T26" s="51">
        <v>0.35</v>
      </c>
      <c r="U26" s="49">
        <v>8.0580101013183594</v>
      </c>
    </row>
    <row r="27" spans="1:21" ht="38.1" customHeight="1" x14ac:dyDescent="0.7">
      <c r="A27" s="56" t="s">
        <v>107</v>
      </c>
      <c r="B27" s="48" t="s">
        <v>242</v>
      </c>
      <c r="C27" s="48" t="s">
        <v>235</v>
      </c>
      <c r="D27" s="48" t="s">
        <v>243</v>
      </c>
      <c r="E27" s="48" t="s">
        <v>318</v>
      </c>
      <c r="F27" s="48" t="s">
        <v>317</v>
      </c>
      <c r="G27" s="49">
        <v>72.575999999999993</v>
      </c>
      <c r="H27" s="50">
        <v>596960.0625</v>
      </c>
      <c r="I27" s="51">
        <v>3.0066529447425681E-2</v>
      </c>
      <c r="J27" s="52">
        <v>0.20599999999999999</v>
      </c>
      <c r="K27" s="52">
        <v>0.28460000000000002</v>
      </c>
      <c r="L27" s="52">
        <v>1.9182710000000001</v>
      </c>
      <c r="M27" s="52">
        <v>-1.9773000000000001</v>
      </c>
      <c r="N27" s="52">
        <v>0.38169999999999998</v>
      </c>
      <c r="O27" s="52">
        <v>5.873081</v>
      </c>
      <c r="P27" s="52">
        <v>-1.13609</v>
      </c>
      <c r="Q27" s="52">
        <v>7.52</v>
      </c>
      <c r="R27" s="51">
        <v>11.94</v>
      </c>
      <c r="S27" s="51">
        <v>0.12</v>
      </c>
      <c r="T27" s="51">
        <v>0.2</v>
      </c>
      <c r="U27" s="49">
        <v>5.7039799690246582</v>
      </c>
    </row>
    <row r="28" spans="1:21" ht="38.1" customHeight="1" x14ac:dyDescent="0.7">
      <c r="A28" s="56" t="s">
        <v>108</v>
      </c>
      <c r="B28" s="48" t="s">
        <v>244</v>
      </c>
      <c r="C28" s="48" t="s">
        <v>235</v>
      </c>
      <c r="D28" s="48" t="s">
        <v>245</v>
      </c>
      <c r="E28" s="48" t="s">
        <v>337</v>
      </c>
      <c r="F28" s="48" t="s">
        <v>317</v>
      </c>
      <c r="G28" s="49">
        <v>100.69</v>
      </c>
      <c r="H28" s="50">
        <v>359800.5</v>
      </c>
      <c r="I28" s="51">
        <v>3.2417513976297122E-2</v>
      </c>
      <c r="J28" s="52">
        <v>1.23</v>
      </c>
      <c r="K28" s="52">
        <v>1.2366999999999999</v>
      </c>
      <c r="L28" s="52">
        <v>2.431829</v>
      </c>
      <c r="M28" s="52">
        <v>-2.5076999999999998</v>
      </c>
      <c r="N28" s="52">
        <v>2.6192000000000002</v>
      </c>
      <c r="O28" s="52">
        <v>11.91774</v>
      </c>
      <c r="P28" s="52">
        <v>-0.2378393</v>
      </c>
      <c r="Q28" s="52">
        <v>30.766199</v>
      </c>
      <c r="R28" s="51">
        <v>15.68</v>
      </c>
      <c r="S28" s="51">
        <v>0.53</v>
      </c>
      <c r="T28" s="51">
        <v>0.4</v>
      </c>
      <c r="U28" s="49">
        <v>8.5221395492553711</v>
      </c>
    </row>
    <row r="29" spans="1:21" ht="38.1" customHeight="1" x14ac:dyDescent="0.7">
      <c r="A29" s="56" t="s">
        <v>109</v>
      </c>
      <c r="B29" s="48" t="s">
        <v>246</v>
      </c>
      <c r="C29" s="48" t="s">
        <v>235</v>
      </c>
      <c r="D29" s="48" t="s">
        <v>247</v>
      </c>
      <c r="E29" s="48" t="s">
        <v>337</v>
      </c>
      <c r="F29" s="48" t="s">
        <v>317</v>
      </c>
      <c r="G29" s="49">
        <v>51.19</v>
      </c>
      <c r="H29" s="50">
        <v>1937250.75</v>
      </c>
      <c r="I29" s="51">
        <v>2.0307499872714976E-2</v>
      </c>
      <c r="J29" s="52">
        <v>-7.0000000000000007E-2</v>
      </c>
      <c r="K29" s="52">
        <v>-0.1366</v>
      </c>
      <c r="L29" s="52">
        <v>1.5172589999999999</v>
      </c>
      <c r="M29" s="52">
        <v>4.1718000000000002</v>
      </c>
      <c r="N29" s="52">
        <v>7.5419999999999998</v>
      </c>
      <c r="O29" s="52">
        <v>22.364329999999999</v>
      </c>
      <c r="P29" s="52">
        <v>8.4427950000000003</v>
      </c>
      <c r="Q29" s="52">
        <v>26.426300000000001</v>
      </c>
      <c r="R29" s="51">
        <v>20.56</v>
      </c>
      <c r="S29" s="51">
        <v>0.03</v>
      </c>
      <c r="T29" s="51">
        <v>0.39</v>
      </c>
      <c r="U29" s="49">
        <v>7.914639949798584</v>
      </c>
    </row>
    <row r="30" spans="1:21" ht="38.1" customHeight="1" x14ac:dyDescent="0.7">
      <c r="A30" s="56" t="s">
        <v>110</v>
      </c>
      <c r="B30" s="48" t="s">
        <v>248</v>
      </c>
      <c r="C30" s="48" t="s">
        <v>235</v>
      </c>
      <c r="D30" s="48" t="s">
        <v>214</v>
      </c>
      <c r="E30" s="48" t="s">
        <v>338</v>
      </c>
      <c r="F30" s="48" t="s">
        <v>317</v>
      </c>
      <c r="G30" s="49">
        <v>32.018999999999998</v>
      </c>
      <c r="H30" s="50">
        <v>637627.5</v>
      </c>
      <c r="I30" s="51">
        <v>3.2746243885498835E-2</v>
      </c>
      <c r="J30" s="52">
        <v>0.22900000000000001</v>
      </c>
      <c r="K30" s="52">
        <v>0.72040000000000004</v>
      </c>
      <c r="L30" s="52">
        <v>1.486532</v>
      </c>
      <c r="M30" s="52">
        <v>4.9459</v>
      </c>
      <c r="N30" s="52">
        <v>7.8625999999999996</v>
      </c>
      <c r="O30" s="52">
        <v>22.584219999999998</v>
      </c>
      <c r="P30" s="52">
        <v>8.6494769999999992</v>
      </c>
      <c r="Q30" s="52">
        <v>16.3904</v>
      </c>
      <c r="R30" s="51">
        <v>20.9</v>
      </c>
      <c r="S30" s="51">
        <v>0.19</v>
      </c>
      <c r="T30" s="51">
        <v>0.49</v>
      </c>
      <c r="U30" s="49">
        <v>9.6379604339599609</v>
      </c>
    </row>
    <row r="31" spans="1:21" ht="38.1" customHeight="1" x14ac:dyDescent="0.7">
      <c r="A31" s="56" t="s">
        <v>111</v>
      </c>
      <c r="B31" s="48" t="s">
        <v>249</v>
      </c>
      <c r="C31" s="48" t="s">
        <v>235</v>
      </c>
      <c r="D31" s="48" t="s">
        <v>250</v>
      </c>
      <c r="E31" s="48" t="s">
        <v>339</v>
      </c>
      <c r="F31" s="48" t="s">
        <v>317</v>
      </c>
      <c r="G31" s="49">
        <v>63.63</v>
      </c>
      <c r="H31" s="50">
        <v>2545654.75</v>
      </c>
      <c r="I31" s="51">
        <v>1.6184356770286196E-2</v>
      </c>
      <c r="J31" s="52">
        <v>0.53</v>
      </c>
      <c r="K31" s="52">
        <v>0.83989999999999998</v>
      </c>
      <c r="L31" s="52">
        <v>2.944985</v>
      </c>
      <c r="M31" s="52">
        <v>2.8281000000000001</v>
      </c>
      <c r="N31" s="52">
        <v>6.7438000000000002</v>
      </c>
      <c r="O31" s="52">
        <v>17.40174</v>
      </c>
      <c r="P31" s="52">
        <v>5.610887</v>
      </c>
      <c r="Q31" s="52">
        <v>29.460799999999999</v>
      </c>
      <c r="R31" s="51">
        <v>19.57</v>
      </c>
      <c r="S31" s="51">
        <v>0.26</v>
      </c>
      <c r="T31" s="51">
        <v>0.08</v>
      </c>
      <c r="U31" s="49">
        <v>12.041199684143066</v>
      </c>
    </row>
    <row r="32" spans="1:21" ht="38.1" customHeight="1" x14ac:dyDescent="0.7">
      <c r="A32" s="56" t="s">
        <v>112</v>
      </c>
      <c r="B32" s="48" t="s">
        <v>251</v>
      </c>
      <c r="C32" s="48" t="s">
        <v>235</v>
      </c>
      <c r="D32" s="48" t="s">
        <v>252</v>
      </c>
      <c r="E32" s="48" t="s">
        <v>340</v>
      </c>
      <c r="F32" s="48" t="s">
        <v>317</v>
      </c>
      <c r="G32" s="49">
        <v>70.290000000000006</v>
      </c>
      <c r="H32" s="50">
        <v>127678.796875</v>
      </c>
      <c r="I32" s="51">
        <v>3.6017653315111253E-2</v>
      </c>
      <c r="J32" s="52">
        <v>0.13</v>
      </c>
      <c r="K32" s="52">
        <v>0.18529999999999999</v>
      </c>
      <c r="L32" s="52">
        <v>3.0191949999999999</v>
      </c>
      <c r="M32" s="52">
        <v>3.1099000000000001</v>
      </c>
      <c r="N32" s="52">
        <v>7.0678000000000001</v>
      </c>
      <c r="O32" s="52">
        <v>10.762689999999999</v>
      </c>
      <c r="P32" s="52">
        <v>6.0180949999999998</v>
      </c>
      <c r="Q32" s="52">
        <v>23.968299999999999</v>
      </c>
      <c r="R32" s="51">
        <v>18.68</v>
      </c>
      <c r="S32" s="51">
        <v>0.25</v>
      </c>
      <c r="T32" s="51">
        <v>0.57999999999999996</v>
      </c>
      <c r="U32" s="49">
        <v>11.024200439453125</v>
      </c>
    </row>
    <row r="33" spans="1:21" ht="38.1" customHeight="1" x14ac:dyDescent="0.7">
      <c r="A33" s="56" t="s">
        <v>113</v>
      </c>
      <c r="B33" s="48" t="s">
        <v>253</v>
      </c>
      <c r="C33" s="48" t="s">
        <v>235</v>
      </c>
      <c r="D33" s="48" t="s">
        <v>254</v>
      </c>
      <c r="E33" s="48" t="s">
        <v>341</v>
      </c>
      <c r="F33" s="48" t="s">
        <v>317</v>
      </c>
      <c r="G33" s="49">
        <v>59.43</v>
      </c>
      <c r="H33" s="50">
        <v>318990.03125</v>
      </c>
      <c r="I33" s="51">
        <v>2.8345795112034805E-2</v>
      </c>
      <c r="J33" s="52">
        <v>-0.41</v>
      </c>
      <c r="K33" s="52">
        <v>-0.68520000000000003</v>
      </c>
      <c r="L33" s="52">
        <v>0.57539320000000005</v>
      </c>
      <c r="M33" s="52">
        <v>2.254</v>
      </c>
      <c r="N33" s="52">
        <v>9.8521000000000001</v>
      </c>
      <c r="O33" s="52">
        <v>20.327999999999999</v>
      </c>
      <c r="P33" s="52">
        <v>9.2061779999999995</v>
      </c>
      <c r="Q33" s="52">
        <v>36.401198999999998</v>
      </c>
      <c r="R33" s="51">
        <v>19.37</v>
      </c>
      <c r="S33" s="51">
        <v>0.17</v>
      </c>
      <c r="T33" s="51">
        <v>0.48</v>
      </c>
      <c r="U33" s="49">
        <v>10.395000457763672</v>
      </c>
    </row>
    <row r="34" spans="1:21" s="72" customFormat="1" ht="38.1" customHeight="1" x14ac:dyDescent="0.7">
      <c r="A34" s="56" t="s">
        <v>114</v>
      </c>
      <c r="B34" s="48" t="s">
        <v>256</v>
      </c>
      <c r="C34" s="48" t="s">
        <v>255</v>
      </c>
      <c r="D34" s="48" t="s">
        <v>237</v>
      </c>
      <c r="E34" s="48" t="s">
        <v>342</v>
      </c>
      <c r="F34" s="48" t="s">
        <v>317</v>
      </c>
      <c r="G34" s="49">
        <v>66.12</v>
      </c>
      <c r="H34" s="53">
        <v>8113103.5</v>
      </c>
      <c r="I34" s="51">
        <v>1.5659812925369446E-2</v>
      </c>
      <c r="J34" s="52">
        <v>1.87</v>
      </c>
      <c r="K34" s="52">
        <v>2.9104999999999999</v>
      </c>
      <c r="L34" s="52">
        <v>1.9432510000000001</v>
      </c>
      <c r="M34" s="52">
        <v>-3.4462999999999999</v>
      </c>
      <c r="N34" s="52">
        <v>7.6872999999999996</v>
      </c>
      <c r="O34" s="52">
        <v>25.68929</v>
      </c>
      <c r="P34" s="52">
        <v>6.5441630000000002</v>
      </c>
      <c r="Q34" s="52">
        <v>40.471600000000002</v>
      </c>
      <c r="R34" s="51">
        <v>19.57</v>
      </c>
      <c r="S34" s="51">
        <v>0.35</v>
      </c>
      <c r="T34" s="51">
        <v>0.11</v>
      </c>
      <c r="U34" s="49">
        <v>9.0117301940917969</v>
      </c>
    </row>
    <row r="35" spans="1:21" s="72" customFormat="1" ht="38.1" customHeight="1" x14ac:dyDescent="0.7">
      <c r="A35" s="56" t="s">
        <v>115</v>
      </c>
      <c r="B35" s="48" t="s">
        <v>257</v>
      </c>
      <c r="C35" s="48" t="s">
        <v>255</v>
      </c>
      <c r="D35" s="48" t="s">
        <v>237</v>
      </c>
      <c r="E35" s="48" t="s">
        <v>339</v>
      </c>
      <c r="F35" s="48" t="s">
        <v>317</v>
      </c>
      <c r="G35" s="49">
        <v>53.741900000000001</v>
      </c>
      <c r="H35" s="53">
        <v>7907165</v>
      </c>
      <c r="I35" s="51">
        <v>1.9272883918550511E-2</v>
      </c>
      <c r="J35" s="52">
        <v>1.4919</v>
      </c>
      <c r="K35" s="52">
        <v>2.8553000000000002</v>
      </c>
      <c r="L35" s="52">
        <v>2.1482920000000001</v>
      </c>
      <c r="M35" s="52">
        <v>-3.1852</v>
      </c>
      <c r="N35" s="52">
        <v>8.4381000000000004</v>
      </c>
      <c r="O35" s="52">
        <v>23.545639999999999</v>
      </c>
      <c r="P35" s="52">
        <v>7.2241059999999999</v>
      </c>
      <c r="Q35" s="52">
        <v>37.835098000000002</v>
      </c>
      <c r="R35" s="51">
        <v>19.02</v>
      </c>
      <c r="S35" s="51">
        <v>0.35</v>
      </c>
      <c r="T35" s="51">
        <v>0.1</v>
      </c>
      <c r="U35" s="49">
        <v>9.0950698852539062</v>
      </c>
    </row>
    <row r="36" spans="1:21" s="72" customFormat="1" ht="38.1" customHeight="1" x14ac:dyDescent="0.7">
      <c r="A36" s="56" t="s">
        <v>116</v>
      </c>
      <c r="B36" s="48" t="s">
        <v>258</v>
      </c>
      <c r="C36" s="48" t="s">
        <v>255</v>
      </c>
      <c r="D36" s="48" t="s">
        <v>212</v>
      </c>
      <c r="E36" s="48" t="s">
        <v>318</v>
      </c>
      <c r="F36" s="48" t="s">
        <v>317</v>
      </c>
      <c r="G36" s="49">
        <v>63.53</v>
      </c>
      <c r="H36" s="50">
        <v>228906.375</v>
      </c>
      <c r="I36" s="51">
        <v>9.8520977841010327E-2</v>
      </c>
      <c r="J36" s="52">
        <v>1.1399999999999999</v>
      </c>
      <c r="K36" s="52">
        <v>1.8271999999999999</v>
      </c>
      <c r="L36" s="52">
        <v>1.4694130000000001</v>
      </c>
      <c r="M36" s="52">
        <v>-1.6107</v>
      </c>
      <c r="N36" s="52">
        <v>4.9561999999999999</v>
      </c>
      <c r="O36" s="52">
        <v>14.88246</v>
      </c>
      <c r="P36" s="52">
        <v>4.0111299999999996</v>
      </c>
      <c r="Q36" s="52">
        <v>21.240500000000001</v>
      </c>
      <c r="R36" s="51">
        <v>14.32</v>
      </c>
      <c r="S36" s="51">
        <v>0.19</v>
      </c>
      <c r="T36" s="51">
        <v>0.25</v>
      </c>
      <c r="U36" s="49">
        <v>7.7714200019836426</v>
      </c>
    </row>
    <row r="37" spans="1:21" s="72" customFormat="1" ht="38.1" customHeight="1" x14ac:dyDescent="0.7">
      <c r="A37" s="56" t="s">
        <v>117</v>
      </c>
      <c r="B37" s="48" t="s">
        <v>259</v>
      </c>
      <c r="C37" s="48" t="s">
        <v>255</v>
      </c>
      <c r="D37" s="48" t="s">
        <v>214</v>
      </c>
      <c r="E37" s="48" t="s">
        <v>343</v>
      </c>
      <c r="F37" s="48" t="s">
        <v>317</v>
      </c>
      <c r="G37" s="49">
        <v>44.38</v>
      </c>
      <c r="H37" s="50">
        <v>214726.359375</v>
      </c>
      <c r="I37" s="51">
        <v>8.0477510358314075E-2</v>
      </c>
      <c r="J37" s="52">
        <v>0.8</v>
      </c>
      <c r="K37" s="52">
        <v>1.8357000000000001</v>
      </c>
      <c r="L37" s="52">
        <v>2.2345090000000001</v>
      </c>
      <c r="M37" s="52">
        <v>4.3743999999999996</v>
      </c>
      <c r="N37" s="52">
        <v>7.2240000000000002</v>
      </c>
      <c r="O37" s="52">
        <v>19.94595</v>
      </c>
      <c r="P37" s="52">
        <v>7.8755490000000004</v>
      </c>
      <c r="Q37" s="52">
        <v>17.500699999999998</v>
      </c>
      <c r="R37" s="51">
        <v>20.239999999999998</v>
      </c>
      <c r="S37" s="51">
        <v>0.08</v>
      </c>
      <c r="T37" s="51">
        <v>0.63</v>
      </c>
      <c r="U37" s="49">
        <v>9.023289680480957</v>
      </c>
    </row>
    <row r="38" spans="1:21" s="72" customFormat="1" ht="38.1" customHeight="1" x14ac:dyDescent="0.7">
      <c r="A38" s="56" t="s">
        <v>118</v>
      </c>
      <c r="B38" s="48" t="s">
        <v>260</v>
      </c>
      <c r="C38" s="48" t="s">
        <v>255</v>
      </c>
      <c r="D38" s="48" t="s">
        <v>261</v>
      </c>
      <c r="E38" s="48" t="s">
        <v>344</v>
      </c>
      <c r="F38" s="48" t="s">
        <v>317</v>
      </c>
      <c r="G38" s="49">
        <v>93.33</v>
      </c>
      <c r="H38" s="50">
        <v>92500.507813000004</v>
      </c>
      <c r="I38" s="51">
        <v>0.21748259758714647</v>
      </c>
      <c r="J38" s="52">
        <v>2.68</v>
      </c>
      <c r="K38" s="52">
        <v>2.9563999999999999</v>
      </c>
      <c r="L38" s="52">
        <v>1.1378429999999999</v>
      </c>
      <c r="M38" s="52">
        <v>-4.7263999999999999</v>
      </c>
      <c r="N38" s="52">
        <v>8.2965999999999998</v>
      </c>
      <c r="O38" s="52">
        <v>25.023440000000001</v>
      </c>
      <c r="P38" s="52">
        <v>6.6872389999999999</v>
      </c>
      <c r="Q38" s="52">
        <v>44.787498999999997</v>
      </c>
      <c r="R38" s="51">
        <v>18.579999999999998</v>
      </c>
      <c r="S38" s="51">
        <v>0.5</v>
      </c>
      <c r="T38" s="51">
        <v>0.5</v>
      </c>
      <c r="U38" s="49">
        <v>10.496000289916992</v>
      </c>
    </row>
    <row r="39" spans="1:21" s="72" customFormat="1" ht="38.1" customHeight="1" x14ac:dyDescent="0.7">
      <c r="A39" s="56" t="s">
        <v>119</v>
      </c>
      <c r="B39" s="48" t="s">
        <v>262</v>
      </c>
      <c r="C39" s="48" t="s">
        <v>255</v>
      </c>
      <c r="D39" s="48" t="s">
        <v>263</v>
      </c>
      <c r="E39" s="48" t="s">
        <v>345</v>
      </c>
      <c r="F39" s="48" t="s">
        <v>317</v>
      </c>
      <c r="G39" s="49">
        <v>57.06</v>
      </c>
      <c r="H39" s="50">
        <v>27260.041015999999</v>
      </c>
      <c r="I39" s="51">
        <v>0.50667832925558831</v>
      </c>
      <c r="J39" s="52">
        <v>1.41</v>
      </c>
      <c r="K39" s="52">
        <v>2.5337000000000001</v>
      </c>
      <c r="L39" s="52">
        <v>1.17021</v>
      </c>
      <c r="M39" s="52">
        <v>0.59940000000000004</v>
      </c>
      <c r="N39" s="52">
        <v>8.8483000000000001</v>
      </c>
      <c r="O39" s="52">
        <v>29.770289999999999</v>
      </c>
      <c r="P39" s="52">
        <v>8.0477150000000002</v>
      </c>
      <c r="Q39" s="52">
        <v>47.862099000000001</v>
      </c>
      <c r="R39" s="51">
        <v>22.37</v>
      </c>
      <c r="S39" s="51">
        <v>0.25</v>
      </c>
      <c r="T39" s="51">
        <v>0.69</v>
      </c>
      <c r="U39" s="49">
        <v>8.5261697769165039</v>
      </c>
    </row>
    <row r="40" spans="1:21" s="72" customFormat="1" ht="38.1" customHeight="1" x14ac:dyDescent="0.7">
      <c r="A40" s="56" t="s">
        <v>120</v>
      </c>
      <c r="B40" s="48" t="s">
        <v>264</v>
      </c>
      <c r="C40" s="48" t="s">
        <v>255</v>
      </c>
      <c r="D40" s="48" t="s">
        <v>265</v>
      </c>
      <c r="E40" s="48" t="s">
        <v>346</v>
      </c>
      <c r="F40" s="48" t="s">
        <v>317</v>
      </c>
      <c r="G40" s="49">
        <v>86.81</v>
      </c>
      <c r="H40" s="53">
        <v>3189926.25</v>
      </c>
      <c r="I40" s="51">
        <v>1.3090876622033032E-2</v>
      </c>
      <c r="J40" s="52">
        <v>3.69</v>
      </c>
      <c r="K40" s="52">
        <v>4.4394</v>
      </c>
      <c r="L40" s="52">
        <v>1.8898900000000001</v>
      </c>
      <c r="M40" s="52">
        <v>-8.6691000000000003</v>
      </c>
      <c r="N40" s="52">
        <v>8.0397999999999996</v>
      </c>
      <c r="O40" s="52">
        <v>19.34552</v>
      </c>
      <c r="P40" s="52">
        <v>7.200196</v>
      </c>
      <c r="Q40" s="52">
        <v>40.106498999999999</v>
      </c>
      <c r="R40" s="51">
        <v>20.51</v>
      </c>
      <c r="S40" s="51">
        <v>0.47</v>
      </c>
      <c r="T40" s="51">
        <v>0.59</v>
      </c>
      <c r="U40" s="49">
        <v>8.7245998382568359</v>
      </c>
    </row>
    <row r="41" spans="1:21" s="72" customFormat="1" ht="38.1" customHeight="1" x14ac:dyDescent="0.7">
      <c r="A41" s="56" t="s">
        <v>121</v>
      </c>
      <c r="B41" s="48" t="s">
        <v>266</v>
      </c>
      <c r="C41" s="48" t="s">
        <v>255</v>
      </c>
      <c r="D41" s="48" t="s">
        <v>267</v>
      </c>
      <c r="E41" s="48" t="s">
        <v>347</v>
      </c>
      <c r="F41" s="48" t="s">
        <v>317</v>
      </c>
      <c r="G41" s="49">
        <v>45.27</v>
      </c>
      <c r="H41" s="50">
        <v>167227.578125</v>
      </c>
      <c r="I41" s="51">
        <v>0.13075030529927001</v>
      </c>
      <c r="J41" s="52">
        <v>1.45</v>
      </c>
      <c r="K41" s="52">
        <v>3.3090000000000002</v>
      </c>
      <c r="L41" s="52">
        <v>-1.1140209999999999</v>
      </c>
      <c r="M41" s="52">
        <v>-13.2592</v>
      </c>
      <c r="N41" s="52">
        <v>3.4034</v>
      </c>
      <c r="O41" s="52">
        <v>15.691280000000001</v>
      </c>
      <c r="P41" s="52">
        <v>-1.351056</v>
      </c>
      <c r="Q41" s="52">
        <v>34.531899000000003</v>
      </c>
      <c r="R41" s="51">
        <v>22.33</v>
      </c>
      <c r="S41" s="51">
        <v>0.55000000000000004</v>
      </c>
      <c r="T41" s="51">
        <v>0.59</v>
      </c>
      <c r="U41" s="49">
        <v>10.282899856567383</v>
      </c>
    </row>
    <row r="42" spans="1:21" s="72" customFormat="1" ht="38.1" customHeight="1" x14ac:dyDescent="0.7">
      <c r="A42" s="56" t="s">
        <v>122</v>
      </c>
      <c r="B42" s="48" t="s">
        <v>269</v>
      </c>
      <c r="C42" s="48" t="s">
        <v>268</v>
      </c>
      <c r="D42" s="48" t="s">
        <v>270</v>
      </c>
      <c r="E42" s="48" t="s">
        <v>348</v>
      </c>
      <c r="F42" s="48" t="s">
        <v>317</v>
      </c>
      <c r="G42" s="49">
        <v>28.34</v>
      </c>
      <c r="H42" s="50">
        <v>804912.625</v>
      </c>
      <c r="I42" s="51">
        <v>3.7694824016146794E-2</v>
      </c>
      <c r="J42" s="52">
        <v>0.9</v>
      </c>
      <c r="K42" s="52">
        <v>3.2799</v>
      </c>
      <c r="L42" s="52">
        <v>3.8489710000000001</v>
      </c>
      <c r="M42" s="52">
        <v>-2.0733000000000001</v>
      </c>
      <c r="N42" s="52">
        <v>-3.5398000000000001</v>
      </c>
      <c r="O42" s="52">
        <v>26.699459999999998</v>
      </c>
      <c r="P42" s="52">
        <v>-3.4752990000000001</v>
      </c>
      <c r="Q42" s="52">
        <v>15.437900000000001</v>
      </c>
      <c r="R42" s="51">
        <v>34.32</v>
      </c>
      <c r="S42" s="51">
        <v>-0.12</v>
      </c>
      <c r="T42" s="51">
        <v>0.48</v>
      </c>
      <c r="U42" s="49">
        <v>3.2403600215911865</v>
      </c>
    </row>
    <row r="43" spans="1:21" ht="38.1" customHeight="1" x14ac:dyDescent="0.7">
      <c r="A43" s="56" t="s">
        <v>123</v>
      </c>
      <c r="B43" s="48" t="s">
        <v>271</v>
      </c>
      <c r="C43" s="48" t="s">
        <v>268</v>
      </c>
      <c r="D43" s="48" t="s">
        <v>272</v>
      </c>
      <c r="E43" s="48" t="s">
        <v>349</v>
      </c>
      <c r="F43" s="48" t="s">
        <v>317</v>
      </c>
      <c r="G43" s="49">
        <v>33.710500000000003</v>
      </c>
      <c r="H43" s="50">
        <v>23279660</v>
      </c>
      <c r="I43" s="51">
        <v>3.1298980655842072E-2</v>
      </c>
      <c r="J43" s="52">
        <v>1.3805000000000001</v>
      </c>
      <c r="K43" s="52">
        <v>4.2699999999999996</v>
      </c>
      <c r="L43" s="52">
        <v>2.1521620000000001</v>
      </c>
      <c r="M43" s="52">
        <v>-5.5728</v>
      </c>
      <c r="N43" s="52">
        <v>-9.8408999999999995</v>
      </c>
      <c r="O43" s="52">
        <v>11.997339999999999</v>
      </c>
      <c r="P43" s="52">
        <v>-9.0909080000000007</v>
      </c>
      <c r="Q43" s="52">
        <v>2.7446000000000002</v>
      </c>
      <c r="R43" s="51">
        <v>40.4</v>
      </c>
      <c r="S43" s="51">
        <v>-0.05</v>
      </c>
      <c r="T43" s="51">
        <v>0.59</v>
      </c>
      <c r="U43" s="49">
        <v>7.8341999053955078</v>
      </c>
    </row>
    <row r="44" spans="1:21" ht="38.1" customHeight="1" x14ac:dyDescent="0.7">
      <c r="A44" s="56" t="s">
        <v>124</v>
      </c>
      <c r="B44" s="48" t="s">
        <v>273</v>
      </c>
      <c r="C44" s="48" t="s">
        <v>268</v>
      </c>
      <c r="D44" s="48" t="s">
        <v>274</v>
      </c>
      <c r="E44" s="48" t="s">
        <v>350</v>
      </c>
      <c r="F44" s="48" t="s">
        <v>317</v>
      </c>
      <c r="G44" s="49">
        <v>43.98</v>
      </c>
      <c r="H44" s="50">
        <v>1890077.125</v>
      </c>
      <c r="I44" s="51">
        <v>2.6384739617242314E-2</v>
      </c>
      <c r="J44" s="52">
        <v>0.52</v>
      </c>
      <c r="K44" s="52">
        <v>1.1964999999999999</v>
      </c>
      <c r="L44" s="52">
        <v>5.6730809999999998</v>
      </c>
      <c r="M44" s="52">
        <v>2.9977</v>
      </c>
      <c r="N44" s="52">
        <v>3.1425999999999998</v>
      </c>
      <c r="O44" s="52">
        <v>30.989270000000001</v>
      </c>
      <c r="P44" s="52">
        <v>2.256335</v>
      </c>
      <c r="Q44" s="52">
        <v>16.596001000000001</v>
      </c>
      <c r="R44" s="51">
        <v>29.96</v>
      </c>
      <c r="S44" s="51">
        <v>-0.04</v>
      </c>
      <c r="T44" s="51">
        <v>0.49</v>
      </c>
      <c r="U44" s="49">
        <v>6.5074901580810547</v>
      </c>
    </row>
    <row r="45" spans="1:21" ht="38.1" customHeight="1" x14ac:dyDescent="0.7">
      <c r="A45" s="56" t="s">
        <v>125</v>
      </c>
      <c r="B45" s="48" t="s">
        <v>275</v>
      </c>
      <c r="C45" s="48" t="s">
        <v>268</v>
      </c>
      <c r="D45" s="48" t="s">
        <v>276</v>
      </c>
      <c r="E45" s="48" t="s">
        <v>351</v>
      </c>
      <c r="F45" s="48" t="s">
        <v>317</v>
      </c>
      <c r="G45" s="49">
        <v>29.8187</v>
      </c>
      <c r="H45" s="50">
        <v>11928.400390999999</v>
      </c>
      <c r="I45" s="51">
        <v>0.80939483159188585</v>
      </c>
      <c r="J45" s="52">
        <v>1.2286999999999999</v>
      </c>
      <c r="K45" s="52">
        <v>4.2976999999999999</v>
      </c>
      <c r="L45" s="52">
        <v>5.9655319999999996</v>
      </c>
      <c r="M45" s="52">
        <v>-5.2773000000000003</v>
      </c>
      <c r="N45" s="52">
        <v>0.87519999999999998</v>
      </c>
      <c r="O45" s="52">
        <v>21.413129999999999</v>
      </c>
      <c r="P45" s="52">
        <v>-1.847594</v>
      </c>
      <c r="Q45" s="52">
        <v>40.455502000000003</v>
      </c>
      <c r="R45" s="51">
        <v>40.729999999999997</v>
      </c>
      <c r="S45" s="51">
        <v>0</v>
      </c>
      <c r="T45" s="51">
        <v>0.6</v>
      </c>
      <c r="U45" s="49">
        <v>3.6822700500488281</v>
      </c>
    </row>
    <row r="46" spans="1:21" ht="38.1" customHeight="1" x14ac:dyDescent="0.7">
      <c r="A46" s="56" t="s">
        <v>126</v>
      </c>
      <c r="B46" s="48" t="s">
        <v>278</v>
      </c>
      <c r="C46" s="48" t="s">
        <v>277</v>
      </c>
      <c r="D46" s="48" t="s">
        <v>279</v>
      </c>
      <c r="E46" s="48" t="s">
        <v>352</v>
      </c>
      <c r="F46" s="48" t="s">
        <v>317</v>
      </c>
      <c r="G46" s="49">
        <v>128.08000000000001</v>
      </c>
      <c r="H46" s="50">
        <v>10748336</v>
      </c>
      <c r="I46" s="51">
        <v>4.9451686170108311E-2</v>
      </c>
      <c r="J46" s="52">
        <v>6.89</v>
      </c>
      <c r="K46" s="52">
        <v>5.6852999999999998</v>
      </c>
      <c r="L46" s="52">
        <v>9.3704619999999998</v>
      </c>
      <c r="M46" s="52">
        <v>-16.342300000000002</v>
      </c>
      <c r="N46" s="52">
        <v>3.9331999999999998</v>
      </c>
      <c r="O46" s="52">
        <v>52.411859999999997</v>
      </c>
      <c r="P46" s="52">
        <v>2.8516360000000001</v>
      </c>
      <c r="Q46" s="52">
        <v>159.98699999999999</v>
      </c>
      <c r="R46" s="51">
        <v>36.479999999999997</v>
      </c>
      <c r="S46" s="51">
        <v>1.26</v>
      </c>
      <c r="T46" s="51">
        <v>0.75</v>
      </c>
      <c r="U46" s="49"/>
    </row>
    <row r="47" spans="1:21" ht="38.1" customHeight="1" x14ac:dyDescent="0.7">
      <c r="A47" s="56" t="s">
        <v>127</v>
      </c>
      <c r="B47" s="48" t="s">
        <v>280</v>
      </c>
      <c r="C47" s="48" t="s">
        <v>277</v>
      </c>
      <c r="D47" s="48" t="s">
        <v>281</v>
      </c>
      <c r="E47" s="48" t="s">
        <v>353</v>
      </c>
      <c r="F47" s="48" t="s">
        <v>317</v>
      </c>
      <c r="G47" s="49">
        <v>51.36</v>
      </c>
      <c r="H47" s="50">
        <v>464306.9375</v>
      </c>
      <c r="I47" s="51">
        <v>0.16528450166674064</v>
      </c>
      <c r="J47" s="52">
        <v>2.38</v>
      </c>
      <c r="K47" s="52">
        <v>4.8590999999999998</v>
      </c>
      <c r="L47" s="52">
        <v>5.8096399999999999</v>
      </c>
      <c r="M47" s="52">
        <v>-14.2285</v>
      </c>
      <c r="N47" s="52">
        <v>1.5421</v>
      </c>
      <c r="O47" s="52">
        <v>29.077649999999998</v>
      </c>
      <c r="P47" s="52">
        <v>-4.1433400000000002</v>
      </c>
      <c r="Q47" s="52">
        <v>106.513901</v>
      </c>
      <c r="R47" s="51"/>
      <c r="S47" s="51"/>
      <c r="T47" s="51">
        <v>0.45</v>
      </c>
      <c r="U47" s="49"/>
    </row>
    <row r="48" spans="1:21" ht="38.1" customHeight="1" x14ac:dyDescent="0.7">
      <c r="A48" s="56" t="s">
        <v>128</v>
      </c>
      <c r="B48" s="48" t="s">
        <v>282</v>
      </c>
      <c r="C48" s="48" t="s">
        <v>277</v>
      </c>
      <c r="D48" s="48" t="s">
        <v>283</v>
      </c>
      <c r="E48" s="48" t="s">
        <v>354</v>
      </c>
      <c r="F48" s="48" t="s">
        <v>317</v>
      </c>
      <c r="G48" s="49">
        <v>86.53</v>
      </c>
      <c r="H48" s="50">
        <v>1641430.875</v>
      </c>
      <c r="I48" s="51">
        <v>8.6512615114021044E-2</v>
      </c>
      <c r="J48" s="52">
        <v>3.94</v>
      </c>
      <c r="K48" s="52">
        <v>4.7706</v>
      </c>
      <c r="L48" s="52">
        <v>7.5612440000000003</v>
      </c>
      <c r="M48" s="52">
        <v>-11.3513</v>
      </c>
      <c r="N48" s="52">
        <v>23.143899999999999</v>
      </c>
      <c r="O48" s="52">
        <v>52.791600000000003</v>
      </c>
      <c r="P48" s="52">
        <v>13.37003</v>
      </c>
      <c r="Q48" s="52">
        <v>146.73370399999999</v>
      </c>
      <c r="R48" s="51">
        <v>29.59</v>
      </c>
      <c r="S48" s="51">
        <v>1.17</v>
      </c>
      <c r="T48" s="51">
        <v>0.75</v>
      </c>
      <c r="U48" s="49"/>
    </row>
    <row r="49" spans="1:21" ht="38.1" customHeight="1" x14ac:dyDescent="0.7">
      <c r="A49" s="56" t="s">
        <v>129</v>
      </c>
      <c r="B49" s="48" t="s">
        <v>284</v>
      </c>
      <c r="C49" s="48" t="s">
        <v>277</v>
      </c>
      <c r="D49" s="48" t="s">
        <v>285</v>
      </c>
      <c r="E49" s="48" t="s">
        <v>355</v>
      </c>
      <c r="F49" s="48" t="s">
        <v>317</v>
      </c>
      <c r="G49" s="49">
        <v>25.4633</v>
      </c>
      <c r="H49" s="50">
        <v>6589769</v>
      </c>
      <c r="I49" s="51">
        <v>4.6212782190792237E-2</v>
      </c>
      <c r="J49" s="52">
        <v>1.3432999999999999</v>
      </c>
      <c r="K49" s="52">
        <v>5.5692000000000004</v>
      </c>
      <c r="L49" s="52">
        <v>10.83065</v>
      </c>
      <c r="M49" s="52">
        <v>-17.3001</v>
      </c>
      <c r="N49" s="52">
        <v>8.3544999999999998</v>
      </c>
      <c r="O49" s="52">
        <v>57.243969999999997</v>
      </c>
      <c r="P49" s="52">
        <v>-9.8519819999999996</v>
      </c>
      <c r="Q49" s="52">
        <v>120.270798</v>
      </c>
      <c r="R49" s="51">
        <v>31.56</v>
      </c>
      <c r="S49" s="51">
        <v>1.25</v>
      </c>
      <c r="T49" s="51">
        <v>0.46</v>
      </c>
      <c r="U49" s="49">
        <v>3.7077000141143799</v>
      </c>
    </row>
    <row r="50" spans="1:21" ht="38.1" customHeight="1" x14ac:dyDescent="0.7">
      <c r="A50" s="56" t="s">
        <v>130</v>
      </c>
      <c r="B50" s="48" t="s">
        <v>286</v>
      </c>
      <c r="C50" s="48" t="s">
        <v>277</v>
      </c>
      <c r="D50" s="48" t="s">
        <v>287</v>
      </c>
      <c r="E50" s="48" t="s">
        <v>356</v>
      </c>
      <c r="F50" s="48" t="s">
        <v>317</v>
      </c>
      <c r="G50" s="49">
        <v>54.69</v>
      </c>
      <c r="H50" s="50">
        <v>3736809.5</v>
      </c>
      <c r="I50" s="51">
        <v>9.2465343645952977E-2</v>
      </c>
      <c r="J50" s="52">
        <v>3.01</v>
      </c>
      <c r="K50" s="52">
        <v>5.8243</v>
      </c>
      <c r="L50" s="52">
        <v>7.2213520000000004</v>
      </c>
      <c r="M50" s="52">
        <v>-9.4085999999999999</v>
      </c>
      <c r="N50" s="52">
        <v>14.0565</v>
      </c>
      <c r="O50" s="52">
        <v>47.631720000000001</v>
      </c>
      <c r="P50" s="52">
        <v>9.9175240000000002</v>
      </c>
      <c r="Q50" s="52">
        <v>137.745407</v>
      </c>
      <c r="R50" s="51"/>
      <c r="S50" s="51"/>
      <c r="T50" s="51">
        <v>0.75</v>
      </c>
      <c r="U50" s="49"/>
    </row>
    <row r="51" spans="1:21" ht="38.1" customHeight="1" x14ac:dyDescent="0.7">
      <c r="A51" s="56" t="s">
        <v>131</v>
      </c>
      <c r="B51" s="48" t="s">
        <v>288</v>
      </c>
      <c r="C51" s="48" t="s">
        <v>277</v>
      </c>
      <c r="D51" s="48" t="s">
        <v>289</v>
      </c>
      <c r="E51" s="48" t="s">
        <v>357</v>
      </c>
      <c r="F51" s="48" t="s">
        <v>317</v>
      </c>
      <c r="G51" s="49">
        <v>87.06</v>
      </c>
      <c r="H51" s="50">
        <v>1506922.125</v>
      </c>
      <c r="I51" s="51">
        <v>7.0976362034602641E-2</v>
      </c>
      <c r="J51" s="52">
        <v>5.09</v>
      </c>
      <c r="K51" s="52">
        <v>6.2096</v>
      </c>
      <c r="L51" s="52">
        <v>2.6290969999999998</v>
      </c>
      <c r="M51" s="52">
        <v>-12.887700000000001</v>
      </c>
      <c r="N51" s="52">
        <v>12.7136</v>
      </c>
      <c r="O51" s="52">
        <v>30.29487</v>
      </c>
      <c r="P51" s="52">
        <v>13.36111</v>
      </c>
      <c r="Q51" s="52">
        <v>78.511398</v>
      </c>
      <c r="R51" s="51">
        <v>27.29</v>
      </c>
      <c r="S51" s="51">
        <v>0.55000000000000004</v>
      </c>
      <c r="T51" s="51">
        <v>0.73</v>
      </c>
      <c r="U51" s="49">
        <v>5.7359399795532227</v>
      </c>
    </row>
    <row r="52" spans="1:21" ht="38.1" customHeight="1" x14ac:dyDescent="0.7">
      <c r="A52" s="56" t="s">
        <v>132</v>
      </c>
      <c r="B52" s="48" t="s">
        <v>290</v>
      </c>
      <c r="C52" s="48" t="s">
        <v>277</v>
      </c>
      <c r="D52" s="48" t="s">
        <v>291</v>
      </c>
      <c r="E52" s="48" t="s">
        <v>358</v>
      </c>
      <c r="F52" s="48" t="s">
        <v>317</v>
      </c>
      <c r="G52" s="49">
        <v>69.75</v>
      </c>
      <c r="H52" s="50">
        <v>341523.09375</v>
      </c>
      <c r="I52" s="51">
        <v>0.15049235738700392</v>
      </c>
      <c r="J52" s="52">
        <v>3.82</v>
      </c>
      <c r="K52" s="52">
        <v>5.7939999999999996</v>
      </c>
      <c r="L52" s="52">
        <v>3.609626</v>
      </c>
      <c r="M52" s="52">
        <v>-11.6753</v>
      </c>
      <c r="N52" s="52">
        <v>11.940300000000001</v>
      </c>
      <c r="O52" s="52">
        <v>36.203870000000002</v>
      </c>
      <c r="P52" s="52">
        <v>9.7043060000000008</v>
      </c>
      <c r="Q52" s="52">
        <v>102.23249800000001</v>
      </c>
      <c r="R52" s="51">
        <v>25.29</v>
      </c>
      <c r="S52" s="51">
        <v>0.82</v>
      </c>
      <c r="T52" s="51">
        <v>0.86</v>
      </c>
      <c r="U52" s="49">
        <v>5.5317201614379883</v>
      </c>
    </row>
    <row r="53" spans="1:21" ht="38.1" customHeight="1" x14ac:dyDescent="0.7">
      <c r="A53" s="56" t="s">
        <v>133</v>
      </c>
      <c r="B53" s="48" t="s">
        <v>293</v>
      </c>
      <c r="C53" s="48" t="s">
        <v>385</v>
      </c>
      <c r="D53" s="48" t="s">
        <v>237</v>
      </c>
      <c r="E53" s="48" t="s">
        <v>359</v>
      </c>
      <c r="F53" s="48" t="s">
        <v>317</v>
      </c>
      <c r="G53" s="49">
        <v>17.45</v>
      </c>
      <c r="H53" s="50">
        <v>1895093.875</v>
      </c>
      <c r="I53" s="51">
        <v>5.8410982240438725E-2</v>
      </c>
      <c r="J53" s="52">
        <v>0.21</v>
      </c>
      <c r="K53" s="52">
        <v>1.2181</v>
      </c>
      <c r="L53" s="52">
        <v>0.45998359999999999</v>
      </c>
      <c r="M53" s="52">
        <v>8.0495000000000001</v>
      </c>
      <c r="N53" s="52">
        <v>22.198899999999998</v>
      </c>
      <c r="O53" s="52">
        <v>35.27055</v>
      </c>
      <c r="P53" s="52">
        <v>18.706800000000001</v>
      </c>
      <c r="Q53" s="52">
        <v>37.293498999999997</v>
      </c>
      <c r="R53" s="51">
        <v>20.23</v>
      </c>
      <c r="S53" s="51">
        <v>0.09</v>
      </c>
      <c r="T53" s="51">
        <v>0.88</v>
      </c>
      <c r="U53" s="49">
        <v>2.1894900798797607</v>
      </c>
    </row>
    <row r="54" spans="1:21" ht="38.1" customHeight="1" x14ac:dyDescent="0.7">
      <c r="A54" s="56" t="s">
        <v>134</v>
      </c>
      <c r="B54" s="48" t="s">
        <v>294</v>
      </c>
      <c r="C54" s="48" t="s">
        <v>385</v>
      </c>
      <c r="D54" s="48" t="s">
        <v>295</v>
      </c>
      <c r="E54" s="48" t="s">
        <v>360</v>
      </c>
      <c r="F54" s="48" t="s">
        <v>317</v>
      </c>
      <c r="G54" s="49">
        <v>22.731999999999999</v>
      </c>
      <c r="H54" s="50">
        <v>93379.570313000004</v>
      </c>
      <c r="I54" s="51">
        <v>0.13288820013959404</v>
      </c>
      <c r="J54" s="52">
        <v>0.32200000000000001</v>
      </c>
      <c r="K54" s="52">
        <v>1.4369000000000001</v>
      </c>
      <c r="L54" s="52">
        <v>8.8009579999999994E-3</v>
      </c>
      <c r="M54" s="52">
        <v>12.757899999999999</v>
      </c>
      <c r="N54" s="52">
        <v>35.875700000000002</v>
      </c>
      <c r="O54" s="52">
        <v>56.880609999999997</v>
      </c>
      <c r="P54" s="52">
        <v>32.239669999999997</v>
      </c>
      <c r="Q54" s="52">
        <v>49.062302000000003</v>
      </c>
      <c r="R54" s="51">
        <v>40.18</v>
      </c>
      <c r="S54" s="51">
        <v>0.17</v>
      </c>
      <c r="T54" s="51">
        <v>0.79</v>
      </c>
      <c r="U54" s="49"/>
    </row>
    <row r="55" spans="1:21" ht="38.1" customHeight="1" x14ac:dyDescent="0.7">
      <c r="A55" s="56" t="s">
        <v>135</v>
      </c>
      <c r="B55" s="48" t="s">
        <v>296</v>
      </c>
      <c r="C55" s="48" t="s">
        <v>385</v>
      </c>
      <c r="D55" s="48" t="s">
        <v>297</v>
      </c>
      <c r="E55" s="48" t="s">
        <v>361</v>
      </c>
      <c r="F55" s="48" t="s">
        <v>317</v>
      </c>
      <c r="G55" s="49">
        <v>161.52000000000001</v>
      </c>
      <c r="H55" s="50">
        <v>7408972.5</v>
      </c>
      <c r="I55" s="51">
        <v>7.012474977689637E-3</v>
      </c>
      <c r="J55" s="52">
        <v>-0.14000000000000001</v>
      </c>
      <c r="K55" s="52">
        <v>-8.6599999999999996E-2</v>
      </c>
      <c r="L55" s="52">
        <v>1.482971</v>
      </c>
      <c r="M55" s="52">
        <v>-6.4790999999999999</v>
      </c>
      <c r="N55" s="52">
        <v>-6.1856999999999998</v>
      </c>
      <c r="O55" s="52">
        <v>-11.4826</v>
      </c>
      <c r="P55" s="52">
        <v>-9.4527920000000005</v>
      </c>
      <c r="Q55" s="52">
        <v>4.5571999999999999</v>
      </c>
      <c r="R55" s="51">
        <v>13.92</v>
      </c>
      <c r="S55" s="51">
        <v>0.57999999999999996</v>
      </c>
      <c r="T55" s="51">
        <v>0.4</v>
      </c>
      <c r="U55" s="49">
        <v>5.3573498725891113</v>
      </c>
    </row>
    <row r="56" spans="1:21" ht="38.1" customHeight="1" x14ac:dyDescent="0.7">
      <c r="A56" s="56" t="s">
        <v>136</v>
      </c>
      <c r="B56" s="48" t="s">
        <v>298</v>
      </c>
      <c r="C56" s="48" t="s">
        <v>385</v>
      </c>
      <c r="D56" s="48" t="s">
        <v>299</v>
      </c>
      <c r="E56" s="48"/>
      <c r="F56" s="48" t="s">
        <v>317</v>
      </c>
      <c r="G56" s="49">
        <v>17.989899999999999</v>
      </c>
      <c r="H56" s="50">
        <v>746004.25</v>
      </c>
      <c r="I56" s="51">
        <v>7.3729416093204853E-2</v>
      </c>
      <c r="J56" s="52">
        <v>-1.01E-2</v>
      </c>
      <c r="K56" s="52">
        <v>-5.6099999999999997E-2</v>
      </c>
      <c r="L56" s="52">
        <v>3.1530930000000001</v>
      </c>
      <c r="M56" s="52">
        <v>-6.3513999999999999</v>
      </c>
      <c r="N56" s="52">
        <v>0.16650000000000001</v>
      </c>
      <c r="O56" s="52">
        <v>-9.5530390000000001</v>
      </c>
      <c r="P56" s="52">
        <v>-7.0289419999999998</v>
      </c>
      <c r="Q56" s="52">
        <v>19.375601</v>
      </c>
      <c r="R56" s="51">
        <v>19.03</v>
      </c>
      <c r="S56" s="51">
        <v>0.57999999999999996</v>
      </c>
      <c r="T56" s="51"/>
      <c r="U56" s="49"/>
    </row>
    <row r="57" spans="1:21" ht="38.1" customHeight="1" x14ac:dyDescent="0.7">
      <c r="A57" s="56" t="s">
        <v>137</v>
      </c>
      <c r="B57" s="48" t="s">
        <v>300</v>
      </c>
      <c r="C57" s="48" t="s">
        <v>385</v>
      </c>
      <c r="D57" s="48" t="s">
        <v>301</v>
      </c>
      <c r="E57" s="48" t="s">
        <v>362</v>
      </c>
      <c r="F57" s="48" t="s">
        <v>317</v>
      </c>
      <c r="G57" s="49">
        <v>32.85</v>
      </c>
      <c r="H57" s="53">
        <v>14368542</v>
      </c>
      <c r="I57" s="51">
        <v>3.1582716469844986E-2</v>
      </c>
      <c r="J57" s="52">
        <v>0.42</v>
      </c>
      <c r="K57" s="52">
        <v>1.2950999999999999</v>
      </c>
      <c r="L57" s="52">
        <v>3.351162</v>
      </c>
      <c r="M57" s="52">
        <v>-6.8878000000000004</v>
      </c>
      <c r="N57" s="52">
        <v>-6.7820999999999998</v>
      </c>
      <c r="O57" s="52">
        <v>-20.201650000000001</v>
      </c>
      <c r="P57" s="52">
        <v>-8.8145489999999995</v>
      </c>
      <c r="Q57" s="52">
        <v>19.497999</v>
      </c>
      <c r="R57" s="51">
        <v>35.07</v>
      </c>
      <c r="S57" s="51">
        <v>0.49</v>
      </c>
      <c r="T57" s="51">
        <v>0.52</v>
      </c>
      <c r="U57" s="49">
        <v>11.519599914550781</v>
      </c>
    </row>
    <row r="58" spans="1:21" ht="38.1" customHeight="1" x14ac:dyDescent="0.7">
      <c r="A58" s="56" t="s">
        <v>138</v>
      </c>
      <c r="B58" s="48" t="s">
        <v>302</v>
      </c>
      <c r="C58" s="48" t="s">
        <v>385</v>
      </c>
      <c r="D58" s="48" t="s">
        <v>303</v>
      </c>
      <c r="E58" s="48" t="s">
        <v>363</v>
      </c>
      <c r="F58" s="48" t="s">
        <v>317</v>
      </c>
      <c r="G58" s="49">
        <v>32.11</v>
      </c>
      <c r="H58" s="50">
        <v>141252.96875</v>
      </c>
      <c r="I58" s="51">
        <v>0.10740377887934371</v>
      </c>
      <c r="J58" s="52">
        <v>0.24</v>
      </c>
      <c r="K58" s="52">
        <v>0.75309999999999999</v>
      </c>
      <c r="L58" s="52">
        <v>0.50062870000000004</v>
      </c>
      <c r="M58" s="52">
        <v>-1.4123000000000001</v>
      </c>
      <c r="N58" s="52">
        <v>-0.49580000000000002</v>
      </c>
      <c r="O58" s="52">
        <v>3.8473959999999998</v>
      </c>
      <c r="P58" s="52">
        <v>0.59505070000000004</v>
      </c>
      <c r="Q58" s="52">
        <v>7.9328000000000003</v>
      </c>
      <c r="R58" s="51">
        <v>5.82</v>
      </c>
      <c r="S58" s="51">
        <v>0.36</v>
      </c>
      <c r="T58" s="51">
        <v>0.78</v>
      </c>
      <c r="U58" s="49">
        <v>1.2487599849700928</v>
      </c>
    </row>
  </sheetData>
  <printOptions horizontalCentered="1" verticalCentered="1"/>
  <pageMargins left="0" right="0" top="0" bottom="0" header="0" footer="0"/>
  <pageSetup paperSize="3" scale="26" orientation="landscape" r:id="rId1"/>
  <rowBreaks count="1" manualBreakCount="1">
    <brk id="22" max="19" man="1"/>
  </rowBreaks>
  <colBreaks count="1" manualBreakCount="1">
    <brk id="2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6"/>
  <sheetViews>
    <sheetView topLeftCell="C1" zoomScale="25" zoomScaleNormal="25" zoomScaleSheetLayoutView="25" workbookViewId="0">
      <selection activeCell="A2" sqref="A2:U26"/>
    </sheetView>
  </sheetViews>
  <sheetFormatPr baseColWidth="10" defaultColWidth="66.85546875" defaultRowHeight="38.1" customHeight="1" x14ac:dyDescent="0.7"/>
  <cols>
    <col min="1" max="1" width="66.85546875" style="82"/>
    <col min="2" max="2" width="139.42578125" style="76" customWidth="1"/>
    <col min="3" max="3" width="113.140625" style="76" customWidth="1"/>
    <col min="4" max="4" width="81.85546875" style="76" customWidth="1"/>
    <col min="5" max="5" width="41.7109375" style="76" customWidth="1"/>
    <col min="6" max="6" width="33.85546875" style="76" customWidth="1"/>
    <col min="7" max="7" width="23" style="76" bestFit="1" customWidth="1"/>
    <col min="8" max="8" width="50.140625" style="76" customWidth="1"/>
    <col min="9" max="9" width="47" style="76" customWidth="1"/>
    <col min="10" max="10" width="24.7109375" style="76" customWidth="1"/>
    <col min="11" max="11" width="25.85546875" style="76" customWidth="1"/>
    <col min="12" max="12" width="25.42578125" style="76" customWidth="1"/>
    <col min="13" max="13" width="26.42578125" style="76" customWidth="1"/>
    <col min="14" max="14" width="22.42578125" style="76" customWidth="1"/>
    <col min="15" max="15" width="26.42578125" style="76" customWidth="1"/>
    <col min="16" max="16" width="21.85546875" style="76" bestFit="1" customWidth="1"/>
    <col min="17" max="17" width="22.28515625" style="76" customWidth="1"/>
    <col min="18" max="18" width="38.7109375" style="76" customWidth="1"/>
    <col min="19" max="19" width="31.28515625" style="76" customWidth="1"/>
    <col min="20" max="21" width="26.28515625" style="76" customWidth="1"/>
    <col min="22" max="16384" width="66.85546875" style="76"/>
  </cols>
  <sheetData>
    <row r="1" spans="1:23" ht="91.5" x14ac:dyDescent="0.7">
      <c r="A1" s="54" t="s">
        <v>0</v>
      </c>
      <c r="B1" s="55" t="s">
        <v>1</v>
      </c>
      <c r="C1" s="55" t="s">
        <v>384</v>
      </c>
      <c r="D1" s="55" t="s">
        <v>41</v>
      </c>
      <c r="E1" s="55" t="s">
        <v>306</v>
      </c>
      <c r="F1" s="59" t="s">
        <v>314</v>
      </c>
      <c r="G1" s="55" t="s">
        <v>307</v>
      </c>
      <c r="H1" s="55" t="s">
        <v>315</v>
      </c>
      <c r="I1" s="55" t="s">
        <v>313</v>
      </c>
      <c r="J1" s="55" t="s">
        <v>309</v>
      </c>
      <c r="K1" s="55" t="s">
        <v>46</v>
      </c>
      <c r="L1" s="55" t="s">
        <v>47</v>
      </c>
      <c r="M1" s="55" t="s">
        <v>48</v>
      </c>
      <c r="N1" s="55" t="s">
        <v>49</v>
      </c>
      <c r="O1" s="55" t="s">
        <v>50</v>
      </c>
      <c r="P1" s="55" t="s">
        <v>310</v>
      </c>
      <c r="Q1" s="55" t="s">
        <v>52</v>
      </c>
      <c r="R1" s="55" t="s">
        <v>308</v>
      </c>
      <c r="S1" s="55" t="s">
        <v>54</v>
      </c>
      <c r="T1" s="55" t="s">
        <v>39</v>
      </c>
      <c r="U1" s="55" t="s">
        <v>55</v>
      </c>
      <c r="V1" s="72"/>
      <c r="W1" s="72"/>
    </row>
    <row r="2" spans="1:23" ht="38.1" customHeight="1" x14ac:dyDescent="0.7">
      <c r="A2" s="56" t="s">
        <v>114</v>
      </c>
      <c r="B2" s="48" t="s">
        <v>256</v>
      </c>
      <c r="C2" s="48" t="s">
        <v>255</v>
      </c>
      <c r="D2" s="48" t="s">
        <v>237</v>
      </c>
      <c r="E2" s="48" t="s">
        <v>342</v>
      </c>
      <c r="F2" s="48" t="s">
        <v>317</v>
      </c>
      <c r="G2" s="49">
        <v>66.12</v>
      </c>
      <c r="H2" s="53">
        <v>8113103.5</v>
      </c>
      <c r="I2" s="51">
        <v>1.5659812925369446E-2</v>
      </c>
      <c r="J2" s="52">
        <v>1.87</v>
      </c>
      <c r="K2" s="52">
        <v>2.9104999999999999</v>
      </c>
      <c r="L2" s="52">
        <v>1.9432510000000001</v>
      </c>
      <c r="M2" s="52">
        <v>-3.4462999999999999</v>
      </c>
      <c r="N2" s="52">
        <v>7.6872999999999996</v>
      </c>
      <c r="O2" s="52">
        <v>25.68929</v>
      </c>
      <c r="P2" s="52">
        <v>6.5441630000000002</v>
      </c>
      <c r="Q2" s="52">
        <v>40.471600000000002</v>
      </c>
      <c r="R2" s="51">
        <v>19.57</v>
      </c>
      <c r="S2" s="51">
        <v>0.35</v>
      </c>
      <c r="T2" s="51">
        <v>0.11</v>
      </c>
      <c r="U2" s="49">
        <v>9.0117301940917969</v>
      </c>
    </row>
    <row r="3" spans="1:23" ht="37.5" customHeight="1" x14ac:dyDescent="0.7">
      <c r="A3" s="56" t="s">
        <v>115</v>
      </c>
      <c r="B3" s="48" t="s">
        <v>257</v>
      </c>
      <c r="C3" s="48" t="s">
        <v>255</v>
      </c>
      <c r="D3" s="48" t="s">
        <v>237</v>
      </c>
      <c r="E3" s="48" t="s">
        <v>339</v>
      </c>
      <c r="F3" s="48" t="s">
        <v>317</v>
      </c>
      <c r="G3" s="49">
        <v>53.741900000000001</v>
      </c>
      <c r="H3" s="53">
        <v>7907165</v>
      </c>
      <c r="I3" s="51">
        <v>1.9272883918550511E-2</v>
      </c>
      <c r="J3" s="52">
        <v>1.4919</v>
      </c>
      <c r="K3" s="52">
        <v>2.8553000000000002</v>
      </c>
      <c r="L3" s="52">
        <v>2.1482920000000001</v>
      </c>
      <c r="M3" s="52">
        <v>-3.1852</v>
      </c>
      <c r="N3" s="52">
        <v>8.4381000000000004</v>
      </c>
      <c r="O3" s="52">
        <v>23.545639999999999</v>
      </c>
      <c r="P3" s="52">
        <v>7.2241059999999999</v>
      </c>
      <c r="Q3" s="52">
        <v>37.835098000000002</v>
      </c>
      <c r="R3" s="51">
        <v>19.02</v>
      </c>
      <c r="S3" s="51">
        <v>0.35</v>
      </c>
      <c r="T3" s="51">
        <v>0.1</v>
      </c>
      <c r="U3" s="49">
        <v>9.0950698852539062</v>
      </c>
    </row>
    <row r="4" spans="1:23" ht="38.1" customHeight="1" x14ac:dyDescent="0.7">
      <c r="A4" s="56" t="s">
        <v>116</v>
      </c>
      <c r="B4" s="48" t="s">
        <v>258</v>
      </c>
      <c r="C4" s="48" t="s">
        <v>255</v>
      </c>
      <c r="D4" s="48" t="s">
        <v>212</v>
      </c>
      <c r="E4" s="48" t="s">
        <v>318</v>
      </c>
      <c r="F4" s="48" t="s">
        <v>317</v>
      </c>
      <c r="G4" s="49">
        <v>63.53</v>
      </c>
      <c r="H4" s="50">
        <v>228906.375</v>
      </c>
      <c r="I4" s="51">
        <v>9.8520977841010327E-2</v>
      </c>
      <c r="J4" s="52">
        <v>1.1399999999999999</v>
      </c>
      <c r="K4" s="52">
        <v>1.8271999999999999</v>
      </c>
      <c r="L4" s="52">
        <v>1.4694130000000001</v>
      </c>
      <c r="M4" s="52">
        <v>-1.6107</v>
      </c>
      <c r="N4" s="52">
        <v>4.9561999999999999</v>
      </c>
      <c r="O4" s="52">
        <v>14.88246</v>
      </c>
      <c r="P4" s="52">
        <v>4.0111299999999996</v>
      </c>
      <c r="Q4" s="52">
        <v>21.240500000000001</v>
      </c>
      <c r="R4" s="51">
        <v>14.32</v>
      </c>
      <c r="S4" s="51">
        <v>0.19</v>
      </c>
      <c r="T4" s="51">
        <v>0.25</v>
      </c>
      <c r="U4" s="49">
        <v>7.7714200019836426</v>
      </c>
    </row>
    <row r="5" spans="1:23" ht="38.1" customHeight="1" x14ac:dyDescent="0.7">
      <c r="A5" s="56" t="s">
        <v>117</v>
      </c>
      <c r="B5" s="48" t="s">
        <v>259</v>
      </c>
      <c r="C5" s="48" t="s">
        <v>255</v>
      </c>
      <c r="D5" s="48" t="s">
        <v>214</v>
      </c>
      <c r="E5" s="48" t="s">
        <v>343</v>
      </c>
      <c r="F5" s="48" t="s">
        <v>317</v>
      </c>
      <c r="G5" s="49">
        <v>44.38</v>
      </c>
      <c r="H5" s="50">
        <v>214726.359375</v>
      </c>
      <c r="I5" s="51">
        <v>8.0477510358314075E-2</v>
      </c>
      <c r="J5" s="52">
        <v>0.8</v>
      </c>
      <c r="K5" s="52">
        <v>1.8357000000000001</v>
      </c>
      <c r="L5" s="52">
        <v>2.2345090000000001</v>
      </c>
      <c r="M5" s="52">
        <v>4.3743999999999996</v>
      </c>
      <c r="N5" s="52">
        <v>7.2240000000000002</v>
      </c>
      <c r="O5" s="52">
        <v>19.94595</v>
      </c>
      <c r="P5" s="52">
        <v>7.8755490000000004</v>
      </c>
      <c r="Q5" s="52">
        <v>17.500699999999998</v>
      </c>
      <c r="R5" s="51">
        <v>20.239999999999998</v>
      </c>
      <c r="S5" s="51">
        <v>0.08</v>
      </c>
      <c r="T5" s="51">
        <v>0.63</v>
      </c>
      <c r="U5" s="49">
        <v>9.023289680480957</v>
      </c>
    </row>
    <row r="6" spans="1:23" ht="38.1" customHeight="1" x14ac:dyDescent="0.7">
      <c r="A6" s="56" t="s">
        <v>118</v>
      </c>
      <c r="B6" s="48" t="s">
        <v>260</v>
      </c>
      <c r="C6" s="48" t="s">
        <v>255</v>
      </c>
      <c r="D6" s="48" t="s">
        <v>261</v>
      </c>
      <c r="E6" s="48" t="s">
        <v>344</v>
      </c>
      <c r="F6" s="48" t="s">
        <v>317</v>
      </c>
      <c r="G6" s="49">
        <v>93.33</v>
      </c>
      <c r="H6" s="50">
        <v>92500.507813000004</v>
      </c>
      <c r="I6" s="51">
        <v>0.21748259758714647</v>
      </c>
      <c r="J6" s="52">
        <v>2.68</v>
      </c>
      <c r="K6" s="52">
        <v>2.9563999999999999</v>
      </c>
      <c r="L6" s="52">
        <v>1.1378429999999999</v>
      </c>
      <c r="M6" s="52">
        <v>-4.7263999999999999</v>
      </c>
      <c r="N6" s="52">
        <v>8.2965999999999998</v>
      </c>
      <c r="O6" s="52">
        <v>25.023440000000001</v>
      </c>
      <c r="P6" s="52">
        <v>6.6872389999999999</v>
      </c>
      <c r="Q6" s="52">
        <v>44.787498999999997</v>
      </c>
      <c r="R6" s="51">
        <v>18.579999999999998</v>
      </c>
      <c r="S6" s="51">
        <v>0.5</v>
      </c>
      <c r="T6" s="51">
        <v>0.5</v>
      </c>
      <c r="U6" s="49">
        <v>10.496000289916992</v>
      </c>
    </row>
    <row r="7" spans="1:23" ht="38.1" customHeight="1" x14ac:dyDescent="0.7">
      <c r="A7" s="56" t="s">
        <v>119</v>
      </c>
      <c r="B7" s="48" t="s">
        <v>262</v>
      </c>
      <c r="C7" s="48" t="s">
        <v>255</v>
      </c>
      <c r="D7" s="48" t="s">
        <v>263</v>
      </c>
      <c r="E7" s="48" t="s">
        <v>345</v>
      </c>
      <c r="F7" s="48" t="s">
        <v>317</v>
      </c>
      <c r="G7" s="49">
        <v>57.06</v>
      </c>
      <c r="H7" s="50">
        <v>27260.041015999999</v>
      </c>
      <c r="I7" s="51">
        <v>0.50667832925558831</v>
      </c>
      <c r="J7" s="52">
        <v>1.41</v>
      </c>
      <c r="K7" s="52">
        <v>2.5337000000000001</v>
      </c>
      <c r="L7" s="52">
        <v>1.17021</v>
      </c>
      <c r="M7" s="52">
        <v>0.59940000000000004</v>
      </c>
      <c r="N7" s="52">
        <v>8.8483000000000001</v>
      </c>
      <c r="O7" s="52">
        <v>29.770289999999999</v>
      </c>
      <c r="P7" s="52">
        <v>8.0477150000000002</v>
      </c>
      <c r="Q7" s="52">
        <v>47.862099000000001</v>
      </c>
      <c r="R7" s="51">
        <v>22.37</v>
      </c>
      <c r="S7" s="51">
        <v>0.25</v>
      </c>
      <c r="T7" s="51">
        <v>0.69</v>
      </c>
      <c r="U7" s="49">
        <v>8.5261697769165039</v>
      </c>
    </row>
    <row r="8" spans="1:23" ht="38.1" customHeight="1" x14ac:dyDescent="0.7">
      <c r="A8" s="56" t="s">
        <v>120</v>
      </c>
      <c r="B8" s="48" t="s">
        <v>264</v>
      </c>
      <c r="C8" s="48" t="s">
        <v>255</v>
      </c>
      <c r="D8" s="48" t="s">
        <v>265</v>
      </c>
      <c r="E8" s="48" t="s">
        <v>346</v>
      </c>
      <c r="F8" s="48" t="s">
        <v>317</v>
      </c>
      <c r="G8" s="49">
        <v>86.81</v>
      </c>
      <c r="H8" s="53">
        <v>3189926.25</v>
      </c>
      <c r="I8" s="51">
        <v>1.3090876622033032E-2</v>
      </c>
      <c r="J8" s="52">
        <v>3.69</v>
      </c>
      <c r="K8" s="52">
        <v>4.4394</v>
      </c>
      <c r="L8" s="52">
        <v>1.8898900000000001</v>
      </c>
      <c r="M8" s="52">
        <v>-8.6691000000000003</v>
      </c>
      <c r="N8" s="52">
        <v>8.0397999999999996</v>
      </c>
      <c r="O8" s="52">
        <v>19.34552</v>
      </c>
      <c r="P8" s="52">
        <v>7.200196</v>
      </c>
      <c r="Q8" s="52">
        <v>40.106498999999999</v>
      </c>
      <c r="R8" s="51">
        <v>20.51</v>
      </c>
      <c r="S8" s="51">
        <v>0.47</v>
      </c>
      <c r="T8" s="51">
        <v>0.59</v>
      </c>
      <c r="U8" s="49">
        <v>8.7245998382568359</v>
      </c>
    </row>
    <row r="9" spans="1:23" ht="38.1" customHeight="1" x14ac:dyDescent="0.7">
      <c r="A9" s="56" t="s">
        <v>121</v>
      </c>
      <c r="B9" s="48" t="s">
        <v>266</v>
      </c>
      <c r="C9" s="48" t="s">
        <v>255</v>
      </c>
      <c r="D9" s="48" t="s">
        <v>267</v>
      </c>
      <c r="E9" s="48" t="s">
        <v>347</v>
      </c>
      <c r="F9" s="48" t="s">
        <v>317</v>
      </c>
      <c r="G9" s="49">
        <v>45.27</v>
      </c>
      <c r="H9" s="50">
        <v>167227.578125</v>
      </c>
      <c r="I9" s="51">
        <v>0.13075030529927001</v>
      </c>
      <c r="J9" s="52">
        <v>1.45</v>
      </c>
      <c r="K9" s="52">
        <v>3.3090000000000002</v>
      </c>
      <c r="L9" s="52">
        <v>-1.1140209999999999</v>
      </c>
      <c r="M9" s="52">
        <v>-13.2592</v>
      </c>
      <c r="N9" s="52">
        <v>3.4034</v>
      </c>
      <c r="O9" s="52">
        <v>15.691280000000001</v>
      </c>
      <c r="P9" s="52">
        <v>-1.351056</v>
      </c>
      <c r="Q9" s="52">
        <v>34.531899000000003</v>
      </c>
      <c r="R9" s="51">
        <v>22.33</v>
      </c>
      <c r="S9" s="51">
        <v>0.55000000000000004</v>
      </c>
      <c r="T9" s="51">
        <v>0.59</v>
      </c>
      <c r="U9" s="49">
        <v>10.282899856567383</v>
      </c>
    </row>
    <row r="10" spans="1:23" ht="38.1" customHeight="1" x14ac:dyDescent="0.7">
      <c r="A10" s="56" t="s">
        <v>122</v>
      </c>
      <c r="B10" s="48" t="s">
        <v>269</v>
      </c>
      <c r="C10" s="48" t="s">
        <v>268</v>
      </c>
      <c r="D10" s="48" t="s">
        <v>270</v>
      </c>
      <c r="E10" s="48" t="s">
        <v>348</v>
      </c>
      <c r="F10" s="48" t="s">
        <v>317</v>
      </c>
      <c r="G10" s="49">
        <v>28.34</v>
      </c>
      <c r="H10" s="50">
        <v>804912.625</v>
      </c>
      <c r="I10" s="51">
        <v>3.7694824016146794E-2</v>
      </c>
      <c r="J10" s="52">
        <v>0.9</v>
      </c>
      <c r="K10" s="52">
        <v>3.2799</v>
      </c>
      <c r="L10" s="52">
        <v>3.8489710000000001</v>
      </c>
      <c r="M10" s="52">
        <v>-2.0733000000000001</v>
      </c>
      <c r="N10" s="52">
        <v>-3.5398000000000001</v>
      </c>
      <c r="O10" s="52">
        <v>26.699459999999998</v>
      </c>
      <c r="P10" s="52">
        <v>-3.4752990000000001</v>
      </c>
      <c r="Q10" s="52">
        <v>15.437900000000001</v>
      </c>
      <c r="R10" s="51">
        <v>34.32</v>
      </c>
      <c r="S10" s="51">
        <v>-0.12</v>
      </c>
      <c r="T10" s="51">
        <v>0.48</v>
      </c>
      <c r="U10" s="49">
        <v>3.2403600215911865</v>
      </c>
    </row>
    <row r="11" spans="1:23" ht="38.1" customHeight="1" x14ac:dyDescent="0.7">
      <c r="A11" s="56" t="s">
        <v>123</v>
      </c>
      <c r="B11" s="48" t="s">
        <v>271</v>
      </c>
      <c r="C11" s="48" t="s">
        <v>268</v>
      </c>
      <c r="D11" s="48" t="s">
        <v>272</v>
      </c>
      <c r="E11" s="48" t="s">
        <v>349</v>
      </c>
      <c r="F11" s="48" t="s">
        <v>317</v>
      </c>
      <c r="G11" s="49">
        <v>33.710500000000003</v>
      </c>
      <c r="H11" s="50">
        <v>23279660</v>
      </c>
      <c r="I11" s="51">
        <v>3.1298980655842072E-2</v>
      </c>
      <c r="J11" s="52">
        <v>1.3805000000000001</v>
      </c>
      <c r="K11" s="52">
        <v>4.2699999999999996</v>
      </c>
      <c r="L11" s="52">
        <v>2.1521620000000001</v>
      </c>
      <c r="M11" s="52">
        <v>-5.5728</v>
      </c>
      <c r="N11" s="52">
        <v>-9.8408999999999995</v>
      </c>
      <c r="O11" s="52">
        <v>11.997339999999999</v>
      </c>
      <c r="P11" s="52">
        <v>-9.0909080000000007</v>
      </c>
      <c r="Q11" s="52">
        <v>2.7446000000000002</v>
      </c>
      <c r="R11" s="51">
        <v>40.4</v>
      </c>
      <c r="S11" s="51">
        <v>-0.05</v>
      </c>
      <c r="T11" s="51">
        <v>0.59</v>
      </c>
      <c r="U11" s="49">
        <v>7.8341999053955078</v>
      </c>
    </row>
    <row r="12" spans="1:23" ht="38.1" customHeight="1" x14ac:dyDescent="0.7">
      <c r="A12" s="56" t="s">
        <v>124</v>
      </c>
      <c r="B12" s="48" t="s">
        <v>273</v>
      </c>
      <c r="C12" s="48" t="s">
        <v>268</v>
      </c>
      <c r="D12" s="48" t="s">
        <v>274</v>
      </c>
      <c r="E12" s="48" t="s">
        <v>350</v>
      </c>
      <c r="F12" s="48" t="s">
        <v>317</v>
      </c>
      <c r="G12" s="49">
        <v>43.98</v>
      </c>
      <c r="H12" s="50">
        <v>1890077.125</v>
      </c>
      <c r="I12" s="51">
        <v>2.6384739617242314E-2</v>
      </c>
      <c r="J12" s="52">
        <v>0.52</v>
      </c>
      <c r="K12" s="52">
        <v>1.1964999999999999</v>
      </c>
      <c r="L12" s="52">
        <v>5.6730809999999998</v>
      </c>
      <c r="M12" s="52">
        <v>2.9977</v>
      </c>
      <c r="N12" s="52">
        <v>3.1425999999999998</v>
      </c>
      <c r="O12" s="52">
        <v>30.989270000000001</v>
      </c>
      <c r="P12" s="52">
        <v>2.256335</v>
      </c>
      <c r="Q12" s="52">
        <v>16.596001000000001</v>
      </c>
      <c r="R12" s="51">
        <v>29.96</v>
      </c>
      <c r="S12" s="51">
        <v>-0.04</v>
      </c>
      <c r="T12" s="51">
        <v>0.49</v>
      </c>
      <c r="U12" s="49">
        <v>6.5074901580810547</v>
      </c>
    </row>
    <row r="13" spans="1:23" ht="38.1" customHeight="1" x14ac:dyDescent="0.7">
      <c r="A13" s="56" t="s">
        <v>125</v>
      </c>
      <c r="B13" s="48" t="s">
        <v>275</v>
      </c>
      <c r="C13" s="48" t="s">
        <v>268</v>
      </c>
      <c r="D13" s="48" t="s">
        <v>276</v>
      </c>
      <c r="E13" s="48" t="s">
        <v>351</v>
      </c>
      <c r="F13" s="48" t="s">
        <v>317</v>
      </c>
      <c r="G13" s="49">
        <v>29.8187</v>
      </c>
      <c r="H13" s="50">
        <v>11928.400390999999</v>
      </c>
      <c r="I13" s="51">
        <v>0.80939483159188585</v>
      </c>
      <c r="J13" s="52">
        <v>1.2286999999999999</v>
      </c>
      <c r="K13" s="52">
        <v>4.2976999999999999</v>
      </c>
      <c r="L13" s="52">
        <v>5.9655319999999996</v>
      </c>
      <c r="M13" s="52">
        <v>-5.2773000000000003</v>
      </c>
      <c r="N13" s="52">
        <v>0.87519999999999998</v>
      </c>
      <c r="O13" s="52">
        <v>21.413129999999999</v>
      </c>
      <c r="P13" s="52">
        <v>-1.847594</v>
      </c>
      <c r="Q13" s="52">
        <v>40.455502000000003</v>
      </c>
      <c r="R13" s="51">
        <v>40.729999999999997</v>
      </c>
      <c r="S13" s="51">
        <v>0</v>
      </c>
      <c r="T13" s="51">
        <v>0.6</v>
      </c>
      <c r="U13" s="49">
        <v>3.6822700500488281</v>
      </c>
    </row>
    <row r="14" spans="1:23" ht="38.1" customHeight="1" x14ac:dyDescent="0.7">
      <c r="A14" s="56" t="s">
        <v>126</v>
      </c>
      <c r="B14" s="48" t="s">
        <v>278</v>
      </c>
      <c r="C14" s="48" t="s">
        <v>277</v>
      </c>
      <c r="D14" s="48" t="s">
        <v>279</v>
      </c>
      <c r="E14" s="48" t="s">
        <v>352</v>
      </c>
      <c r="F14" s="48" t="s">
        <v>317</v>
      </c>
      <c r="G14" s="49">
        <v>128.08000000000001</v>
      </c>
      <c r="H14" s="50">
        <v>10748336</v>
      </c>
      <c r="I14" s="51">
        <v>4.9451686170108311E-2</v>
      </c>
      <c r="J14" s="52">
        <v>6.89</v>
      </c>
      <c r="K14" s="52">
        <v>5.6852999999999998</v>
      </c>
      <c r="L14" s="52">
        <v>9.3704619999999998</v>
      </c>
      <c r="M14" s="52">
        <v>-16.342300000000002</v>
      </c>
      <c r="N14" s="52">
        <v>3.9331999999999998</v>
      </c>
      <c r="O14" s="52">
        <v>52.411859999999997</v>
      </c>
      <c r="P14" s="52">
        <v>2.8516360000000001</v>
      </c>
      <c r="Q14" s="52">
        <v>159.98699999999999</v>
      </c>
      <c r="R14" s="51">
        <v>36.479999999999997</v>
      </c>
      <c r="S14" s="51">
        <v>1.26</v>
      </c>
      <c r="T14" s="51">
        <v>0.75</v>
      </c>
      <c r="U14" s="49"/>
    </row>
    <row r="15" spans="1:23" ht="38.1" customHeight="1" x14ac:dyDescent="0.7">
      <c r="A15" s="56" t="s">
        <v>127</v>
      </c>
      <c r="B15" s="48" t="s">
        <v>280</v>
      </c>
      <c r="C15" s="48" t="s">
        <v>277</v>
      </c>
      <c r="D15" s="48" t="s">
        <v>281</v>
      </c>
      <c r="E15" s="48" t="s">
        <v>353</v>
      </c>
      <c r="F15" s="48" t="s">
        <v>317</v>
      </c>
      <c r="G15" s="49">
        <v>51.36</v>
      </c>
      <c r="H15" s="50">
        <v>464306.9375</v>
      </c>
      <c r="I15" s="51">
        <v>0.16528450166674064</v>
      </c>
      <c r="J15" s="52">
        <v>2.38</v>
      </c>
      <c r="K15" s="52">
        <v>4.8590999999999998</v>
      </c>
      <c r="L15" s="52">
        <v>5.8096399999999999</v>
      </c>
      <c r="M15" s="52">
        <v>-14.2285</v>
      </c>
      <c r="N15" s="52">
        <v>1.5421</v>
      </c>
      <c r="O15" s="52">
        <v>29.077649999999998</v>
      </c>
      <c r="P15" s="52">
        <v>-4.1433400000000002</v>
      </c>
      <c r="Q15" s="52">
        <v>106.513901</v>
      </c>
      <c r="R15" s="51"/>
      <c r="S15" s="51"/>
      <c r="T15" s="51">
        <v>0.45</v>
      </c>
      <c r="U15" s="49"/>
    </row>
    <row r="16" spans="1:23" ht="38.1" customHeight="1" x14ac:dyDescent="0.7">
      <c r="A16" s="56" t="s">
        <v>128</v>
      </c>
      <c r="B16" s="48" t="s">
        <v>282</v>
      </c>
      <c r="C16" s="48" t="s">
        <v>277</v>
      </c>
      <c r="D16" s="48" t="s">
        <v>283</v>
      </c>
      <c r="E16" s="48" t="s">
        <v>354</v>
      </c>
      <c r="F16" s="48" t="s">
        <v>317</v>
      </c>
      <c r="G16" s="49">
        <v>86.53</v>
      </c>
      <c r="H16" s="50">
        <v>1641430.875</v>
      </c>
      <c r="I16" s="51">
        <v>8.6512615114021044E-2</v>
      </c>
      <c r="J16" s="52">
        <v>3.94</v>
      </c>
      <c r="K16" s="52">
        <v>4.7706</v>
      </c>
      <c r="L16" s="52">
        <v>7.5612440000000003</v>
      </c>
      <c r="M16" s="52">
        <v>-11.3513</v>
      </c>
      <c r="N16" s="52">
        <v>23.143899999999999</v>
      </c>
      <c r="O16" s="52">
        <v>52.791600000000003</v>
      </c>
      <c r="P16" s="52">
        <v>13.37003</v>
      </c>
      <c r="Q16" s="52">
        <v>146.73370399999999</v>
      </c>
      <c r="R16" s="51">
        <v>29.59</v>
      </c>
      <c r="S16" s="51">
        <v>1.17</v>
      </c>
      <c r="T16" s="51">
        <v>0.75</v>
      </c>
      <c r="U16" s="49"/>
    </row>
    <row r="17" spans="1:21" ht="38.1" customHeight="1" x14ac:dyDescent="0.7">
      <c r="A17" s="56" t="s">
        <v>129</v>
      </c>
      <c r="B17" s="48" t="s">
        <v>284</v>
      </c>
      <c r="C17" s="48" t="s">
        <v>277</v>
      </c>
      <c r="D17" s="48" t="s">
        <v>285</v>
      </c>
      <c r="E17" s="48" t="s">
        <v>355</v>
      </c>
      <c r="F17" s="48" t="s">
        <v>317</v>
      </c>
      <c r="G17" s="49">
        <v>25.4633</v>
      </c>
      <c r="H17" s="50">
        <v>6589769</v>
      </c>
      <c r="I17" s="51">
        <v>4.6212782190792237E-2</v>
      </c>
      <c r="J17" s="52">
        <v>1.3432999999999999</v>
      </c>
      <c r="K17" s="52">
        <v>5.5692000000000004</v>
      </c>
      <c r="L17" s="52">
        <v>10.83065</v>
      </c>
      <c r="M17" s="52">
        <v>-17.3001</v>
      </c>
      <c r="N17" s="52">
        <v>8.3544999999999998</v>
      </c>
      <c r="O17" s="52">
        <v>57.243969999999997</v>
      </c>
      <c r="P17" s="52">
        <v>-9.8519819999999996</v>
      </c>
      <c r="Q17" s="52">
        <v>120.270798</v>
      </c>
      <c r="R17" s="51">
        <v>31.56</v>
      </c>
      <c r="S17" s="51">
        <v>1.25</v>
      </c>
      <c r="T17" s="51">
        <v>0.46</v>
      </c>
      <c r="U17" s="49">
        <v>3.7077000141143799</v>
      </c>
    </row>
    <row r="18" spans="1:21" ht="38.1" customHeight="1" x14ac:dyDescent="0.7">
      <c r="A18" s="56" t="s">
        <v>130</v>
      </c>
      <c r="B18" s="48" t="s">
        <v>286</v>
      </c>
      <c r="C18" s="48" t="s">
        <v>277</v>
      </c>
      <c r="D18" s="48" t="s">
        <v>287</v>
      </c>
      <c r="E18" s="48" t="s">
        <v>356</v>
      </c>
      <c r="F18" s="48" t="s">
        <v>317</v>
      </c>
      <c r="G18" s="49">
        <v>54.69</v>
      </c>
      <c r="H18" s="50">
        <v>3736809.5</v>
      </c>
      <c r="I18" s="51">
        <v>9.2465343645952977E-2</v>
      </c>
      <c r="J18" s="52">
        <v>3.01</v>
      </c>
      <c r="K18" s="52">
        <v>5.8243</v>
      </c>
      <c r="L18" s="52">
        <v>7.2213520000000004</v>
      </c>
      <c r="M18" s="52">
        <v>-9.4085999999999999</v>
      </c>
      <c r="N18" s="52">
        <v>14.0565</v>
      </c>
      <c r="O18" s="52">
        <v>47.631720000000001</v>
      </c>
      <c r="P18" s="52">
        <v>9.9175240000000002</v>
      </c>
      <c r="Q18" s="52">
        <v>137.745407</v>
      </c>
      <c r="R18" s="51"/>
      <c r="S18" s="51"/>
      <c r="T18" s="51">
        <v>0.75</v>
      </c>
      <c r="U18" s="49"/>
    </row>
    <row r="19" spans="1:21" ht="38.1" customHeight="1" x14ac:dyDescent="0.7">
      <c r="A19" s="56" t="s">
        <v>131</v>
      </c>
      <c r="B19" s="48" t="s">
        <v>288</v>
      </c>
      <c r="C19" s="48" t="s">
        <v>277</v>
      </c>
      <c r="D19" s="48" t="s">
        <v>289</v>
      </c>
      <c r="E19" s="48" t="s">
        <v>357</v>
      </c>
      <c r="F19" s="48" t="s">
        <v>317</v>
      </c>
      <c r="G19" s="49">
        <v>87.06</v>
      </c>
      <c r="H19" s="50">
        <v>1506922.125</v>
      </c>
      <c r="I19" s="51">
        <v>7.0976362034602641E-2</v>
      </c>
      <c r="J19" s="52">
        <v>5.09</v>
      </c>
      <c r="K19" s="52">
        <v>6.2096</v>
      </c>
      <c r="L19" s="52">
        <v>2.6290969999999998</v>
      </c>
      <c r="M19" s="52">
        <v>-12.887700000000001</v>
      </c>
      <c r="N19" s="52">
        <v>12.7136</v>
      </c>
      <c r="O19" s="52">
        <v>30.29487</v>
      </c>
      <c r="P19" s="52">
        <v>13.36111</v>
      </c>
      <c r="Q19" s="52">
        <v>78.511398</v>
      </c>
      <c r="R19" s="51">
        <v>27.29</v>
      </c>
      <c r="S19" s="51">
        <v>0.55000000000000004</v>
      </c>
      <c r="T19" s="51">
        <v>0.73</v>
      </c>
      <c r="U19" s="49">
        <v>5.7359399795532227</v>
      </c>
    </row>
    <row r="20" spans="1:21" ht="38.1" customHeight="1" x14ac:dyDescent="0.7">
      <c r="A20" s="56" t="s">
        <v>132</v>
      </c>
      <c r="B20" s="48" t="s">
        <v>290</v>
      </c>
      <c r="C20" s="48" t="s">
        <v>277</v>
      </c>
      <c r="D20" s="48" t="s">
        <v>291</v>
      </c>
      <c r="E20" s="48" t="s">
        <v>358</v>
      </c>
      <c r="F20" s="48" t="s">
        <v>317</v>
      </c>
      <c r="G20" s="49">
        <v>69.75</v>
      </c>
      <c r="H20" s="50">
        <v>341523.09375</v>
      </c>
      <c r="I20" s="51">
        <v>0.15049235738700392</v>
      </c>
      <c r="J20" s="52">
        <v>3.82</v>
      </c>
      <c r="K20" s="52">
        <v>5.7939999999999996</v>
      </c>
      <c r="L20" s="52">
        <v>3.609626</v>
      </c>
      <c r="M20" s="52">
        <v>-11.6753</v>
      </c>
      <c r="N20" s="52">
        <v>11.940300000000001</v>
      </c>
      <c r="O20" s="52">
        <v>36.203870000000002</v>
      </c>
      <c r="P20" s="52">
        <v>9.7043060000000008</v>
      </c>
      <c r="Q20" s="52">
        <v>102.23249800000001</v>
      </c>
      <c r="R20" s="51">
        <v>25.29</v>
      </c>
      <c r="S20" s="51">
        <v>0.82</v>
      </c>
      <c r="T20" s="51">
        <v>0.86</v>
      </c>
      <c r="U20" s="49">
        <v>5.5317201614379883</v>
      </c>
    </row>
    <row r="21" spans="1:21" ht="38.1" customHeight="1" x14ac:dyDescent="0.7">
      <c r="A21" s="56" t="s">
        <v>133</v>
      </c>
      <c r="B21" s="48" t="s">
        <v>293</v>
      </c>
      <c r="C21" s="48" t="s">
        <v>385</v>
      </c>
      <c r="D21" s="48" t="s">
        <v>237</v>
      </c>
      <c r="E21" s="48" t="s">
        <v>359</v>
      </c>
      <c r="F21" s="48" t="s">
        <v>317</v>
      </c>
      <c r="G21" s="49">
        <v>17.45</v>
      </c>
      <c r="H21" s="50">
        <v>1895093.875</v>
      </c>
      <c r="I21" s="51">
        <v>5.8410982240438725E-2</v>
      </c>
      <c r="J21" s="52">
        <v>0.21</v>
      </c>
      <c r="K21" s="52">
        <v>1.2181</v>
      </c>
      <c r="L21" s="52">
        <v>0.45998359999999999</v>
      </c>
      <c r="M21" s="52">
        <v>8.0495000000000001</v>
      </c>
      <c r="N21" s="52">
        <v>22.198899999999998</v>
      </c>
      <c r="O21" s="52">
        <v>35.27055</v>
      </c>
      <c r="P21" s="52">
        <v>18.706800000000001</v>
      </c>
      <c r="Q21" s="52">
        <v>37.293498999999997</v>
      </c>
      <c r="R21" s="51">
        <v>20.23</v>
      </c>
      <c r="S21" s="51">
        <v>0.09</v>
      </c>
      <c r="T21" s="51">
        <v>0.88</v>
      </c>
      <c r="U21" s="49">
        <v>2.1894900798797607</v>
      </c>
    </row>
    <row r="22" spans="1:21" ht="38.1" customHeight="1" x14ac:dyDescent="0.7">
      <c r="A22" s="56" t="s">
        <v>134</v>
      </c>
      <c r="B22" s="48" t="s">
        <v>294</v>
      </c>
      <c r="C22" s="48" t="s">
        <v>385</v>
      </c>
      <c r="D22" s="48" t="s">
        <v>295</v>
      </c>
      <c r="E22" s="48" t="s">
        <v>360</v>
      </c>
      <c r="F22" s="48" t="s">
        <v>317</v>
      </c>
      <c r="G22" s="49">
        <v>22.731999999999999</v>
      </c>
      <c r="H22" s="50">
        <v>93379.570313000004</v>
      </c>
      <c r="I22" s="51">
        <v>0.13288820013959404</v>
      </c>
      <c r="J22" s="52">
        <v>0.32200000000000001</v>
      </c>
      <c r="K22" s="52">
        <v>1.4369000000000001</v>
      </c>
      <c r="L22" s="52">
        <v>8.8009579999999994E-3</v>
      </c>
      <c r="M22" s="52">
        <v>12.757899999999999</v>
      </c>
      <c r="N22" s="52">
        <v>35.875700000000002</v>
      </c>
      <c r="O22" s="52">
        <v>56.880609999999997</v>
      </c>
      <c r="P22" s="52">
        <v>32.239669999999997</v>
      </c>
      <c r="Q22" s="52">
        <v>49.062302000000003</v>
      </c>
      <c r="R22" s="51">
        <v>40.18</v>
      </c>
      <c r="S22" s="51">
        <v>0.17</v>
      </c>
      <c r="T22" s="51">
        <v>0.79</v>
      </c>
      <c r="U22" s="49"/>
    </row>
    <row r="23" spans="1:21" ht="38.1" customHeight="1" x14ac:dyDescent="0.7">
      <c r="A23" s="56" t="s">
        <v>135</v>
      </c>
      <c r="B23" s="48" t="s">
        <v>296</v>
      </c>
      <c r="C23" s="48" t="s">
        <v>385</v>
      </c>
      <c r="D23" s="48" t="s">
        <v>297</v>
      </c>
      <c r="E23" s="48" t="s">
        <v>361</v>
      </c>
      <c r="F23" s="48" t="s">
        <v>317</v>
      </c>
      <c r="G23" s="49">
        <v>161.52000000000001</v>
      </c>
      <c r="H23" s="50">
        <v>7408972.5</v>
      </c>
      <c r="I23" s="51">
        <v>7.012474977689637E-3</v>
      </c>
      <c r="J23" s="52">
        <v>-0.14000000000000001</v>
      </c>
      <c r="K23" s="52">
        <v>-8.6599999999999996E-2</v>
      </c>
      <c r="L23" s="52">
        <v>1.482971</v>
      </c>
      <c r="M23" s="52">
        <v>-6.4790999999999999</v>
      </c>
      <c r="N23" s="52">
        <v>-6.1856999999999998</v>
      </c>
      <c r="O23" s="52">
        <v>-11.4826</v>
      </c>
      <c r="P23" s="52">
        <v>-9.4527920000000005</v>
      </c>
      <c r="Q23" s="52">
        <v>4.5571999999999999</v>
      </c>
      <c r="R23" s="51">
        <v>13.92</v>
      </c>
      <c r="S23" s="51">
        <v>0.57999999999999996</v>
      </c>
      <c r="T23" s="51">
        <v>0.4</v>
      </c>
      <c r="U23" s="49">
        <v>5.3573498725891113</v>
      </c>
    </row>
    <row r="24" spans="1:21" ht="38.1" customHeight="1" x14ac:dyDescent="0.7">
      <c r="A24" s="56" t="s">
        <v>136</v>
      </c>
      <c r="B24" s="48" t="s">
        <v>298</v>
      </c>
      <c r="C24" s="48" t="s">
        <v>385</v>
      </c>
      <c r="D24" s="48" t="s">
        <v>299</v>
      </c>
      <c r="E24" s="48"/>
      <c r="F24" s="48" t="s">
        <v>317</v>
      </c>
      <c r="G24" s="49">
        <v>17.989899999999999</v>
      </c>
      <c r="H24" s="50">
        <v>746004.25</v>
      </c>
      <c r="I24" s="51">
        <v>7.3729416093204853E-2</v>
      </c>
      <c r="J24" s="52">
        <v>-1.01E-2</v>
      </c>
      <c r="K24" s="52">
        <v>-5.6099999999999997E-2</v>
      </c>
      <c r="L24" s="52">
        <v>3.1530930000000001</v>
      </c>
      <c r="M24" s="52">
        <v>-6.3513999999999999</v>
      </c>
      <c r="N24" s="52">
        <v>0.16650000000000001</v>
      </c>
      <c r="O24" s="52">
        <v>-9.5530390000000001</v>
      </c>
      <c r="P24" s="52">
        <v>-7.0289419999999998</v>
      </c>
      <c r="Q24" s="52">
        <v>19.375601</v>
      </c>
      <c r="R24" s="51">
        <v>19.03</v>
      </c>
      <c r="S24" s="51">
        <v>0.57999999999999996</v>
      </c>
      <c r="T24" s="51"/>
      <c r="U24" s="49"/>
    </row>
    <row r="25" spans="1:21" ht="38.1" customHeight="1" x14ac:dyDescent="0.7">
      <c r="A25" s="56" t="s">
        <v>137</v>
      </c>
      <c r="B25" s="48" t="s">
        <v>300</v>
      </c>
      <c r="C25" s="48" t="s">
        <v>385</v>
      </c>
      <c r="D25" s="48" t="s">
        <v>301</v>
      </c>
      <c r="E25" s="48" t="s">
        <v>362</v>
      </c>
      <c r="F25" s="48" t="s">
        <v>317</v>
      </c>
      <c r="G25" s="49">
        <v>32.85</v>
      </c>
      <c r="H25" s="53">
        <v>14368542</v>
      </c>
      <c r="I25" s="51">
        <v>3.1582716469844986E-2</v>
      </c>
      <c r="J25" s="52">
        <v>0.42</v>
      </c>
      <c r="K25" s="52">
        <v>1.2950999999999999</v>
      </c>
      <c r="L25" s="52">
        <v>3.351162</v>
      </c>
      <c r="M25" s="52">
        <v>-6.8878000000000004</v>
      </c>
      <c r="N25" s="52">
        <v>-6.7820999999999998</v>
      </c>
      <c r="O25" s="52">
        <v>-20.201650000000001</v>
      </c>
      <c r="P25" s="52">
        <v>-8.8145489999999995</v>
      </c>
      <c r="Q25" s="52">
        <v>19.497999</v>
      </c>
      <c r="R25" s="51">
        <v>35.07</v>
      </c>
      <c r="S25" s="51">
        <v>0.49</v>
      </c>
      <c r="T25" s="51">
        <v>0.52</v>
      </c>
      <c r="U25" s="49">
        <v>11.519599914550781</v>
      </c>
    </row>
    <row r="26" spans="1:21" ht="45.75" customHeight="1" x14ac:dyDescent="0.7">
      <c r="A26" s="56" t="s">
        <v>138</v>
      </c>
      <c r="B26" s="48" t="s">
        <v>302</v>
      </c>
      <c r="C26" s="48" t="s">
        <v>385</v>
      </c>
      <c r="D26" s="48" t="s">
        <v>303</v>
      </c>
      <c r="E26" s="48" t="s">
        <v>363</v>
      </c>
      <c r="F26" s="48" t="s">
        <v>317</v>
      </c>
      <c r="G26" s="49">
        <v>32.11</v>
      </c>
      <c r="H26" s="50">
        <v>141252.96875</v>
      </c>
      <c r="I26" s="51">
        <v>0.10740377887934371</v>
      </c>
      <c r="J26" s="52">
        <v>0.24</v>
      </c>
      <c r="K26" s="52">
        <v>0.75309999999999999</v>
      </c>
      <c r="L26" s="52">
        <v>0.50062870000000004</v>
      </c>
      <c r="M26" s="52">
        <v>-1.4123000000000001</v>
      </c>
      <c r="N26" s="52">
        <v>-0.49580000000000002</v>
      </c>
      <c r="O26" s="52">
        <v>3.8473959999999998</v>
      </c>
      <c r="P26" s="52">
        <v>0.59505070000000004</v>
      </c>
      <c r="Q26" s="52">
        <v>7.9328000000000003</v>
      </c>
      <c r="R26" s="51">
        <v>5.82</v>
      </c>
      <c r="S26" s="51">
        <v>0.36</v>
      </c>
      <c r="T26" s="51">
        <v>0.78</v>
      </c>
      <c r="U26" s="49">
        <v>1.2487599849700928</v>
      </c>
    </row>
  </sheetData>
  <printOptions horizontalCentered="1" verticalCentered="1"/>
  <pageMargins left="0" right="0" top="0" bottom="0" header="0" footer="0"/>
  <pageSetup paperSize="3" scale="26" orientation="landscape" r:id="rId1"/>
  <colBreaks count="1" manualBreakCount="1">
    <brk id="2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5"/>
  <sheetViews>
    <sheetView zoomScale="25" zoomScaleNormal="25" zoomScaleSheetLayoutView="25" workbookViewId="0">
      <selection activeCell="A39" sqref="A39:XFD39"/>
    </sheetView>
  </sheetViews>
  <sheetFormatPr baseColWidth="10" defaultColWidth="66.85546875" defaultRowHeight="38.1" customHeight="1" x14ac:dyDescent="0.7"/>
  <cols>
    <col min="1" max="1" width="66.85546875" style="72"/>
    <col min="2" max="2" width="66.85546875" style="82"/>
    <col min="3" max="3" width="132.85546875" style="76" customWidth="1"/>
    <col min="4" max="4" width="81.85546875" style="76" customWidth="1"/>
    <col min="5" max="5" width="62.85546875" style="76" customWidth="1"/>
    <col min="6" max="6" width="33.85546875" style="76" customWidth="1"/>
    <col min="7" max="7" width="27.28515625" style="76" customWidth="1"/>
    <col min="8" max="8" width="41.42578125" style="76" customWidth="1"/>
    <col min="9" max="9" width="43.7109375" style="76" customWidth="1"/>
    <col min="10" max="10" width="22.140625" style="76" customWidth="1"/>
    <col min="11" max="11" width="30" style="76" customWidth="1"/>
    <col min="12" max="12" width="25" style="76" customWidth="1"/>
    <col min="13" max="13" width="28.5703125" style="76" customWidth="1"/>
    <col min="14" max="14" width="32.140625" style="76" customWidth="1"/>
    <col min="15" max="15" width="30.7109375" style="76" customWidth="1"/>
    <col min="16" max="16" width="26.42578125" style="76" customWidth="1"/>
    <col min="17" max="17" width="27.85546875" style="76" customWidth="1"/>
    <col min="18" max="18" width="51.42578125" style="76" customWidth="1"/>
    <col min="19" max="19" width="40.7109375" style="76" customWidth="1"/>
    <col min="20" max="20" width="42.140625" style="76" customWidth="1"/>
    <col min="21" max="21" width="47.85546875" style="76" customWidth="1"/>
    <col min="22" max="16384" width="66.85546875" style="76"/>
  </cols>
  <sheetData>
    <row r="1" spans="1:23" s="72" customFormat="1" ht="45.75" x14ac:dyDescent="0.7">
      <c r="B1" s="73"/>
    </row>
    <row r="2" spans="1:23" s="72" customFormat="1" ht="45.75" x14ac:dyDescent="0.7">
      <c r="B2" s="73"/>
      <c r="C2" s="47"/>
    </row>
    <row r="3" spans="1:23" s="72" customFormat="1" ht="47.25" x14ac:dyDescent="0.7">
      <c r="B3" s="57" t="s">
        <v>22</v>
      </c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3" s="72" customFormat="1" ht="47.25" x14ac:dyDescent="0.7">
      <c r="B4" s="74">
        <f ca="1">NOW()</f>
        <v>44273.494529050928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23" ht="94.5" x14ac:dyDescent="0.7">
      <c r="B5" s="83" t="s">
        <v>0</v>
      </c>
      <c r="C5" s="84" t="s">
        <v>1</v>
      </c>
      <c r="D5" s="84" t="s">
        <v>41</v>
      </c>
      <c r="E5" s="84" t="s">
        <v>306</v>
      </c>
      <c r="F5" s="84" t="s">
        <v>314</v>
      </c>
      <c r="G5" s="84" t="s">
        <v>307</v>
      </c>
      <c r="H5" s="84" t="s">
        <v>312</v>
      </c>
      <c r="I5" s="84" t="s">
        <v>313</v>
      </c>
      <c r="J5" s="84" t="s">
        <v>309</v>
      </c>
      <c r="K5" s="84" t="s">
        <v>46</v>
      </c>
      <c r="L5" s="84" t="s">
        <v>47</v>
      </c>
      <c r="M5" s="84" t="s">
        <v>48</v>
      </c>
      <c r="N5" s="84" t="s">
        <v>49</v>
      </c>
      <c r="O5" s="84" t="s">
        <v>50</v>
      </c>
      <c r="P5" s="84" t="s">
        <v>310</v>
      </c>
      <c r="Q5" s="84" t="s">
        <v>52</v>
      </c>
      <c r="R5" s="84" t="s">
        <v>308</v>
      </c>
      <c r="S5" s="84" t="s">
        <v>54</v>
      </c>
      <c r="T5" s="84" t="s">
        <v>39</v>
      </c>
      <c r="U5" s="84" t="s">
        <v>55</v>
      </c>
      <c r="V5" s="75"/>
      <c r="W5" s="72"/>
    </row>
    <row r="6" spans="1:23" s="78" customFormat="1" ht="63" customHeight="1" x14ac:dyDescent="0.75">
      <c r="A6" s="77"/>
      <c r="B6" s="60" t="s">
        <v>56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75"/>
      <c r="W6" s="77"/>
    </row>
    <row r="7" spans="1:23" ht="38.1" customHeight="1" x14ac:dyDescent="0.7">
      <c r="B7" s="62" t="s">
        <v>304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79"/>
      <c r="W7" s="72"/>
    </row>
    <row r="8" spans="1:23" ht="38.1" customHeight="1" x14ac:dyDescent="0.7">
      <c r="B8" s="64" t="s">
        <v>57</v>
      </c>
      <c r="C8" s="65" t="s">
        <v>139</v>
      </c>
      <c r="D8" s="65" t="s">
        <v>140</v>
      </c>
      <c r="E8" s="65" t="e">
        <f ca="1">_xll.BDP(B8,"FUND_INCEPT_DT")</f>
        <v>#NAME?</v>
      </c>
      <c r="F8" s="65" t="e">
        <f ca="1">_xll.BDP(B8,"CRNCY")</f>
        <v>#NAME?</v>
      </c>
      <c r="G8" s="66" t="e">
        <f ca="1">_xll.BDP(B8,"LAST_PRICE")</f>
        <v>#NAME?</v>
      </c>
      <c r="H8" s="67" t="e">
        <f ca="1">_xll.BDP(B8,"30_DAY_AVERAGE_VOLUME_AT_TIME_RT")</f>
        <v>#NAME?</v>
      </c>
      <c r="I8" s="68" t="e">
        <f ca="1">_xll.BDP(B8,"AVERAGE_BID_ASK_SPREAD_%")</f>
        <v>#NAME?</v>
      </c>
      <c r="J8" s="69" t="e">
        <f ca="1">_xll.BDP(B8,"RT_PX_CHG_NET_1D")</f>
        <v>#NAME?</v>
      </c>
      <c r="K8" s="69" t="e">
        <f ca="1">_xll.BDP(B8,"RT_PX_CHG_PCT_1D")</f>
        <v>#NAME?</v>
      </c>
      <c r="L8" s="69" t="e">
        <f ca="1">_xll.BDP(B8,"CHG_PCT_WTD")</f>
        <v>#NAME?</v>
      </c>
      <c r="M8" s="69" t="e">
        <f ca="1">_xll.BDP(B8,"CHG_PCT_1M_RT")</f>
        <v>#NAME?</v>
      </c>
      <c r="N8" s="69" t="e">
        <f ca="1">_xll.BDP(B8,"CHG_PCT_3M_RT")</f>
        <v>#NAME?</v>
      </c>
      <c r="O8" s="69" t="e">
        <f ca="1">_xll.BDP(B8,"CHG_PCT_6M")</f>
        <v>#NAME?</v>
      </c>
      <c r="P8" s="69" t="e">
        <f ca="1">_xll.BDP(B8,"CHG_PCT_YTD")</f>
        <v>#NAME?</v>
      </c>
      <c r="Q8" s="69" t="e">
        <f ca="1">_xll.BDP(B8,"PRICE_CHANGE_1Y_PCT_RT")</f>
        <v>#NAME?</v>
      </c>
      <c r="R8" s="68" t="e">
        <f ca="1">_xll.BDP(B8,"STANDARD_DEVIATION_3YR")</f>
        <v>#NAME?</v>
      </c>
      <c r="S8" s="68" t="e">
        <f ca="1">_xll.BDP(B8,"EQY_SHARPE_RATIO_3YR")</f>
        <v>#NAME?</v>
      </c>
      <c r="T8" s="68" t="e">
        <f ca="1">_xll.BDP(B8,"FUND_EXPENSE_RATIO")</f>
        <v>#NAME?</v>
      </c>
      <c r="U8" s="66" t="e">
        <f ca="1">_xll.BDP(B8,"TRACKING_ERROR")</f>
        <v>#NAME?</v>
      </c>
      <c r="V8" s="75"/>
      <c r="W8" s="72"/>
    </row>
    <row r="9" spans="1:23" ht="38.1" customHeight="1" x14ac:dyDescent="0.7">
      <c r="B9" s="64" t="s">
        <v>58</v>
      </c>
      <c r="C9" s="65" t="s">
        <v>141</v>
      </c>
      <c r="D9" s="65" t="s">
        <v>142</v>
      </c>
      <c r="E9" s="65" t="e">
        <f ca="1">_xll.BDP(B9,"FUND_INCEPT_DT")</f>
        <v>#NAME?</v>
      </c>
      <c r="F9" s="65" t="e">
        <f ca="1">_xll.BDP(B9,"CRNCY")</f>
        <v>#NAME?</v>
      </c>
      <c r="G9" s="66" t="e">
        <f ca="1">_xll.BDP(B9,"LAST_PRICE")</f>
        <v>#NAME?</v>
      </c>
      <c r="H9" s="67" t="e">
        <f ca="1">_xll.BDP(B9,"30_DAY_AVERAGE_VOLUME_AT_TIME_RT")</f>
        <v>#NAME?</v>
      </c>
      <c r="I9" s="68" t="e">
        <f ca="1">_xll.BDP(B9,"AVERAGE_BID_ASK_SPREAD_%")</f>
        <v>#NAME?</v>
      </c>
      <c r="J9" s="69" t="e">
        <f ca="1">_xll.BDP(B9,"RT_PX_CHG_NET_1D")</f>
        <v>#NAME?</v>
      </c>
      <c r="K9" s="69" t="e">
        <f ca="1">_xll.BDP(B9,"RT_PX_CHG_PCT_1D")</f>
        <v>#NAME?</v>
      </c>
      <c r="L9" s="69" t="e">
        <f ca="1">_xll.BDP(B9,"CHG_PCT_WTD")</f>
        <v>#NAME?</v>
      </c>
      <c r="M9" s="69" t="e">
        <f ca="1">_xll.BDP(B9,"CHG_PCT_1M_RT")</f>
        <v>#NAME?</v>
      </c>
      <c r="N9" s="69" t="e">
        <f ca="1">_xll.BDP(B9,"CHG_PCT_3M_RT")</f>
        <v>#NAME?</v>
      </c>
      <c r="O9" s="69" t="e">
        <f ca="1">_xll.BDP(B9,"CHG_PCT_6M")</f>
        <v>#NAME?</v>
      </c>
      <c r="P9" s="69" t="e">
        <f ca="1">_xll.BDP(B9,"CHG_PCT_YTD")</f>
        <v>#NAME?</v>
      </c>
      <c r="Q9" s="69" t="e">
        <f ca="1">_xll.BDP(B9,"PRICE_CHANGE_1Y_PCT_RT")</f>
        <v>#NAME?</v>
      </c>
      <c r="R9" s="68" t="e">
        <f ca="1">_xll.BDP(B9,"STANDARD_DEVIATION_3YR")</f>
        <v>#NAME?</v>
      </c>
      <c r="S9" s="68" t="e">
        <f ca="1">_xll.BDP(B9,"EQY_SHARPE_RATIO_3YR")</f>
        <v>#NAME?</v>
      </c>
      <c r="T9" s="68" t="e">
        <f ca="1">_xll.BDP(B9,"FUND_EXPENSE_RATIO")</f>
        <v>#NAME?</v>
      </c>
      <c r="U9" s="66" t="e">
        <f ca="1">_xll.BDP(B9,"TRACKING_ERROR")</f>
        <v>#NAME?</v>
      </c>
      <c r="V9" s="75"/>
      <c r="W9" s="72"/>
    </row>
    <row r="10" spans="1:23" ht="38.1" customHeight="1" x14ac:dyDescent="0.7">
      <c r="B10" s="64" t="s">
        <v>59</v>
      </c>
      <c r="C10" s="65" t="s">
        <v>143</v>
      </c>
      <c r="D10" s="65" t="s">
        <v>144</v>
      </c>
      <c r="E10" s="65" t="e">
        <f ca="1">_xll.BDP(B10,"FUND_INCEPT_DT")</f>
        <v>#NAME?</v>
      </c>
      <c r="F10" s="65" t="e">
        <f ca="1">_xll.BDP(B10,"CRNCY")</f>
        <v>#NAME?</v>
      </c>
      <c r="G10" s="66" t="e">
        <f ca="1">_xll.BDP(B10,"LAST_PRICE")</f>
        <v>#NAME?</v>
      </c>
      <c r="H10" s="67" t="e">
        <f ca="1">_xll.BDP(B10,"30_DAY_AVERAGE_VOLUME_AT_TIME_RT")</f>
        <v>#NAME?</v>
      </c>
      <c r="I10" s="68" t="e">
        <f ca="1">_xll.BDP(B10,"AVERAGE_BID_ASK_SPREAD_%")</f>
        <v>#NAME?</v>
      </c>
      <c r="J10" s="69" t="e">
        <f ca="1">_xll.BDP(B10,"RT_PX_CHG_NET_1D")</f>
        <v>#NAME?</v>
      </c>
      <c r="K10" s="69" t="e">
        <f ca="1">_xll.BDP(B10,"RT_PX_CHG_PCT_1D")</f>
        <v>#NAME?</v>
      </c>
      <c r="L10" s="69" t="e">
        <f ca="1">_xll.BDP(B10,"CHG_PCT_WTD")</f>
        <v>#NAME?</v>
      </c>
      <c r="M10" s="69" t="e">
        <f ca="1">_xll.BDP(B10,"CHG_PCT_1M_RT")</f>
        <v>#NAME?</v>
      </c>
      <c r="N10" s="69" t="e">
        <f ca="1">_xll.BDP(B10,"CHG_PCT_3M_RT")</f>
        <v>#NAME?</v>
      </c>
      <c r="O10" s="69" t="e">
        <f ca="1">_xll.BDP(B10,"CHG_PCT_6M")</f>
        <v>#NAME?</v>
      </c>
      <c r="P10" s="69" t="e">
        <f ca="1">_xll.BDP(B10,"CHG_PCT_YTD")</f>
        <v>#NAME?</v>
      </c>
      <c r="Q10" s="69" t="e">
        <f ca="1">_xll.BDP(B10,"PRICE_CHANGE_1Y_PCT_RT")</f>
        <v>#NAME?</v>
      </c>
      <c r="R10" s="68" t="e">
        <f ca="1">_xll.BDP(B10,"STANDARD_DEVIATION_3YR")</f>
        <v>#NAME?</v>
      </c>
      <c r="S10" s="68" t="e">
        <f ca="1">_xll.BDP(B10,"EQY_SHARPE_RATIO_3YR")</f>
        <v>#NAME?</v>
      </c>
      <c r="T10" s="68" t="e">
        <f ca="1">_xll.BDP(B10,"FUND_EXPENSE_RATIO")</f>
        <v>#NAME?</v>
      </c>
      <c r="U10" s="66" t="e">
        <f ca="1">_xll.BDP(B10,"TRACKING_ERROR")</f>
        <v>#NAME?</v>
      </c>
      <c r="V10" s="75"/>
      <c r="W10" s="72"/>
    </row>
    <row r="11" spans="1:23" ht="38.1" customHeight="1" x14ac:dyDescent="0.7">
      <c r="B11" s="64" t="s">
        <v>60</v>
      </c>
      <c r="C11" s="65" t="s">
        <v>145</v>
      </c>
      <c r="D11" s="65" t="s">
        <v>146</v>
      </c>
      <c r="E11" s="65" t="e">
        <f ca="1">_xll.BDP(B11,"FUND_INCEPT_DT")</f>
        <v>#NAME?</v>
      </c>
      <c r="F11" s="65" t="e">
        <f ca="1">_xll.BDP(B11,"CRNCY")</f>
        <v>#NAME?</v>
      </c>
      <c r="G11" s="66" t="e">
        <f ca="1">_xll.BDP(B11,"LAST_PRICE")</f>
        <v>#NAME?</v>
      </c>
      <c r="H11" s="67" t="e">
        <f ca="1">_xll.BDP(B11,"30_DAY_AVERAGE_VOLUME_AT_TIME_RT")</f>
        <v>#NAME?</v>
      </c>
      <c r="I11" s="68" t="e">
        <f ca="1">_xll.BDP(B11,"AVERAGE_BID_ASK_SPREAD_%")</f>
        <v>#NAME?</v>
      </c>
      <c r="J11" s="69" t="e">
        <f ca="1">_xll.BDP(B11,"RT_PX_CHG_NET_1D")</f>
        <v>#NAME?</v>
      </c>
      <c r="K11" s="69" t="e">
        <f ca="1">_xll.BDP(B11,"RT_PX_CHG_PCT_1D")</f>
        <v>#NAME?</v>
      </c>
      <c r="L11" s="69" t="e">
        <f ca="1">_xll.BDP(B11,"CHG_PCT_WTD")</f>
        <v>#NAME?</v>
      </c>
      <c r="M11" s="69" t="e">
        <f ca="1">_xll.BDP(B11,"CHG_PCT_1M_RT")</f>
        <v>#NAME?</v>
      </c>
      <c r="N11" s="69" t="e">
        <f ca="1">_xll.BDP(B11,"CHG_PCT_3M_RT")</f>
        <v>#NAME?</v>
      </c>
      <c r="O11" s="69" t="e">
        <f ca="1">_xll.BDP(B11,"CHG_PCT_6M")</f>
        <v>#NAME?</v>
      </c>
      <c r="P11" s="69" t="e">
        <f ca="1">_xll.BDP(B11,"CHG_PCT_YTD")</f>
        <v>#NAME?</v>
      </c>
      <c r="Q11" s="69" t="e">
        <f ca="1">_xll.BDP(B11,"PRICE_CHANGE_1Y_PCT_RT")</f>
        <v>#NAME?</v>
      </c>
      <c r="R11" s="68" t="e">
        <f ca="1">_xll.BDP(B11,"STANDARD_DEVIATION_3YR")</f>
        <v>#NAME?</v>
      </c>
      <c r="S11" s="68" t="e">
        <f ca="1">_xll.BDP(B11,"EQY_SHARPE_RATIO_3YR")</f>
        <v>#NAME?</v>
      </c>
      <c r="T11" s="68" t="e">
        <f ca="1">_xll.BDP(B11,"FUND_EXPENSE_RATIO")</f>
        <v>#NAME?</v>
      </c>
      <c r="U11" s="66" t="e">
        <f ca="1">_xll.BDP(B11,"TRACKING_ERROR")</f>
        <v>#NAME?</v>
      </c>
      <c r="V11" s="75"/>
      <c r="W11" s="72"/>
    </row>
    <row r="12" spans="1:23" ht="38.1" customHeight="1" x14ac:dyDescent="0.7">
      <c r="B12" s="64" t="s">
        <v>61</v>
      </c>
      <c r="C12" s="65" t="s">
        <v>147</v>
      </c>
      <c r="D12" s="65" t="s">
        <v>148</v>
      </c>
      <c r="E12" s="65" t="e">
        <f ca="1">_xll.BDP(B12,"FUND_INCEPT_DT")</f>
        <v>#NAME?</v>
      </c>
      <c r="F12" s="65" t="e">
        <f ca="1">_xll.BDP(B12,"CRNCY")</f>
        <v>#NAME?</v>
      </c>
      <c r="G12" s="66" t="e">
        <f ca="1">_xll.BDP(B12,"LAST_PRICE")</f>
        <v>#NAME?</v>
      </c>
      <c r="H12" s="67" t="e">
        <f ca="1">_xll.BDP(B12,"30_DAY_AVERAGE_VOLUME_AT_TIME_RT")</f>
        <v>#NAME?</v>
      </c>
      <c r="I12" s="68" t="e">
        <f ca="1">_xll.BDP(B12,"AVERAGE_BID_ASK_SPREAD_%")</f>
        <v>#NAME?</v>
      </c>
      <c r="J12" s="69" t="e">
        <f ca="1">_xll.BDP(B12,"RT_PX_CHG_NET_1D")</f>
        <v>#NAME?</v>
      </c>
      <c r="K12" s="69" t="e">
        <f ca="1">_xll.BDP(B12,"RT_PX_CHG_PCT_1D")</f>
        <v>#NAME?</v>
      </c>
      <c r="L12" s="69" t="e">
        <f ca="1">_xll.BDP(B12,"CHG_PCT_WTD")</f>
        <v>#NAME?</v>
      </c>
      <c r="M12" s="69" t="e">
        <f ca="1">_xll.BDP(B12,"CHG_PCT_1M_RT")</f>
        <v>#NAME?</v>
      </c>
      <c r="N12" s="69" t="e">
        <f ca="1">_xll.BDP(B12,"CHG_PCT_3M_RT")</f>
        <v>#NAME?</v>
      </c>
      <c r="O12" s="69" t="e">
        <f ca="1">_xll.BDP(B12,"CHG_PCT_6M")</f>
        <v>#NAME?</v>
      </c>
      <c r="P12" s="69" t="e">
        <f ca="1">_xll.BDP(B12,"CHG_PCT_YTD")</f>
        <v>#NAME?</v>
      </c>
      <c r="Q12" s="69" t="e">
        <f ca="1">_xll.BDP(B12,"PRICE_CHANGE_1Y_PCT_RT")</f>
        <v>#NAME?</v>
      </c>
      <c r="R12" s="68" t="e">
        <f ca="1">_xll.BDP(B12,"STANDARD_DEVIATION_3YR")</f>
        <v>#NAME?</v>
      </c>
      <c r="S12" s="68" t="e">
        <f ca="1">_xll.BDP(B12,"EQY_SHARPE_RATIO_3YR")</f>
        <v>#NAME?</v>
      </c>
      <c r="T12" s="68" t="e">
        <f ca="1">_xll.BDP(B12,"FUND_EXPENSE_RATIO")</f>
        <v>#NAME?</v>
      </c>
      <c r="U12" s="66" t="e">
        <f ca="1">_xll.BDP(B12,"TRACKING_ERROR")</f>
        <v>#NAME?</v>
      </c>
      <c r="V12" s="75"/>
      <c r="W12" s="72"/>
    </row>
    <row r="13" spans="1:23" ht="38.1" customHeight="1" x14ac:dyDescent="0.7">
      <c r="B13" s="64" t="s">
        <v>62</v>
      </c>
      <c r="C13" s="65" t="s">
        <v>149</v>
      </c>
      <c r="D13" s="65" t="s">
        <v>150</v>
      </c>
      <c r="E13" s="65" t="e">
        <f ca="1">_xll.BDP(B13,"FUND_INCEPT_DT")</f>
        <v>#NAME?</v>
      </c>
      <c r="F13" s="65" t="e">
        <f ca="1">_xll.BDP(B13,"CRNCY")</f>
        <v>#NAME?</v>
      </c>
      <c r="G13" s="66" t="e">
        <f ca="1">_xll.BDP(B13,"LAST_PRICE")</f>
        <v>#NAME?</v>
      </c>
      <c r="H13" s="67" t="e">
        <f ca="1">_xll.BDP(B13,"30_DAY_AVERAGE_VOLUME_AT_TIME_RT")</f>
        <v>#NAME?</v>
      </c>
      <c r="I13" s="68" t="e">
        <f ca="1">_xll.BDP(B13,"AVERAGE_BID_ASK_SPREAD_%")</f>
        <v>#NAME?</v>
      </c>
      <c r="J13" s="69" t="e">
        <f ca="1">_xll.BDP(B13,"RT_PX_CHG_NET_1D")</f>
        <v>#NAME?</v>
      </c>
      <c r="K13" s="69" t="e">
        <f ca="1">_xll.BDP(B13,"RT_PX_CHG_PCT_1D")</f>
        <v>#NAME?</v>
      </c>
      <c r="L13" s="69" t="e">
        <f ca="1">_xll.BDP(B13,"CHG_PCT_WTD")</f>
        <v>#NAME?</v>
      </c>
      <c r="M13" s="69" t="e">
        <f ca="1">_xll.BDP(B13,"CHG_PCT_1M_RT")</f>
        <v>#NAME?</v>
      </c>
      <c r="N13" s="69" t="e">
        <f ca="1">_xll.BDP(B13,"CHG_PCT_3M_RT")</f>
        <v>#NAME?</v>
      </c>
      <c r="O13" s="69" t="e">
        <f ca="1">_xll.BDP(B13,"CHG_PCT_6M")</f>
        <v>#NAME?</v>
      </c>
      <c r="P13" s="69" t="e">
        <f ca="1">_xll.BDP(B13,"CHG_PCT_YTD")</f>
        <v>#NAME?</v>
      </c>
      <c r="Q13" s="69" t="e">
        <f ca="1">_xll.BDP(B13,"PRICE_CHANGE_1Y_PCT_RT")</f>
        <v>#NAME?</v>
      </c>
      <c r="R13" s="68" t="e">
        <f ca="1">_xll.BDP(B13,"STANDARD_DEVIATION_3YR")</f>
        <v>#NAME?</v>
      </c>
      <c r="S13" s="68" t="e">
        <f ca="1">_xll.BDP(B13,"EQY_SHARPE_RATIO_3YR")</f>
        <v>#NAME?</v>
      </c>
      <c r="T13" s="68" t="e">
        <f ca="1">_xll.BDP(B13,"FUND_EXPENSE_RATIO")</f>
        <v>#NAME?</v>
      </c>
      <c r="U13" s="66" t="e">
        <f ca="1">_xll.BDP(B13,"TRACKING_ERROR")</f>
        <v>#NAME?</v>
      </c>
      <c r="V13" s="75"/>
      <c r="W13" s="72"/>
    </row>
    <row r="14" spans="1:23" ht="38.1" customHeight="1" x14ac:dyDescent="0.7">
      <c r="B14" s="64" t="s">
        <v>63</v>
      </c>
      <c r="C14" s="65" t="s">
        <v>151</v>
      </c>
      <c r="D14" s="65" t="s">
        <v>152</v>
      </c>
      <c r="E14" s="65" t="e">
        <f ca="1">_xll.BDP(B14,"FUND_INCEPT_DT")</f>
        <v>#NAME?</v>
      </c>
      <c r="F14" s="65" t="e">
        <f ca="1">_xll.BDP(B14,"CRNCY")</f>
        <v>#NAME?</v>
      </c>
      <c r="G14" s="66" t="e">
        <f ca="1">_xll.BDP(B14,"LAST_PRICE")</f>
        <v>#NAME?</v>
      </c>
      <c r="H14" s="67" t="e">
        <f ca="1">_xll.BDP(B14,"30_DAY_AVERAGE_VOLUME_AT_TIME_RT")</f>
        <v>#NAME?</v>
      </c>
      <c r="I14" s="68" t="e">
        <f ca="1">_xll.BDP(B14,"AVERAGE_BID_ASK_SPREAD_%")</f>
        <v>#NAME?</v>
      </c>
      <c r="J14" s="69" t="e">
        <f ca="1">_xll.BDP(B14,"RT_PX_CHG_NET_1D")</f>
        <v>#NAME?</v>
      </c>
      <c r="K14" s="69" t="e">
        <f ca="1">_xll.BDP(B14,"RT_PX_CHG_PCT_1D")</f>
        <v>#NAME?</v>
      </c>
      <c r="L14" s="69" t="e">
        <f ca="1">_xll.BDP(B14,"CHG_PCT_WTD")</f>
        <v>#NAME?</v>
      </c>
      <c r="M14" s="69" t="e">
        <f ca="1">_xll.BDP(B14,"CHG_PCT_1M_RT")</f>
        <v>#NAME?</v>
      </c>
      <c r="N14" s="69" t="e">
        <f ca="1">_xll.BDP(B14,"CHG_PCT_3M_RT")</f>
        <v>#NAME?</v>
      </c>
      <c r="O14" s="69" t="e">
        <f ca="1">_xll.BDP(B14,"CHG_PCT_6M")</f>
        <v>#NAME?</v>
      </c>
      <c r="P14" s="69" t="e">
        <f ca="1">_xll.BDP(B14,"CHG_PCT_YTD")</f>
        <v>#NAME?</v>
      </c>
      <c r="Q14" s="69" t="e">
        <f ca="1">_xll.BDP(B14,"PRICE_CHANGE_1Y_PCT_RT")</f>
        <v>#NAME?</v>
      </c>
      <c r="R14" s="68" t="e">
        <f ca="1">_xll.BDP(B14,"STANDARD_DEVIATION_3YR")</f>
        <v>#NAME?</v>
      </c>
      <c r="S14" s="68" t="e">
        <f ca="1">_xll.BDP(B14,"EQY_SHARPE_RATIO_3YR")</f>
        <v>#NAME?</v>
      </c>
      <c r="T14" s="68" t="e">
        <f ca="1">_xll.BDP(B14,"FUND_EXPENSE_RATIO")</f>
        <v>#NAME?</v>
      </c>
      <c r="U14" s="66" t="e">
        <f ca="1">_xll.BDP(B14,"TRACKING_ERROR")</f>
        <v>#NAME?</v>
      </c>
      <c r="V14" s="75"/>
      <c r="W14" s="72"/>
    </row>
    <row r="15" spans="1:23" ht="38.1" customHeight="1" x14ac:dyDescent="0.7">
      <c r="B15" s="62" t="s">
        <v>153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70"/>
      <c r="V15" s="75"/>
      <c r="W15" s="72"/>
    </row>
    <row r="16" spans="1:23" ht="38.1" customHeight="1" x14ac:dyDescent="0.7">
      <c r="B16" s="64" t="s">
        <v>64</v>
      </c>
      <c r="C16" s="65" t="s">
        <v>154</v>
      </c>
      <c r="D16" s="65" t="s">
        <v>155</v>
      </c>
      <c r="E16" s="65" t="e">
        <f ca="1">_xll.BDP(B16,"FUND_INCEPT_DT")</f>
        <v>#NAME?</v>
      </c>
      <c r="F16" s="65" t="e">
        <f ca="1">_xll.BDP(B16,"CRNCY")</f>
        <v>#NAME?</v>
      </c>
      <c r="G16" s="66" t="e">
        <f ca="1">_xll.BDP(B16,"LAST_PRICE")</f>
        <v>#NAME?</v>
      </c>
      <c r="H16" s="67" t="e">
        <f ca="1">_xll.BDP(B16,"30_DAY_AVERAGE_VOLUME_AT_TIME_RT")</f>
        <v>#NAME?</v>
      </c>
      <c r="I16" s="68" t="e">
        <f ca="1">_xll.BDP(B16,"AVERAGE_BID_ASK_SPREAD_%")</f>
        <v>#NAME?</v>
      </c>
      <c r="J16" s="69" t="e">
        <f ca="1">_xll.BDP(B16,"RT_PX_CHG_NET_1D")</f>
        <v>#NAME?</v>
      </c>
      <c r="K16" s="69" t="e">
        <f ca="1">_xll.BDP(B16,"RT_PX_CHG_PCT_1D")</f>
        <v>#NAME?</v>
      </c>
      <c r="L16" s="69" t="e">
        <f ca="1">_xll.BDP(B16,"CHG_PCT_WTD")</f>
        <v>#NAME?</v>
      </c>
      <c r="M16" s="69" t="e">
        <f ca="1">_xll.BDP(B16,"CHG_PCT_1M_RT")</f>
        <v>#NAME?</v>
      </c>
      <c r="N16" s="69" t="e">
        <f ca="1">_xll.BDP(B16,"CHG_PCT_3M_RT")</f>
        <v>#NAME?</v>
      </c>
      <c r="O16" s="69" t="e">
        <f ca="1">_xll.BDP(B16,"CHG_PCT_6M")</f>
        <v>#NAME?</v>
      </c>
      <c r="P16" s="69" t="e">
        <f ca="1">_xll.BDP(B16,"CHG_PCT_YTD")</f>
        <v>#NAME?</v>
      </c>
      <c r="Q16" s="69" t="e">
        <f ca="1">_xll.BDP(B16,"PRICE_CHANGE_1Y_PCT_RT")</f>
        <v>#NAME?</v>
      </c>
      <c r="R16" s="68" t="e">
        <f ca="1">_xll.BDP(B16,"STANDARD_DEVIATION_3YR")</f>
        <v>#NAME?</v>
      </c>
      <c r="S16" s="68" t="e">
        <f ca="1">_xll.BDP(B16,"EQY_SHARPE_RATIO_3YR")</f>
        <v>#NAME?</v>
      </c>
      <c r="T16" s="68" t="e">
        <f ca="1">_xll.BDP(B16,"FUND_EXPENSE_RATIO")</f>
        <v>#NAME?</v>
      </c>
      <c r="U16" s="66" t="e">
        <f ca="1">_xll.BDP(B16,"TRACKING_ERROR")</f>
        <v>#NAME?</v>
      </c>
      <c r="V16" s="75"/>
      <c r="W16" s="72"/>
    </row>
    <row r="17" spans="2:23" ht="38.1" customHeight="1" x14ac:dyDescent="0.7">
      <c r="B17" s="64" t="s">
        <v>65</v>
      </c>
      <c r="C17" s="65" t="s">
        <v>156</v>
      </c>
      <c r="D17" s="65" t="s">
        <v>155</v>
      </c>
      <c r="E17" s="65" t="e">
        <f ca="1">_xll.BDP(B17,"FUND_INCEPT_DT")</f>
        <v>#NAME?</v>
      </c>
      <c r="F17" s="65" t="e">
        <f ca="1">_xll.BDP(B17,"CRNCY")</f>
        <v>#NAME?</v>
      </c>
      <c r="G17" s="66" t="e">
        <f ca="1">_xll.BDP(B17,"LAST_PRICE")</f>
        <v>#NAME?</v>
      </c>
      <c r="H17" s="67" t="e">
        <f ca="1">_xll.BDP(B17,"30_DAY_AVERAGE_VOLUME_AT_TIME_RT")</f>
        <v>#NAME?</v>
      </c>
      <c r="I17" s="68" t="e">
        <f ca="1">_xll.BDP(B17,"AVERAGE_BID_ASK_SPREAD_%")</f>
        <v>#NAME?</v>
      </c>
      <c r="J17" s="69" t="e">
        <f ca="1">_xll.BDP(B17,"RT_PX_CHG_NET_1D")</f>
        <v>#NAME?</v>
      </c>
      <c r="K17" s="69" t="e">
        <f ca="1">_xll.BDP(B17,"RT_PX_CHG_PCT_1D")</f>
        <v>#NAME?</v>
      </c>
      <c r="L17" s="69" t="e">
        <f ca="1">_xll.BDP(B17,"CHG_PCT_WTD")</f>
        <v>#NAME?</v>
      </c>
      <c r="M17" s="69" t="e">
        <f ca="1">_xll.BDP(B17,"CHG_PCT_1M_RT")</f>
        <v>#NAME?</v>
      </c>
      <c r="N17" s="69" t="e">
        <f ca="1">_xll.BDP(B17,"CHG_PCT_3M_RT")</f>
        <v>#NAME?</v>
      </c>
      <c r="O17" s="69" t="e">
        <f ca="1">_xll.BDP(B17,"CHG_PCT_6M")</f>
        <v>#NAME?</v>
      </c>
      <c r="P17" s="69" t="e">
        <f ca="1">_xll.BDP(B17,"CHG_PCT_YTD")</f>
        <v>#NAME?</v>
      </c>
      <c r="Q17" s="69" t="e">
        <f ca="1">_xll.BDP(B17,"PRICE_CHANGE_1Y_PCT_RT")</f>
        <v>#NAME?</v>
      </c>
      <c r="R17" s="68" t="e">
        <f ca="1">_xll.BDP(B17,"STANDARD_DEVIATION_3YR")</f>
        <v>#NAME?</v>
      </c>
      <c r="S17" s="68" t="e">
        <f ca="1">_xll.BDP(B17,"EQY_SHARPE_RATIO_3YR")</f>
        <v>#NAME?</v>
      </c>
      <c r="T17" s="68" t="e">
        <f ca="1">_xll.BDP(B17,"FUND_EXPENSE_RATIO")</f>
        <v>#NAME?</v>
      </c>
      <c r="U17" s="66" t="e">
        <f ca="1">_xll.BDP(B17,"TRACKING_ERROR")</f>
        <v>#NAME?</v>
      </c>
      <c r="V17" s="75"/>
      <c r="W17" s="72"/>
    </row>
    <row r="18" spans="2:23" s="72" customFormat="1" ht="38.1" customHeight="1" x14ac:dyDescent="0.7">
      <c r="B18" s="64" t="s">
        <v>66</v>
      </c>
      <c r="C18" s="65" t="s">
        <v>157</v>
      </c>
      <c r="D18" s="65" t="s">
        <v>158</v>
      </c>
      <c r="E18" s="65" t="e">
        <f ca="1">_xll.BDP(B18,"FUND_INCEPT_DT")</f>
        <v>#NAME?</v>
      </c>
      <c r="F18" s="65" t="e">
        <f ca="1">_xll.BDP(B18,"CRNCY")</f>
        <v>#NAME?</v>
      </c>
      <c r="G18" s="66" t="e">
        <f ca="1">_xll.BDP(B18,"LAST_PRICE")</f>
        <v>#NAME?</v>
      </c>
      <c r="H18" s="67" t="e">
        <f ca="1">_xll.BDP(B18,"30_DAY_AVERAGE_VOLUME_AT_TIME_RT")</f>
        <v>#NAME?</v>
      </c>
      <c r="I18" s="68" t="e">
        <f ca="1">_xll.BDP(B18,"AVERAGE_BID_ASK_SPREAD_%")</f>
        <v>#NAME?</v>
      </c>
      <c r="J18" s="69" t="e">
        <f ca="1">_xll.BDP(B18,"RT_PX_CHG_NET_1D")</f>
        <v>#NAME?</v>
      </c>
      <c r="K18" s="69" t="e">
        <f ca="1">_xll.BDP(B18,"RT_PX_CHG_PCT_1D")</f>
        <v>#NAME?</v>
      </c>
      <c r="L18" s="69" t="e">
        <f ca="1">_xll.BDP(B18,"CHG_PCT_WTD")</f>
        <v>#NAME?</v>
      </c>
      <c r="M18" s="69" t="e">
        <f ca="1">_xll.BDP(B18,"CHG_PCT_1M_RT")</f>
        <v>#NAME?</v>
      </c>
      <c r="N18" s="69" t="e">
        <f ca="1">_xll.BDP(B18,"CHG_PCT_3M_RT")</f>
        <v>#NAME?</v>
      </c>
      <c r="O18" s="69" t="e">
        <f ca="1">_xll.BDP(B18,"CHG_PCT_6M")</f>
        <v>#NAME?</v>
      </c>
      <c r="P18" s="69" t="e">
        <f ca="1">_xll.BDP(B18,"CHG_PCT_YTD")</f>
        <v>#NAME?</v>
      </c>
      <c r="Q18" s="69" t="e">
        <f ca="1">_xll.BDP(B18,"PRICE_CHANGE_1Y_PCT_RT")</f>
        <v>#NAME?</v>
      </c>
      <c r="R18" s="68" t="e">
        <f ca="1">_xll.BDP(B18,"STANDARD_DEVIATION_3YR")</f>
        <v>#NAME?</v>
      </c>
      <c r="S18" s="68" t="e">
        <f ca="1">_xll.BDP(B18,"EQY_SHARPE_RATIO_3YR")</f>
        <v>#NAME?</v>
      </c>
      <c r="T18" s="68" t="e">
        <f ca="1">_xll.BDP(B18,"FUND_EXPENSE_RATIO")</f>
        <v>#NAME?</v>
      </c>
      <c r="U18" s="66" t="e">
        <f ca="1">_xll.BDP(B18,"TRACKING_ERROR")</f>
        <v>#NAME?</v>
      </c>
      <c r="V18" s="75"/>
    </row>
    <row r="19" spans="2:23" s="72" customFormat="1" ht="38.1" customHeight="1" x14ac:dyDescent="0.7">
      <c r="B19" s="62" t="s">
        <v>159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70"/>
      <c r="V19" s="75"/>
    </row>
    <row r="20" spans="2:23" s="72" customFormat="1" ht="38.1" customHeight="1" x14ac:dyDescent="0.7">
      <c r="B20" s="64" t="s">
        <v>67</v>
      </c>
      <c r="C20" s="65" t="s">
        <v>160</v>
      </c>
      <c r="D20" s="65" t="s">
        <v>161</v>
      </c>
      <c r="E20" s="65" t="e">
        <f ca="1">_xll.BDP(B20,"FUND_INCEPT_DT")</f>
        <v>#NAME?</v>
      </c>
      <c r="F20" s="65" t="e">
        <f ca="1">_xll.BDP(B20,"CRNCY")</f>
        <v>#NAME?</v>
      </c>
      <c r="G20" s="66" t="e">
        <f ca="1">_xll.BDP(B20,"LAST_PRICE")</f>
        <v>#NAME?</v>
      </c>
      <c r="H20" s="67" t="e">
        <f ca="1">_xll.BDP(B20,"30_DAY_AVERAGE_VOLUME_AT_TIME_RT")</f>
        <v>#NAME?</v>
      </c>
      <c r="I20" s="68" t="e">
        <f ca="1">_xll.BDP(B20,"AVERAGE_BID_ASK_SPREAD_%")</f>
        <v>#NAME?</v>
      </c>
      <c r="J20" s="69" t="e">
        <f ca="1">_xll.BDP(B20,"RT_PX_CHG_NET_1D")</f>
        <v>#NAME?</v>
      </c>
      <c r="K20" s="69" t="e">
        <f ca="1">_xll.BDP(B20,"RT_PX_CHG_PCT_1D")</f>
        <v>#NAME?</v>
      </c>
      <c r="L20" s="69" t="e">
        <f ca="1">_xll.BDP(B20,"CHG_PCT_WTD")</f>
        <v>#NAME?</v>
      </c>
      <c r="M20" s="69" t="e">
        <f ca="1">_xll.BDP(B20,"CHG_PCT_1M_RT")</f>
        <v>#NAME?</v>
      </c>
      <c r="N20" s="69" t="e">
        <f ca="1">_xll.BDP(B20,"CHG_PCT_3M_RT")</f>
        <v>#NAME?</v>
      </c>
      <c r="O20" s="69" t="e">
        <f ca="1">_xll.BDP(B20,"CHG_PCT_6M")</f>
        <v>#NAME?</v>
      </c>
      <c r="P20" s="69" t="e">
        <f ca="1">_xll.BDP(B20,"CHG_PCT_YTD")</f>
        <v>#NAME?</v>
      </c>
      <c r="Q20" s="69" t="e">
        <f ca="1">_xll.BDP(B20,"PRICE_CHANGE_1Y_PCT_RT")</f>
        <v>#NAME?</v>
      </c>
      <c r="R20" s="68" t="e">
        <f ca="1">_xll.BDP(B20,"STANDARD_DEVIATION_3YR")</f>
        <v>#NAME?</v>
      </c>
      <c r="S20" s="68" t="e">
        <f ca="1">_xll.BDP(B20,"EQY_SHARPE_RATIO_3YR")</f>
        <v>#NAME?</v>
      </c>
      <c r="T20" s="68" t="e">
        <f ca="1">_xll.BDP(B20,"FUND_EXPENSE_RATIO")</f>
        <v>#NAME?</v>
      </c>
      <c r="U20" s="66" t="e">
        <f ca="1">_xll.BDP(B20,"TRACKING_ERROR")</f>
        <v>#NAME?</v>
      </c>
      <c r="V20" s="75"/>
    </row>
    <row r="21" spans="2:23" s="72" customFormat="1" ht="38.1" customHeight="1" x14ac:dyDescent="0.7">
      <c r="B21" s="64" t="s">
        <v>68</v>
      </c>
      <c r="C21" s="65" t="s">
        <v>162</v>
      </c>
      <c r="D21" s="65" t="s">
        <v>163</v>
      </c>
      <c r="E21" s="65" t="e">
        <f ca="1">_xll.BDP(B21,"FUND_INCEPT_DT")</f>
        <v>#NAME?</v>
      </c>
      <c r="F21" s="65" t="e">
        <f ca="1">_xll.BDP(B21,"CRNCY")</f>
        <v>#NAME?</v>
      </c>
      <c r="G21" s="66" t="e">
        <f ca="1">_xll.BDP(B21,"LAST_PRICE")</f>
        <v>#NAME?</v>
      </c>
      <c r="H21" s="67" t="e">
        <f ca="1">_xll.BDP(B21,"30_DAY_AVERAGE_VOLUME_AT_TIME_RT")</f>
        <v>#NAME?</v>
      </c>
      <c r="I21" s="68" t="e">
        <f ca="1">_xll.BDP(B21,"AVERAGE_BID_ASK_SPREAD_%")</f>
        <v>#NAME?</v>
      </c>
      <c r="J21" s="69" t="e">
        <f ca="1">_xll.BDP(B21,"RT_PX_CHG_NET_1D")</f>
        <v>#NAME?</v>
      </c>
      <c r="K21" s="69" t="e">
        <f ca="1">_xll.BDP(B21,"RT_PX_CHG_PCT_1D")</f>
        <v>#NAME?</v>
      </c>
      <c r="L21" s="69" t="e">
        <f ca="1">_xll.BDP(B21,"CHG_PCT_WTD")</f>
        <v>#NAME?</v>
      </c>
      <c r="M21" s="69" t="e">
        <f ca="1">_xll.BDP(B21,"CHG_PCT_1M_RT")</f>
        <v>#NAME?</v>
      </c>
      <c r="N21" s="69" t="e">
        <f ca="1">_xll.BDP(B21,"CHG_PCT_3M_RT")</f>
        <v>#NAME?</v>
      </c>
      <c r="O21" s="69" t="e">
        <f ca="1">_xll.BDP(B21,"CHG_PCT_6M")</f>
        <v>#NAME?</v>
      </c>
      <c r="P21" s="69" t="e">
        <f ca="1">_xll.BDP(B21,"CHG_PCT_YTD")</f>
        <v>#NAME?</v>
      </c>
      <c r="Q21" s="69" t="e">
        <f ca="1">_xll.BDP(B21,"PRICE_CHANGE_1Y_PCT_RT")</f>
        <v>#NAME?</v>
      </c>
      <c r="R21" s="68" t="e">
        <f ca="1">_xll.BDP(B21,"STANDARD_DEVIATION_3YR")</f>
        <v>#NAME?</v>
      </c>
      <c r="S21" s="68" t="e">
        <f ca="1">_xll.BDP(B21,"EQY_SHARPE_RATIO_3YR")</f>
        <v>#NAME?</v>
      </c>
      <c r="T21" s="68" t="e">
        <f ca="1">_xll.BDP(B21,"FUND_EXPENSE_RATIO")</f>
        <v>#NAME?</v>
      </c>
      <c r="U21" s="66" t="s">
        <v>311</v>
      </c>
      <c r="V21" s="75"/>
    </row>
    <row r="22" spans="2:23" s="72" customFormat="1" ht="38.1" customHeight="1" x14ac:dyDescent="0.7">
      <c r="B22" s="64" t="s">
        <v>69</v>
      </c>
      <c r="C22" s="65" t="s">
        <v>164</v>
      </c>
      <c r="D22" s="65" t="s">
        <v>165</v>
      </c>
      <c r="E22" s="65" t="e">
        <f ca="1">_xll.BDP(B22,"FUND_INCEPT_DT")</f>
        <v>#NAME?</v>
      </c>
      <c r="F22" s="65" t="e">
        <f ca="1">_xll.BDP(B22,"CRNCY")</f>
        <v>#NAME?</v>
      </c>
      <c r="G22" s="66" t="e">
        <f ca="1">_xll.BDP(B22,"LAST_PRICE")</f>
        <v>#NAME?</v>
      </c>
      <c r="H22" s="67" t="e">
        <f ca="1">_xll.BDP(B22,"30_DAY_AVERAGE_VOLUME_AT_TIME_RT")</f>
        <v>#NAME?</v>
      </c>
      <c r="I22" s="68" t="e">
        <f ca="1">_xll.BDP(B22,"AVERAGE_BID_ASK_SPREAD_%")</f>
        <v>#NAME?</v>
      </c>
      <c r="J22" s="69" t="e">
        <f ca="1">_xll.BDP(B22,"RT_PX_CHG_NET_1D")</f>
        <v>#NAME?</v>
      </c>
      <c r="K22" s="69" t="e">
        <f ca="1">_xll.BDP(B22,"RT_PX_CHG_PCT_1D")</f>
        <v>#NAME?</v>
      </c>
      <c r="L22" s="69" t="e">
        <f ca="1">_xll.BDP(B22,"CHG_PCT_WTD")</f>
        <v>#NAME?</v>
      </c>
      <c r="M22" s="69" t="e">
        <f ca="1">_xll.BDP(B22,"CHG_PCT_1M_RT")</f>
        <v>#NAME?</v>
      </c>
      <c r="N22" s="69" t="e">
        <f ca="1">_xll.BDP(B22,"CHG_PCT_3M_RT")</f>
        <v>#NAME?</v>
      </c>
      <c r="O22" s="69" t="e">
        <f ca="1">_xll.BDP(B22,"CHG_PCT_6M")</f>
        <v>#NAME?</v>
      </c>
      <c r="P22" s="69" t="e">
        <f ca="1">_xll.BDP(B22,"CHG_PCT_YTD")</f>
        <v>#NAME?</v>
      </c>
      <c r="Q22" s="69" t="e">
        <f ca="1">_xll.BDP(B22,"PRICE_CHANGE_1Y_PCT_RT")</f>
        <v>#NAME?</v>
      </c>
      <c r="R22" s="68" t="e">
        <f ca="1">_xll.BDP(B22,"STANDARD_DEVIATION_3YR")</f>
        <v>#NAME?</v>
      </c>
      <c r="S22" s="68" t="e">
        <f ca="1">_xll.BDP(B22,"EQY_SHARPE_RATIO_3YR")</f>
        <v>#NAME?</v>
      </c>
      <c r="T22" s="68" t="e">
        <f ca="1">_xll.BDP(B22,"FUND_EXPENSE_RATIO")</f>
        <v>#NAME?</v>
      </c>
      <c r="U22" s="66" t="e">
        <f ca="1">_xll.BDP(B22,"TRACKING_ERROR")</f>
        <v>#NAME?</v>
      </c>
      <c r="V22" s="75"/>
    </row>
    <row r="23" spans="2:23" s="72" customFormat="1" ht="38.1" customHeight="1" x14ac:dyDescent="0.7">
      <c r="B23" s="62" t="s">
        <v>166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70"/>
      <c r="V23" s="75"/>
    </row>
    <row r="24" spans="2:23" s="72" customFormat="1" ht="38.1" customHeight="1" x14ac:dyDescent="0.7">
      <c r="B24" s="64" t="s">
        <v>70</v>
      </c>
      <c r="C24" s="65" t="s">
        <v>167</v>
      </c>
      <c r="D24" s="65" t="s">
        <v>168</v>
      </c>
      <c r="E24" s="65" t="e">
        <f ca="1">_xll.BDP(B24,"FUND_INCEPT_DT")</f>
        <v>#NAME?</v>
      </c>
      <c r="F24" s="65" t="e">
        <f ca="1">_xll.BDP(B24,"CRNCY")</f>
        <v>#NAME?</v>
      </c>
      <c r="G24" s="66" t="e">
        <f ca="1">_xll.BDP(B24,"LAST_PRICE")</f>
        <v>#NAME?</v>
      </c>
      <c r="H24" s="67" t="e">
        <f ca="1">_xll.BDP(B24,"30_DAY_AVERAGE_VOLUME_AT_TIME_RT")</f>
        <v>#NAME?</v>
      </c>
      <c r="I24" s="68" t="e">
        <f ca="1">_xll.BDP(B24,"AVERAGE_BID_ASK_SPREAD_%")</f>
        <v>#NAME?</v>
      </c>
      <c r="J24" s="69" t="e">
        <f ca="1">_xll.BDP(B24,"RT_PX_CHG_NET_1D")</f>
        <v>#NAME?</v>
      </c>
      <c r="K24" s="69" t="e">
        <f ca="1">_xll.BDP(B24,"RT_PX_CHG_PCT_1D")</f>
        <v>#NAME?</v>
      </c>
      <c r="L24" s="69" t="e">
        <f ca="1">_xll.BDP(B24,"CHG_PCT_WTD")</f>
        <v>#NAME?</v>
      </c>
      <c r="M24" s="69" t="e">
        <f ca="1">_xll.BDP(B24,"CHG_PCT_1M_RT")</f>
        <v>#NAME?</v>
      </c>
      <c r="N24" s="69" t="e">
        <f ca="1">_xll.BDP(B24,"CHG_PCT_3M_RT")</f>
        <v>#NAME?</v>
      </c>
      <c r="O24" s="69" t="e">
        <f ca="1">_xll.BDP(B24,"CHG_PCT_6M")</f>
        <v>#NAME?</v>
      </c>
      <c r="P24" s="69" t="e">
        <f ca="1">_xll.BDP(B24,"CHG_PCT_YTD")</f>
        <v>#NAME?</v>
      </c>
      <c r="Q24" s="69" t="e">
        <f ca="1">_xll.BDP(B24,"PRICE_CHANGE_1Y_PCT_RT")</f>
        <v>#NAME?</v>
      </c>
      <c r="R24" s="68" t="e">
        <f ca="1">_xll.BDP(B24,"STANDARD_DEVIATION_3YR")</f>
        <v>#NAME?</v>
      </c>
      <c r="S24" s="68" t="e">
        <f ca="1">_xll.BDP(B24,"EQY_SHARPE_RATIO_3YR")</f>
        <v>#NAME?</v>
      </c>
      <c r="T24" s="68" t="e">
        <f ca="1">_xll.BDP(B24,"FUND_EXPENSE_RATIO")</f>
        <v>#NAME?</v>
      </c>
      <c r="U24" s="66" t="e">
        <f ca="1">_xll.BDP(B24,"TRACKING_ERROR")</f>
        <v>#NAME?</v>
      </c>
      <c r="V24" s="75"/>
    </row>
    <row r="25" spans="2:23" s="72" customFormat="1" ht="38.1" customHeight="1" x14ac:dyDescent="0.7">
      <c r="B25" s="64" t="s">
        <v>71</v>
      </c>
      <c r="C25" s="65" t="s">
        <v>169</v>
      </c>
      <c r="D25" s="65" t="s">
        <v>170</v>
      </c>
      <c r="E25" s="65" t="e">
        <f ca="1">_xll.BDP(B25,"FUND_INCEPT_DT")</f>
        <v>#NAME?</v>
      </c>
      <c r="F25" s="65" t="e">
        <f ca="1">_xll.BDP(B25,"CRNCY")</f>
        <v>#NAME?</v>
      </c>
      <c r="G25" s="66" t="e">
        <f ca="1">_xll.BDP(B25,"LAST_PRICE")</f>
        <v>#NAME?</v>
      </c>
      <c r="H25" s="67" t="e">
        <f ca="1">_xll.BDP(B25,"30_DAY_AVERAGE_VOLUME_AT_TIME_RT")</f>
        <v>#NAME?</v>
      </c>
      <c r="I25" s="68" t="e">
        <f ca="1">_xll.BDP(B25,"AVERAGE_BID_ASK_SPREAD_%")</f>
        <v>#NAME?</v>
      </c>
      <c r="J25" s="69" t="e">
        <f ca="1">_xll.BDP(B25,"RT_PX_CHG_NET_1D")</f>
        <v>#NAME?</v>
      </c>
      <c r="K25" s="69" t="e">
        <f ca="1">_xll.BDP(B25,"RT_PX_CHG_PCT_1D")</f>
        <v>#NAME?</v>
      </c>
      <c r="L25" s="69" t="e">
        <f ca="1">_xll.BDP(B25,"CHG_PCT_WTD")</f>
        <v>#NAME?</v>
      </c>
      <c r="M25" s="69" t="e">
        <f ca="1">_xll.BDP(B25,"CHG_PCT_1M_RT")</f>
        <v>#NAME?</v>
      </c>
      <c r="N25" s="69" t="e">
        <f ca="1">_xll.BDP(B25,"CHG_PCT_3M_RT")</f>
        <v>#NAME?</v>
      </c>
      <c r="O25" s="69" t="e">
        <f ca="1">_xll.BDP(B25,"CHG_PCT_6M")</f>
        <v>#NAME?</v>
      </c>
      <c r="P25" s="69" t="e">
        <f ca="1">_xll.BDP(B25,"CHG_PCT_YTD")</f>
        <v>#NAME?</v>
      </c>
      <c r="Q25" s="69" t="e">
        <f ca="1">_xll.BDP(B25,"PRICE_CHANGE_1Y_PCT_RT")</f>
        <v>#NAME?</v>
      </c>
      <c r="R25" s="68" t="e">
        <f ca="1">_xll.BDP(B25,"STANDARD_DEVIATION_3YR")</f>
        <v>#NAME?</v>
      </c>
      <c r="S25" s="68" t="e">
        <f ca="1">_xll.BDP(B25,"EQY_SHARPE_RATIO_3YR")</f>
        <v>#NAME?</v>
      </c>
      <c r="T25" s="68" t="e">
        <f ca="1">_xll.BDP(B25,"FUND_EXPENSE_RATIO")</f>
        <v>#NAME?</v>
      </c>
      <c r="U25" s="66" t="e">
        <f ca="1">_xll.BDP(B25,"TRACKING_ERROR")</f>
        <v>#NAME?</v>
      </c>
      <c r="V25" s="75"/>
    </row>
    <row r="26" spans="2:23" s="72" customFormat="1" ht="38.1" customHeight="1" x14ac:dyDescent="0.7">
      <c r="B26" s="64" t="s">
        <v>72</v>
      </c>
      <c r="C26" s="65" t="s">
        <v>171</v>
      </c>
      <c r="D26" s="65" t="s">
        <v>172</v>
      </c>
      <c r="E26" s="65" t="e">
        <f ca="1">_xll.BDP(B26,"FUND_INCEPT_DT")</f>
        <v>#NAME?</v>
      </c>
      <c r="F26" s="65" t="e">
        <f ca="1">_xll.BDP(B26,"CRNCY")</f>
        <v>#NAME?</v>
      </c>
      <c r="G26" s="66" t="e">
        <f ca="1">_xll.BDP(B26,"LAST_PRICE")</f>
        <v>#NAME?</v>
      </c>
      <c r="H26" s="67" t="e">
        <f ca="1">_xll.BDP(B26,"30_DAY_AVERAGE_VOLUME_AT_TIME_RT")</f>
        <v>#NAME?</v>
      </c>
      <c r="I26" s="68" t="e">
        <f ca="1">_xll.BDP(B26,"AVERAGE_BID_ASK_SPREAD_%")</f>
        <v>#NAME?</v>
      </c>
      <c r="J26" s="69" t="e">
        <f ca="1">_xll.BDP(B26,"RT_PX_CHG_NET_1D")</f>
        <v>#NAME?</v>
      </c>
      <c r="K26" s="69" t="e">
        <f ca="1">_xll.BDP(B26,"RT_PX_CHG_PCT_1D")</f>
        <v>#NAME?</v>
      </c>
      <c r="L26" s="69" t="e">
        <f ca="1">_xll.BDP(B26,"CHG_PCT_WTD")</f>
        <v>#NAME?</v>
      </c>
      <c r="M26" s="69" t="e">
        <f ca="1">_xll.BDP(B26,"CHG_PCT_1M_RT")</f>
        <v>#NAME?</v>
      </c>
      <c r="N26" s="69" t="e">
        <f ca="1">_xll.BDP(B26,"CHG_PCT_3M_RT")</f>
        <v>#NAME?</v>
      </c>
      <c r="O26" s="69" t="e">
        <f ca="1">_xll.BDP(B26,"CHG_PCT_6M")</f>
        <v>#NAME?</v>
      </c>
      <c r="P26" s="69" t="e">
        <f ca="1">_xll.BDP(B26,"CHG_PCT_YTD")</f>
        <v>#NAME?</v>
      </c>
      <c r="Q26" s="69" t="e">
        <f ca="1">_xll.BDP(B26,"PRICE_CHANGE_1Y_PCT_RT")</f>
        <v>#NAME?</v>
      </c>
      <c r="R26" s="68" t="e">
        <f ca="1">_xll.BDP(B26,"STANDARD_DEVIATION_3YR")</f>
        <v>#NAME?</v>
      </c>
      <c r="S26" s="68" t="e">
        <f ca="1">_xll.BDP(B26,"EQY_SHARPE_RATIO_3YR")</f>
        <v>#NAME?</v>
      </c>
      <c r="T26" s="68" t="e">
        <f ca="1">_xll.BDP(B26,"FUND_EXPENSE_RATIO")</f>
        <v>#NAME?</v>
      </c>
      <c r="U26" s="66" t="s">
        <v>311</v>
      </c>
      <c r="V26" s="75"/>
    </row>
    <row r="27" spans="2:23" s="72" customFormat="1" ht="38.1" customHeight="1" x14ac:dyDescent="0.7">
      <c r="B27" s="62" t="s">
        <v>173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70"/>
      <c r="V27" s="75"/>
    </row>
    <row r="28" spans="2:23" s="72" customFormat="1" ht="38.1" customHeight="1" x14ac:dyDescent="0.7">
      <c r="B28" s="64" t="s">
        <v>73</v>
      </c>
      <c r="C28" s="65" t="s">
        <v>174</v>
      </c>
      <c r="D28" s="65" t="s">
        <v>175</v>
      </c>
      <c r="E28" s="65" t="e">
        <f ca="1">_xll.BDP(B28,"FUND_INCEPT_DT")</f>
        <v>#NAME?</v>
      </c>
      <c r="F28" s="65" t="e">
        <f ca="1">_xll.BDP(B28,"CRNCY")</f>
        <v>#NAME?</v>
      </c>
      <c r="G28" s="66" t="e">
        <f ca="1">_xll.BDP(B28,"LAST_PRICE")</f>
        <v>#NAME?</v>
      </c>
      <c r="H28" s="67" t="e">
        <f ca="1">_xll.BDP(B28,"30_DAY_AVERAGE_VOLUME_AT_TIME_RT")</f>
        <v>#NAME?</v>
      </c>
      <c r="I28" s="68" t="e">
        <f ca="1">_xll.BDP(B28,"AVERAGE_BID_ASK_SPREAD_%")</f>
        <v>#NAME?</v>
      </c>
      <c r="J28" s="69" t="e">
        <f ca="1">_xll.BDP(B28,"RT_PX_CHG_NET_1D")</f>
        <v>#NAME?</v>
      </c>
      <c r="K28" s="69" t="e">
        <f ca="1">_xll.BDP(B28,"RT_PX_CHG_PCT_1D")</f>
        <v>#NAME?</v>
      </c>
      <c r="L28" s="69" t="e">
        <f ca="1">_xll.BDP(B28,"CHG_PCT_WTD")</f>
        <v>#NAME?</v>
      </c>
      <c r="M28" s="69" t="e">
        <f ca="1">_xll.BDP(B28,"CHG_PCT_1M_RT")</f>
        <v>#NAME?</v>
      </c>
      <c r="N28" s="69" t="e">
        <f ca="1">_xll.BDP(B28,"CHG_PCT_3M_RT")</f>
        <v>#NAME?</v>
      </c>
      <c r="O28" s="69" t="e">
        <f ca="1">_xll.BDP(B28,"CHG_PCT_6M")</f>
        <v>#NAME?</v>
      </c>
      <c r="P28" s="69" t="e">
        <f ca="1">_xll.BDP(B28,"CHG_PCT_YTD")</f>
        <v>#NAME?</v>
      </c>
      <c r="Q28" s="69" t="e">
        <f ca="1">_xll.BDP(B28,"PRICE_CHANGE_1Y_PCT_RT")</f>
        <v>#NAME?</v>
      </c>
      <c r="R28" s="68" t="e">
        <f ca="1">_xll.BDP(B28,"STANDARD_DEVIATION_3YR")</f>
        <v>#NAME?</v>
      </c>
      <c r="S28" s="68" t="e">
        <f ca="1">_xll.BDP(B28,"EQY_SHARPE_RATIO_3YR")</f>
        <v>#NAME?</v>
      </c>
      <c r="T28" s="68" t="e">
        <f ca="1">_xll.BDP(B28,"FUND_EXPENSE_RATIO")</f>
        <v>#NAME?</v>
      </c>
      <c r="U28" s="66" t="e">
        <f ca="1">_xll.BDP(B28,"TRACKING_ERROR")</f>
        <v>#NAME?</v>
      </c>
      <c r="V28" s="75"/>
    </row>
    <row r="29" spans="2:23" s="72" customFormat="1" ht="38.1" customHeight="1" x14ac:dyDescent="0.7">
      <c r="B29" s="64" t="s">
        <v>74</v>
      </c>
      <c r="C29" s="65" t="s">
        <v>176</v>
      </c>
      <c r="D29" s="65" t="s">
        <v>177</v>
      </c>
      <c r="E29" s="65" t="e">
        <f ca="1">_xll.BDP(B29,"FUND_INCEPT_DT")</f>
        <v>#NAME?</v>
      </c>
      <c r="F29" s="65" t="e">
        <f ca="1">_xll.BDP(B29,"CRNCY")</f>
        <v>#NAME?</v>
      </c>
      <c r="G29" s="66" t="e">
        <f ca="1">_xll.BDP(B29,"LAST_PRICE")</f>
        <v>#NAME?</v>
      </c>
      <c r="H29" s="67" t="e">
        <f ca="1">_xll.BDP(B29,"30_DAY_AVERAGE_VOLUME_AT_TIME_RT")</f>
        <v>#NAME?</v>
      </c>
      <c r="I29" s="68" t="e">
        <f ca="1">_xll.BDP(B29,"AVERAGE_BID_ASK_SPREAD_%")</f>
        <v>#NAME?</v>
      </c>
      <c r="J29" s="69" t="e">
        <f ca="1">_xll.BDP(B29,"RT_PX_CHG_NET_1D")</f>
        <v>#NAME?</v>
      </c>
      <c r="K29" s="69" t="e">
        <f ca="1">_xll.BDP(B29,"RT_PX_CHG_PCT_1D")</f>
        <v>#NAME?</v>
      </c>
      <c r="L29" s="69" t="e">
        <f ca="1">_xll.BDP(B29,"CHG_PCT_WTD")</f>
        <v>#NAME?</v>
      </c>
      <c r="M29" s="69" t="e">
        <f ca="1">_xll.BDP(B29,"CHG_PCT_1M_RT")</f>
        <v>#NAME?</v>
      </c>
      <c r="N29" s="69" t="e">
        <f ca="1">_xll.BDP(B29,"CHG_PCT_3M_RT")</f>
        <v>#NAME?</v>
      </c>
      <c r="O29" s="69" t="e">
        <f ca="1">_xll.BDP(B29,"CHG_PCT_6M")</f>
        <v>#NAME?</v>
      </c>
      <c r="P29" s="69" t="e">
        <f ca="1">_xll.BDP(B29,"CHG_PCT_YTD")</f>
        <v>#NAME?</v>
      </c>
      <c r="Q29" s="69" t="e">
        <f ca="1">_xll.BDP(B29,"PRICE_CHANGE_1Y_PCT_RT")</f>
        <v>#NAME?</v>
      </c>
      <c r="R29" s="68" t="e">
        <f ca="1">_xll.BDP(B29,"STANDARD_DEVIATION_3YR")</f>
        <v>#NAME?</v>
      </c>
      <c r="S29" s="68" t="e">
        <f ca="1">_xll.BDP(B29,"EQY_SHARPE_RATIO_3YR")</f>
        <v>#NAME?</v>
      </c>
      <c r="T29" s="68" t="e">
        <f ca="1">_xll.BDP(B29,"FUND_EXPENSE_RATIO")</f>
        <v>#NAME?</v>
      </c>
      <c r="U29" s="66" t="s">
        <v>311</v>
      </c>
      <c r="V29" s="75"/>
    </row>
    <row r="30" spans="2:23" s="72" customFormat="1" ht="38.1" customHeight="1" x14ac:dyDescent="0.7">
      <c r="B30" s="64" t="s">
        <v>75</v>
      </c>
      <c r="C30" s="65" t="s">
        <v>178</v>
      </c>
      <c r="D30" s="65" t="s">
        <v>179</v>
      </c>
      <c r="E30" s="65" t="e">
        <f ca="1">_xll.BDP(B30,"FUND_INCEPT_DT")</f>
        <v>#NAME?</v>
      </c>
      <c r="F30" s="65" t="e">
        <f ca="1">_xll.BDP(B30,"CRNCY")</f>
        <v>#NAME?</v>
      </c>
      <c r="G30" s="66" t="e">
        <f ca="1">_xll.BDP(B30,"LAST_PRICE")</f>
        <v>#NAME?</v>
      </c>
      <c r="H30" s="67" t="e">
        <f ca="1">_xll.BDP(B30,"30_DAY_AVERAGE_VOLUME_AT_TIME_RT")</f>
        <v>#NAME?</v>
      </c>
      <c r="I30" s="68" t="e">
        <f ca="1">_xll.BDP(B30,"AVERAGE_BID_ASK_SPREAD_%")</f>
        <v>#NAME?</v>
      </c>
      <c r="J30" s="69" t="e">
        <f ca="1">_xll.BDP(B30,"RT_PX_CHG_NET_1D")</f>
        <v>#NAME?</v>
      </c>
      <c r="K30" s="69" t="e">
        <f ca="1">_xll.BDP(B30,"RT_PX_CHG_PCT_1D")</f>
        <v>#NAME?</v>
      </c>
      <c r="L30" s="69" t="e">
        <f ca="1">_xll.BDP(B30,"CHG_PCT_WTD")</f>
        <v>#NAME?</v>
      </c>
      <c r="M30" s="69" t="e">
        <f ca="1">_xll.BDP(B30,"CHG_PCT_1M_RT")</f>
        <v>#NAME?</v>
      </c>
      <c r="N30" s="69" t="e">
        <f ca="1">_xll.BDP(B30,"CHG_PCT_3M_RT")</f>
        <v>#NAME?</v>
      </c>
      <c r="O30" s="69" t="e">
        <f ca="1">_xll.BDP(B30,"CHG_PCT_6M")</f>
        <v>#NAME?</v>
      </c>
      <c r="P30" s="69" t="e">
        <f ca="1">_xll.BDP(B30,"CHG_PCT_YTD")</f>
        <v>#NAME?</v>
      </c>
      <c r="Q30" s="69" t="e">
        <f ca="1">_xll.BDP(B30,"PRICE_CHANGE_1Y_PCT_RT")</f>
        <v>#NAME?</v>
      </c>
      <c r="R30" s="68" t="e">
        <f ca="1">_xll.BDP(B30,"STANDARD_DEVIATION_3YR")</f>
        <v>#NAME?</v>
      </c>
      <c r="S30" s="68" t="e">
        <f ca="1">_xll.BDP(B30,"EQY_SHARPE_RATIO_3YR")</f>
        <v>#NAME?</v>
      </c>
      <c r="T30" s="68" t="e">
        <f ca="1">_xll.BDP(B30,"FUND_EXPENSE_RATIO")</f>
        <v>#NAME?</v>
      </c>
      <c r="U30" s="66" t="e">
        <f ca="1">_xll.BDP(B30,"TRACKING_ERROR")</f>
        <v>#NAME?</v>
      </c>
      <c r="V30" s="75"/>
    </row>
    <row r="31" spans="2:23" s="72" customFormat="1" ht="38.1" customHeight="1" x14ac:dyDescent="0.7">
      <c r="B31" s="62" t="s">
        <v>180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70"/>
      <c r="V31" s="75"/>
    </row>
    <row r="32" spans="2:23" s="72" customFormat="1" ht="38.1" customHeight="1" x14ac:dyDescent="0.7">
      <c r="B32" s="64" t="s">
        <v>76</v>
      </c>
      <c r="C32" s="65" t="s">
        <v>181</v>
      </c>
      <c r="D32" s="65" t="s">
        <v>182</v>
      </c>
      <c r="E32" s="65" t="e">
        <f ca="1">_xll.BDP(B32,"FUND_INCEPT_DT")</f>
        <v>#NAME?</v>
      </c>
      <c r="F32" s="65" t="e">
        <f ca="1">_xll.BDP(B32,"CRNCY")</f>
        <v>#NAME?</v>
      </c>
      <c r="G32" s="66" t="e">
        <f ca="1">_xll.BDP(B32,"LAST_PRICE")</f>
        <v>#NAME?</v>
      </c>
      <c r="H32" s="67" t="e">
        <f ca="1">_xll.BDP(B32,"30_DAY_AVERAGE_VOLUME_AT_TIME_RT")</f>
        <v>#NAME?</v>
      </c>
      <c r="I32" s="68" t="e">
        <f ca="1">_xll.BDP(B32,"AVERAGE_BID_ASK_SPREAD_%")</f>
        <v>#NAME?</v>
      </c>
      <c r="J32" s="69" t="e">
        <f ca="1">_xll.BDP(B32,"RT_PX_CHG_NET_1D")</f>
        <v>#NAME?</v>
      </c>
      <c r="K32" s="69" t="e">
        <f ca="1">_xll.BDP(B32,"RT_PX_CHG_PCT_1D")</f>
        <v>#NAME?</v>
      </c>
      <c r="L32" s="69" t="e">
        <f ca="1">_xll.BDP(B32,"CHG_PCT_WTD")</f>
        <v>#NAME?</v>
      </c>
      <c r="M32" s="69" t="e">
        <f ca="1">_xll.BDP(B32,"CHG_PCT_1M_RT")</f>
        <v>#NAME?</v>
      </c>
      <c r="N32" s="69" t="e">
        <f ca="1">_xll.BDP(B32,"CHG_PCT_3M_RT")</f>
        <v>#NAME?</v>
      </c>
      <c r="O32" s="69" t="e">
        <f ca="1">_xll.BDP(B32,"CHG_PCT_6M")</f>
        <v>#NAME?</v>
      </c>
      <c r="P32" s="69" t="e">
        <f ca="1">_xll.BDP(B32,"CHG_PCT_YTD")</f>
        <v>#NAME?</v>
      </c>
      <c r="Q32" s="69" t="e">
        <f ca="1">_xll.BDP(B32,"PRICE_CHANGE_1Y_PCT_RT")</f>
        <v>#NAME?</v>
      </c>
      <c r="R32" s="68" t="e">
        <f ca="1">_xll.BDP(B32,"STANDARD_DEVIATION_3YR")</f>
        <v>#NAME?</v>
      </c>
      <c r="S32" s="68" t="e">
        <f ca="1">_xll.BDP(B32,"EQY_SHARPE_RATIO_3YR")</f>
        <v>#NAME?</v>
      </c>
      <c r="T32" s="68" t="e">
        <f ca="1">_xll.BDP(B32,"FUND_EXPENSE_RATIO")</f>
        <v>#NAME?</v>
      </c>
      <c r="U32" s="66" t="e">
        <f ca="1">_xll.BDP(B32,"TRACKING_ERROR")</f>
        <v>#NAME?</v>
      </c>
      <c r="V32" s="75"/>
    </row>
    <row r="33" spans="2:22" s="72" customFormat="1" ht="38.1" customHeight="1" x14ac:dyDescent="0.7">
      <c r="B33" s="64" t="s">
        <v>77</v>
      </c>
      <c r="C33" s="65" t="s">
        <v>183</v>
      </c>
      <c r="D33" s="65" t="s">
        <v>184</v>
      </c>
      <c r="E33" s="65" t="e">
        <f ca="1">_xll.BDP(B33,"FUND_INCEPT_DT")</f>
        <v>#NAME?</v>
      </c>
      <c r="F33" s="65" t="e">
        <f ca="1">_xll.BDP(B33,"CRNCY")</f>
        <v>#NAME?</v>
      </c>
      <c r="G33" s="66" t="e">
        <f ca="1">_xll.BDP(B33,"LAST_PRICE")</f>
        <v>#NAME?</v>
      </c>
      <c r="H33" s="67" t="e">
        <f ca="1">_xll.BDP(B33,"30_DAY_AVERAGE_VOLUME_AT_TIME_RT")</f>
        <v>#NAME?</v>
      </c>
      <c r="I33" s="68" t="e">
        <f ca="1">_xll.BDP(B33,"AVERAGE_BID_ASK_SPREAD_%")</f>
        <v>#NAME?</v>
      </c>
      <c r="J33" s="69" t="e">
        <f ca="1">_xll.BDP(B33,"RT_PX_CHG_NET_1D")</f>
        <v>#NAME?</v>
      </c>
      <c r="K33" s="69" t="e">
        <f ca="1">_xll.BDP(B33,"RT_PX_CHG_PCT_1D")</f>
        <v>#NAME?</v>
      </c>
      <c r="L33" s="69" t="e">
        <f ca="1">_xll.BDP(B33,"CHG_PCT_WTD")</f>
        <v>#NAME?</v>
      </c>
      <c r="M33" s="69" t="e">
        <f ca="1">_xll.BDP(B33,"CHG_PCT_1M_RT")</f>
        <v>#NAME?</v>
      </c>
      <c r="N33" s="69" t="e">
        <f ca="1">_xll.BDP(B33,"CHG_PCT_3M_RT")</f>
        <v>#NAME?</v>
      </c>
      <c r="O33" s="69" t="e">
        <f ca="1">_xll.BDP(B33,"CHG_PCT_6M")</f>
        <v>#NAME?</v>
      </c>
      <c r="P33" s="69" t="e">
        <f ca="1">_xll.BDP(B33,"CHG_PCT_YTD")</f>
        <v>#NAME?</v>
      </c>
      <c r="Q33" s="69" t="e">
        <f ca="1">_xll.BDP(B33,"PRICE_CHANGE_1Y_PCT_RT")</f>
        <v>#NAME?</v>
      </c>
      <c r="R33" s="68" t="e">
        <f ca="1">_xll.BDP(B33,"STANDARD_DEVIATION_3YR")</f>
        <v>#NAME?</v>
      </c>
      <c r="S33" s="68" t="e">
        <f ca="1">_xll.BDP(B33,"EQY_SHARPE_RATIO_3YR")</f>
        <v>#NAME?</v>
      </c>
      <c r="T33" s="68" t="e">
        <f ca="1">_xll.BDP(B33,"FUND_EXPENSE_RATIO")</f>
        <v>#NAME?</v>
      </c>
      <c r="U33" s="66" t="e">
        <f ca="1">_xll.BDP(B33,"TRACKING_ERROR")</f>
        <v>#NAME?</v>
      </c>
      <c r="V33" s="75"/>
    </row>
    <row r="34" spans="2:22" s="72" customFormat="1" ht="38.1" customHeight="1" x14ac:dyDescent="0.7">
      <c r="B34" s="62" t="s">
        <v>185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70"/>
      <c r="V34" s="75"/>
    </row>
    <row r="35" spans="2:22" s="72" customFormat="1" ht="38.1" customHeight="1" x14ac:dyDescent="0.7">
      <c r="B35" s="64" t="s">
        <v>78</v>
      </c>
      <c r="C35" s="65" t="s">
        <v>186</v>
      </c>
      <c r="D35" s="65" t="s">
        <v>187</v>
      </c>
      <c r="E35" s="65" t="e">
        <f ca="1">_xll.BDP(B35,"FUND_INCEPT_DT")</f>
        <v>#NAME?</v>
      </c>
      <c r="F35" s="65" t="e">
        <f ca="1">_xll.BDP(B35,"CRNCY")</f>
        <v>#NAME?</v>
      </c>
      <c r="G35" s="66" t="e">
        <f ca="1">_xll.BDP(B35,"LAST_PRICE")</f>
        <v>#NAME?</v>
      </c>
      <c r="H35" s="67" t="e">
        <f ca="1">_xll.BDP(B35,"30_DAY_AVERAGE_VOLUME_AT_TIME_RT")</f>
        <v>#NAME?</v>
      </c>
      <c r="I35" s="68" t="e">
        <f ca="1">_xll.BDP(B35,"AVERAGE_BID_ASK_SPREAD_%")</f>
        <v>#NAME?</v>
      </c>
      <c r="J35" s="69" t="e">
        <f ca="1">_xll.BDP(B35,"RT_PX_CHG_NET_1D")</f>
        <v>#NAME?</v>
      </c>
      <c r="K35" s="69" t="e">
        <f ca="1">_xll.BDP(B35,"RT_PX_CHG_PCT_1D")</f>
        <v>#NAME?</v>
      </c>
      <c r="L35" s="69" t="e">
        <f ca="1">_xll.BDP(B35,"CHG_PCT_WTD")</f>
        <v>#NAME?</v>
      </c>
      <c r="M35" s="69" t="e">
        <f ca="1">_xll.BDP(B35,"CHG_PCT_1M_RT")</f>
        <v>#NAME?</v>
      </c>
      <c r="N35" s="69" t="e">
        <f ca="1">_xll.BDP(B35,"CHG_PCT_3M_RT")</f>
        <v>#NAME?</v>
      </c>
      <c r="O35" s="69" t="e">
        <f ca="1">_xll.BDP(B35,"CHG_PCT_6M")</f>
        <v>#NAME?</v>
      </c>
      <c r="P35" s="69" t="e">
        <f ca="1">_xll.BDP(B35,"CHG_PCT_YTD")</f>
        <v>#NAME?</v>
      </c>
      <c r="Q35" s="69" t="e">
        <f ca="1">_xll.BDP(B35,"PRICE_CHANGE_1Y_PCT_RT")</f>
        <v>#NAME?</v>
      </c>
      <c r="R35" s="68" t="e">
        <f ca="1">_xll.BDP(B35,"STANDARD_DEVIATION_3YR")</f>
        <v>#NAME?</v>
      </c>
      <c r="S35" s="68" t="e">
        <f ca="1">_xll.BDP(B35,"EQY_SHARPE_RATIO_3YR")</f>
        <v>#NAME?</v>
      </c>
      <c r="T35" s="68" t="e">
        <f ca="1">_xll.BDP(B35,"FUND_EXPENSE_RATIO")</f>
        <v>#NAME?</v>
      </c>
      <c r="U35" s="66" t="e">
        <f ca="1">_xll.BDP(B35,"TRACKING_ERROR")</f>
        <v>#NAME?</v>
      </c>
      <c r="V35" s="75"/>
    </row>
    <row r="36" spans="2:22" s="72" customFormat="1" ht="38.1" customHeight="1" x14ac:dyDescent="0.7">
      <c r="B36" s="64" t="s">
        <v>79</v>
      </c>
      <c r="C36" s="65" t="s">
        <v>188</v>
      </c>
      <c r="D36" s="65" t="s">
        <v>189</v>
      </c>
      <c r="E36" s="65" t="e">
        <f ca="1">_xll.BDP(B36,"FUND_INCEPT_DT")</f>
        <v>#NAME?</v>
      </c>
      <c r="F36" s="65" t="e">
        <f ca="1">_xll.BDP(B36,"CRNCY")</f>
        <v>#NAME?</v>
      </c>
      <c r="G36" s="66" t="e">
        <f ca="1">_xll.BDP(B36,"LAST_PRICE")</f>
        <v>#NAME?</v>
      </c>
      <c r="H36" s="67" t="e">
        <f ca="1">_xll.BDP(B36,"30_DAY_AVERAGE_VOLUME_AT_TIME_RT")</f>
        <v>#NAME?</v>
      </c>
      <c r="I36" s="68" t="e">
        <f ca="1">_xll.BDP(B36,"AVERAGE_BID_ASK_SPREAD_%")</f>
        <v>#NAME?</v>
      </c>
      <c r="J36" s="69" t="e">
        <f ca="1">_xll.BDP(B36,"RT_PX_CHG_NET_1D")</f>
        <v>#NAME?</v>
      </c>
      <c r="K36" s="69" t="e">
        <f ca="1">_xll.BDP(B36,"RT_PX_CHG_PCT_1D")</f>
        <v>#NAME?</v>
      </c>
      <c r="L36" s="69" t="e">
        <f ca="1">_xll.BDP(B36,"CHG_PCT_WTD")</f>
        <v>#NAME?</v>
      </c>
      <c r="M36" s="69" t="e">
        <f ca="1">_xll.BDP(B36,"CHG_PCT_1M_RT")</f>
        <v>#NAME?</v>
      </c>
      <c r="N36" s="69" t="e">
        <f ca="1">_xll.BDP(B36,"CHG_PCT_3M_RT")</f>
        <v>#NAME?</v>
      </c>
      <c r="O36" s="69" t="e">
        <f ca="1">_xll.BDP(B36,"CHG_PCT_6M")</f>
        <v>#NAME?</v>
      </c>
      <c r="P36" s="69" t="e">
        <f ca="1">_xll.BDP(B36,"CHG_PCT_YTD")</f>
        <v>#NAME?</v>
      </c>
      <c r="Q36" s="69" t="e">
        <f ca="1">_xll.BDP(B36,"PRICE_CHANGE_1Y_PCT_RT")</f>
        <v>#NAME?</v>
      </c>
      <c r="R36" s="68" t="e">
        <f ca="1">_xll.BDP(B36,"STANDARD_DEVIATION_3YR")</f>
        <v>#NAME?</v>
      </c>
      <c r="S36" s="68" t="e">
        <f ca="1">_xll.BDP(B36,"EQY_SHARPE_RATIO_3YR")</f>
        <v>#NAME?</v>
      </c>
      <c r="T36" s="68" t="e">
        <f ca="1">_xll.BDP(B36,"FUND_EXPENSE_RATIO")</f>
        <v>#NAME?</v>
      </c>
      <c r="U36" s="66" t="e">
        <f ca="1">_xll.BDP(B36,"TRACKING_ERROR")</f>
        <v>#NAME?</v>
      </c>
      <c r="V36" s="75"/>
    </row>
    <row r="37" spans="2:22" s="72" customFormat="1" ht="38.1" customHeight="1" x14ac:dyDescent="0.7">
      <c r="B37" s="64" t="s">
        <v>80</v>
      </c>
      <c r="C37" s="65" t="s">
        <v>190</v>
      </c>
      <c r="D37" s="65" t="s">
        <v>155</v>
      </c>
      <c r="E37" s="65" t="e">
        <f ca="1">_xll.BDP(B37,"FUND_INCEPT_DT")</f>
        <v>#NAME?</v>
      </c>
      <c r="F37" s="65" t="e">
        <f ca="1">_xll.BDP(B37,"CRNCY")</f>
        <v>#NAME?</v>
      </c>
      <c r="G37" s="66" t="e">
        <f ca="1">_xll.BDP(B37,"LAST_PRICE")</f>
        <v>#NAME?</v>
      </c>
      <c r="H37" s="67" t="e">
        <f ca="1">_xll.BDP(B37,"30_DAY_AVERAGE_VOLUME_AT_TIME_RT")</f>
        <v>#NAME?</v>
      </c>
      <c r="I37" s="68" t="e">
        <f ca="1">_xll.BDP(B37,"AVERAGE_BID_ASK_SPREAD_%")</f>
        <v>#NAME?</v>
      </c>
      <c r="J37" s="69" t="e">
        <f ca="1">_xll.BDP(B37,"RT_PX_CHG_NET_1D")</f>
        <v>#NAME?</v>
      </c>
      <c r="K37" s="69" t="e">
        <f ca="1">_xll.BDP(B37,"RT_PX_CHG_PCT_1D")</f>
        <v>#NAME?</v>
      </c>
      <c r="L37" s="69" t="e">
        <f ca="1">_xll.BDP(B37,"CHG_PCT_WTD")</f>
        <v>#NAME?</v>
      </c>
      <c r="M37" s="69" t="e">
        <f ca="1">_xll.BDP(B37,"CHG_PCT_1M_RT")</f>
        <v>#NAME?</v>
      </c>
      <c r="N37" s="69" t="e">
        <f ca="1">_xll.BDP(B37,"CHG_PCT_3M_RT")</f>
        <v>#NAME?</v>
      </c>
      <c r="O37" s="69" t="e">
        <f ca="1">_xll.BDP(B37,"CHG_PCT_6M")</f>
        <v>#NAME?</v>
      </c>
      <c r="P37" s="69" t="e">
        <f ca="1">_xll.BDP(B37,"CHG_PCT_YTD")</f>
        <v>#NAME?</v>
      </c>
      <c r="Q37" s="69" t="e">
        <f ca="1">_xll.BDP(B37,"PRICE_CHANGE_1Y_PCT_RT")</f>
        <v>#NAME?</v>
      </c>
      <c r="R37" s="68" t="e">
        <f ca="1">_xll.BDP(B37,"STANDARD_DEVIATION_3YR")</f>
        <v>#NAME?</v>
      </c>
      <c r="S37" s="68" t="e">
        <f ca="1">_xll.BDP(B37,"EQY_SHARPE_RATIO_3YR")</f>
        <v>#NAME?</v>
      </c>
      <c r="T37" s="68" t="e">
        <f ca="1">_xll.BDP(B37,"FUND_EXPENSE_RATIO")</f>
        <v>#NAME?</v>
      </c>
      <c r="U37" s="66" t="s">
        <v>311</v>
      </c>
      <c r="V37" s="75"/>
    </row>
    <row r="38" spans="2:22" s="72" customFormat="1" ht="38.1" customHeight="1" x14ac:dyDescent="0.7">
      <c r="B38" s="64" t="s">
        <v>81</v>
      </c>
      <c r="C38" s="65" t="s">
        <v>191</v>
      </c>
      <c r="D38" s="65" t="s">
        <v>166</v>
      </c>
      <c r="E38" s="65" t="e">
        <f ca="1">_xll.BDP(B38,"FUND_INCEPT_DT")</f>
        <v>#NAME?</v>
      </c>
      <c r="F38" s="65" t="e">
        <f ca="1">_xll.BDP(B38,"CRNCY")</f>
        <v>#NAME?</v>
      </c>
      <c r="G38" s="66" t="e">
        <f ca="1">_xll.BDP(B38,"LAST_PRICE")</f>
        <v>#NAME?</v>
      </c>
      <c r="H38" s="67" t="e">
        <f ca="1">_xll.BDP(B38,"30_DAY_AVERAGE_VOLUME_AT_TIME_RT")</f>
        <v>#NAME?</v>
      </c>
      <c r="I38" s="68" t="e">
        <f ca="1">_xll.BDP(B38,"AVERAGE_BID_ASK_SPREAD_%")</f>
        <v>#NAME?</v>
      </c>
      <c r="J38" s="69" t="e">
        <f ca="1">_xll.BDP(B38,"RT_PX_CHG_NET_1D")</f>
        <v>#NAME?</v>
      </c>
      <c r="K38" s="69" t="e">
        <f ca="1">_xll.BDP(B38,"RT_PX_CHG_PCT_1D")</f>
        <v>#NAME?</v>
      </c>
      <c r="L38" s="69" t="e">
        <f ca="1">_xll.BDP(B38,"CHG_PCT_WTD")</f>
        <v>#NAME?</v>
      </c>
      <c r="M38" s="69" t="e">
        <f ca="1">_xll.BDP(B38,"CHG_PCT_1M_RT")</f>
        <v>#NAME?</v>
      </c>
      <c r="N38" s="69" t="e">
        <f ca="1">_xll.BDP(B38,"CHG_PCT_3M_RT")</f>
        <v>#NAME?</v>
      </c>
      <c r="O38" s="69" t="e">
        <f ca="1">_xll.BDP(B38,"CHG_PCT_6M")</f>
        <v>#NAME?</v>
      </c>
      <c r="P38" s="69" t="e">
        <f ca="1">_xll.BDP(B38,"CHG_PCT_YTD")</f>
        <v>#NAME?</v>
      </c>
      <c r="Q38" s="69" t="e">
        <f ca="1">_xll.BDP(B38,"PRICE_CHANGE_1Y_PCT_RT")</f>
        <v>#NAME?</v>
      </c>
      <c r="R38" s="68" t="e">
        <f ca="1">_xll.BDP(B38,"STANDARD_DEVIATION_3YR")</f>
        <v>#NAME?</v>
      </c>
      <c r="S38" s="68" t="e">
        <f ca="1">_xll.BDP(B38,"EQY_SHARPE_RATIO_3YR")</f>
        <v>#NAME?</v>
      </c>
      <c r="T38" s="68" t="e">
        <f ca="1">_xll.BDP(B38,"FUND_EXPENSE_RATIO")</f>
        <v>#NAME?</v>
      </c>
      <c r="U38" s="66" t="s">
        <v>311</v>
      </c>
      <c r="V38" s="75"/>
    </row>
    <row r="39" spans="2:22" s="72" customFormat="1" ht="38.1" customHeight="1" x14ac:dyDescent="0.7">
      <c r="B39" s="81" t="s">
        <v>305</v>
      </c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</row>
    <row r="40" spans="2:22" s="72" customFormat="1" ht="38.1" hidden="1" customHeight="1" x14ac:dyDescent="0.7">
      <c r="B40" s="80" t="s">
        <v>192</v>
      </c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5"/>
    </row>
    <row r="41" spans="2:22" s="72" customFormat="1" ht="38.1" hidden="1" customHeight="1" x14ac:dyDescent="0.7">
      <c r="B41" s="80" t="s">
        <v>193</v>
      </c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5"/>
    </row>
    <row r="42" spans="2:22" s="72" customFormat="1" ht="38.1" hidden="1" customHeight="1" x14ac:dyDescent="0.7">
      <c r="B42" s="64" t="s">
        <v>82</v>
      </c>
      <c r="C42" s="65" t="s">
        <v>194</v>
      </c>
      <c r="D42" s="65" t="s">
        <v>195</v>
      </c>
      <c r="E42" s="65" t="e">
        <f ca="1">_xll.BDP(B42,"FUND_INCEPT_DT")</f>
        <v>#NAME?</v>
      </c>
      <c r="F42" s="65" t="e">
        <f ca="1">_xll.BDP(B42,"CRNCY")</f>
        <v>#NAME?</v>
      </c>
      <c r="G42" s="66" t="e">
        <f ca="1">_xll.BDP(B42,"LAST_PRICE")</f>
        <v>#NAME?</v>
      </c>
      <c r="H42" s="67" t="e">
        <f ca="1">_xll.BDP(B42,"30_DAY_AVERAGE_VOLUME_AT_TIME_RT")</f>
        <v>#NAME?</v>
      </c>
      <c r="I42" s="68" t="e">
        <f ca="1">_xll.BDP(B42,"AVERAGE_BID_ASK_SPREAD_%")</f>
        <v>#NAME?</v>
      </c>
      <c r="J42" s="69" t="e">
        <f ca="1">_xll.BDP(B42,"RT_PX_CHG_NET_1D")</f>
        <v>#NAME?</v>
      </c>
      <c r="K42" s="69" t="e">
        <f ca="1">_xll.BDP(B42,"RT_PX_CHG_PCT_1D")</f>
        <v>#NAME?</v>
      </c>
      <c r="L42" s="69" t="e">
        <f ca="1">_xll.BDP(B42,"CHG_PCT_WTD")</f>
        <v>#NAME?</v>
      </c>
      <c r="M42" s="69" t="e">
        <f ca="1">_xll.BDP(B42,"CHG_PCT_1M_RT")</f>
        <v>#NAME?</v>
      </c>
      <c r="N42" s="69" t="e">
        <f ca="1">_xll.BDP(B42,"CHG_PCT_3M_RT")</f>
        <v>#NAME?</v>
      </c>
      <c r="O42" s="69" t="e">
        <f ca="1">_xll.BDP(B42,"CHG_PCT_6M")</f>
        <v>#NAME?</v>
      </c>
      <c r="P42" s="69" t="e">
        <f ca="1">_xll.BDP(B42,"CHG_PCT_YTD")</f>
        <v>#NAME?</v>
      </c>
      <c r="Q42" s="69" t="e">
        <f ca="1">_xll.BDP(B42,"PRICE_CHANGE_1Y_PCT_RT")</f>
        <v>#NAME?</v>
      </c>
      <c r="R42" s="68" t="e">
        <f ca="1">_xll.BDP(B42,"STANDARD_DEVIATION_3YR")</f>
        <v>#NAME?</v>
      </c>
      <c r="S42" s="68" t="e">
        <f ca="1">_xll.BDP(B42,"EQY_SHARPE_RATIO_3YR")</f>
        <v>#NAME?</v>
      </c>
      <c r="T42" s="68" t="e">
        <f ca="1">_xll.BDP(B42,"FUND_EXPENSE_RATIO")</f>
        <v>#NAME?</v>
      </c>
      <c r="U42" s="68" t="e">
        <f ca="1">_xll.BDP(B42,"TRACKING_ERROR")</f>
        <v>#NAME?</v>
      </c>
      <c r="V42" s="75"/>
    </row>
    <row r="43" spans="2:22" s="72" customFormat="1" ht="38.1" hidden="1" customHeight="1" x14ac:dyDescent="0.7">
      <c r="B43" s="64" t="s">
        <v>83</v>
      </c>
      <c r="C43" s="65" t="s">
        <v>196</v>
      </c>
      <c r="D43" s="65" t="s">
        <v>197</v>
      </c>
      <c r="E43" s="65" t="e">
        <f ca="1">_xll.BDP(B43,"FUND_INCEPT_DT")</f>
        <v>#NAME?</v>
      </c>
      <c r="F43" s="65" t="e">
        <f ca="1">_xll.BDP(B43,"CRNCY")</f>
        <v>#NAME?</v>
      </c>
      <c r="G43" s="66" t="e">
        <f ca="1">_xll.BDP(B43,"LAST_PRICE")</f>
        <v>#NAME?</v>
      </c>
      <c r="H43" s="67" t="e">
        <f ca="1">_xll.BDP(B43,"30_DAY_AVERAGE_VOLUME_AT_TIME_RT")</f>
        <v>#NAME?</v>
      </c>
      <c r="I43" s="68" t="e">
        <f ca="1">_xll.BDP(B43,"AVERAGE_BID_ASK_SPREAD_%")</f>
        <v>#NAME?</v>
      </c>
      <c r="J43" s="69" t="e">
        <f ca="1">_xll.BDP(B43,"RT_PX_CHG_NET_1D")</f>
        <v>#NAME?</v>
      </c>
      <c r="K43" s="69" t="e">
        <f ca="1">_xll.BDP(B43,"RT_PX_CHG_PCT_1D")</f>
        <v>#NAME?</v>
      </c>
      <c r="L43" s="69" t="e">
        <f ca="1">_xll.BDP(B43,"CHG_PCT_WTD")</f>
        <v>#NAME?</v>
      </c>
      <c r="M43" s="69" t="e">
        <f ca="1">_xll.BDP(B43,"CHG_PCT_1M_RT")</f>
        <v>#NAME?</v>
      </c>
      <c r="N43" s="69" t="e">
        <f ca="1">_xll.BDP(B43,"CHG_PCT_3M_RT")</f>
        <v>#NAME?</v>
      </c>
      <c r="O43" s="69" t="e">
        <f ca="1">_xll.BDP(B43,"CHG_PCT_6M")</f>
        <v>#NAME?</v>
      </c>
      <c r="P43" s="69" t="e">
        <f ca="1">_xll.BDP(B43,"CHG_PCT_YTD")</f>
        <v>#NAME?</v>
      </c>
      <c r="Q43" s="69" t="e">
        <f ca="1">_xll.BDP(B43,"PRICE_CHANGE_1Y_PCT_RT")</f>
        <v>#NAME?</v>
      </c>
      <c r="R43" s="68" t="e">
        <f ca="1">_xll.BDP(B43,"STANDARD_DEVIATION_3YR")</f>
        <v>#NAME?</v>
      </c>
      <c r="S43" s="68" t="e">
        <f ca="1">_xll.BDP(B43,"EQY_SHARPE_RATIO_3YR")</f>
        <v>#NAME?</v>
      </c>
      <c r="T43" s="68" t="e">
        <f ca="1">_xll.BDP(B43,"FUND_EXPENSE_RATIO")</f>
        <v>#NAME?</v>
      </c>
      <c r="U43" s="68" t="e">
        <f ca="1">_xll.BDP(B43,"TRACKING_ERROR")</f>
        <v>#NAME?</v>
      </c>
      <c r="V43" s="75"/>
    </row>
    <row r="44" spans="2:22" s="72" customFormat="1" ht="38.1" hidden="1" customHeight="1" x14ac:dyDescent="0.7">
      <c r="B44" s="80" t="s">
        <v>198</v>
      </c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5"/>
    </row>
    <row r="45" spans="2:22" s="72" customFormat="1" ht="38.1" hidden="1" customHeight="1" x14ac:dyDescent="0.7">
      <c r="B45" s="64" t="s">
        <v>84</v>
      </c>
      <c r="C45" s="65" t="s">
        <v>199</v>
      </c>
      <c r="D45" s="65" t="s">
        <v>200</v>
      </c>
      <c r="E45" s="65" t="e">
        <f ca="1">_xll.BDP(B45,"FUND_INCEPT_DT")</f>
        <v>#NAME?</v>
      </c>
      <c r="F45" s="65" t="e">
        <f ca="1">_xll.BDP(B45,"CRNCY")</f>
        <v>#NAME?</v>
      </c>
      <c r="G45" s="66" t="e">
        <f ca="1">_xll.BDP(B45,"LAST_PRICE")</f>
        <v>#NAME?</v>
      </c>
      <c r="H45" s="67" t="e">
        <f ca="1">_xll.BDP(B45,"30_DAY_AVERAGE_VOLUME_AT_TIME_RT")</f>
        <v>#NAME?</v>
      </c>
      <c r="I45" s="68" t="e">
        <f ca="1">_xll.BDP(B45,"AVERAGE_BID_ASK_SPREAD_%")</f>
        <v>#NAME?</v>
      </c>
      <c r="J45" s="69" t="e">
        <f ca="1">_xll.BDP(B45,"RT_PX_CHG_NET_1D")</f>
        <v>#NAME?</v>
      </c>
      <c r="K45" s="69" t="e">
        <f ca="1">_xll.BDP(B45,"RT_PX_CHG_PCT_1D")</f>
        <v>#NAME?</v>
      </c>
      <c r="L45" s="69" t="e">
        <f ca="1">_xll.BDP(B45,"CHG_PCT_WTD")</f>
        <v>#NAME?</v>
      </c>
      <c r="M45" s="69" t="e">
        <f ca="1">_xll.BDP(B45,"CHG_PCT_1M_RT")</f>
        <v>#NAME?</v>
      </c>
      <c r="N45" s="69" t="e">
        <f ca="1">_xll.BDP(B45,"CHG_PCT_3M_RT")</f>
        <v>#NAME?</v>
      </c>
      <c r="O45" s="69" t="e">
        <f ca="1">_xll.BDP(B45,"CHG_PCT_6M")</f>
        <v>#NAME?</v>
      </c>
      <c r="P45" s="69" t="e">
        <f ca="1">_xll.BDP(B45,"CHG_PCT_YTD")</f>
        <v>#NAME?</v>
      </c>
      <c r="Q45" s="69" t="e">
        <f ca="1">_xll.BDP(B45,"PRICE_CHANGE_1Y_PCT_RT")</f>
        <v>#NAME?</v>
      </c>
      <c r="R45" s="68" t="e">
        <f ca="1">_xll.BDP(B45,"STANDARD_DEVIATION_3YR")</f>
        <v>#NAME?</v>
      </c>
      <c r="S45" s="68" t="e">
        <f ca="1">_xll.BDP(B45,"EQY_SHARPE_RATIO_3YR")</f>
        <v>#NAME?</v>
      </c>
      <c r="T45" s="68" t="e">
        <f ca="1">_xll.BDP(B45,"FUND_EXPENSE_RATIO")</f>
        <v>#NAME?</v>
      </c>
      <c r="U45" s="68" t="e">
        <f ca="1">_xll.BDP(B45,"TRACKING_ERROR")</f>
        <v>#NAME?</v>
      </c>
      <c r="V45" s="75"/>
    </row>
    <row r="46" spans="2:22" s="72" customFormat="1" ht="38.1" hidden="1" customHeight="1" x14ac:dyDescent="0.7">
      <c r="B46" s="64" t="s">
        <v>85</v>
      </c>
      <c r="C46" s="65" t="s">
        <v>201</v>
      </c>
      <c r="D46" s="65" t="s">
        <v>200</v>
      </c>
      <c r="E46" s="65" t="e">
        <f ca="1">_xll.BDP(B46,"FUND_INCEPT_DT")</f>
        <v>#NAME?</v>
      </c>
      <c r="F46" s="65" t="e">
        <f ca="1">_xll.BDP(B46,"CRNCY")</f>
        <v>#NAME?</v>
      </c>
      <c r="G46" s="66" t="e">
        <f ca="1">_xll.BDP(B46,"LAST_PRICE")</f>
        <v>#NAME?</v>
      </c>
      <c r="H46" s="67" t="e">
        <f ca="1">_xll.BDP(B46,"30_DAY_AVERAGE_VOLUME_AT_TIME_RT")</f>
        <v>#NAME?</v>
      </c>
      <c r="I46" s="68" t="e">
        <f ca="1">_xll.BDP(B46,"AVERAGE_BID_ASK_SPREAD_%")</f>
        <v>#NAME?</v>
      </c>
      <c r="J46" s="69" t="e">
        <f ca="1">_xll.BDP(B46,"RT_PX_CHG_NET_1D")</f>
        <v>#NAME?</v>
      </c>
      <c r="K46" s="69" t="e">
        <f ca="1">_xll.BDP(B46,"RT_PX_CHG_PCT_1D")</f>
        <v>#NAME?</v>
      </c>
      <c r="L46" s="69" t="e">
        <f ca="1">_xll.BDP(B46,"CHG_PCT_WTD")</f>
        <v>#NAME?</v>
      </c>
      <c r="M46" s="69" t="e">
        <f ca="1">_xll.BDP(B46,"CHG_PCT_1M_RT")</f>
        <v>#NAME?</v>
      </c>
      <c r="N46" s="69" t="e">
        <f ca="1">_xll.BDP(B46,"CHG_PCT_3M_RT")</f>
        <v>#NAME?</v>
      </c>
      <c r="O46" s="69" t="e">
        <f ca="1">_xll.BDP(B46,"CHG_PCT_6M")</f>
        <v>#NAME?</v>
      </c>
      <c r="P46" s="69" t="e">
        <f ca="1">_xll.BDP(B46,"CHG_PCT_YTD")</f>
        <v>#NAME?</v>
      </c>
      <c r="Q46" s="69" t="e">
        <f ca="1">_xll.BDP(B46,"PRICE_CHANGE_1Y_PCT_RT")</f>
        <v>#NAME?</v>
      </c>
      <c r="R46" s="68" t="e">
        <f ca="1">_xll.BDP(B46,"STANDARD_DEVIATION_3YR")</f>
        <v>#NAME?</v>
      </c>
      <c r="S46" s="68" t="e">
        <f ca="1">_xll.BDP(B46,"EQY_SHARPE_RATIO_3YR")</f>
        <v>#NAME?</v>
      </c>
      <c r="T46" s="68" t="e">
        <f ca="1">_xll.BDP(B46,"FUND_EXPENSE_RATIO")</f>
        <v>#NAME?</v>
      </c>
      <c r="U46" s="68" t="e">
        <f ca="1">_xll.BDP(B46,"TRACKING_ERROR")</f>
        <v>#NAME?</v>
      </c>
      <c r="V46" s="75"/>
    </row>
    <row r="47" spans="2:22" s="72" customFormat="1" ht="38.1" hidden="1" customHeight="1" x14ac:dyDescent="0.7">
      <c r="B47" s="64" t="s">
        <v>86</v>
      </c>
      <c r="C47" s="65" t="s">
        <v>202</v>
      </c>
      <c r="D47" s="65" t="s">
        <v>200</v>
      </c>
      <c r="E47" s="65" t="e">
        <f ca="1">_xll.BDP(B47,"FUND_INCEPT_DT")</f>
        <v>#NAME?</v>
      </c>
      <c r="F47" s="65" t="e">
        <f ca="1">_xll.BDP(B47,"CRNCY")</f>
        <v>#NAME?</v>
      </c>
      <c r="G47" s="66" t="e">
        <f ca="1">_xll.BDP(B47,"LAST_PRICE")</f>
        <v>#NAME?</v>
      </c>
      <c r="H47" s="67" t="e">
        <f ca="1">_xll.BDP(B47,"30_DAY_AVERAGE_VOLUME_AT_TIME_RT")</f>
        <v>#NAME?</v>
      </c>
      <c r="I47" s="68" t="e">
        <f ca="1">_xll.BDP(B47,"AVERAGE_BID_ASK_SPREAD_%")</f>
        <v>#NAME?</v>
      </c>
      <c r="J47" s="69" t="e">
        <f ca="1">_xll.BDP(B47,"RT_PX_CHG_NET_1D")</f>
        <v>#NAME?</v>
      </c>
      <c r="K47" s="69" t="e">
        <f ca="1">_xll.BDP(B47,"RT_PX_CHG_PCT_1D")</f>
        <v>#NAME?</v>
      </c>
      <c r="L47" s="69" t="e">
        <f ca="1">_xll.BDP(B47,"CHG_PCT_WTD")</f>
        <v>#NAME?</v>
      </c>
      <c r="M47" s="69" t="e">
        <f ca="1">_xll.BDP(B47,"CHG_PCT_1M_RT")</f>
        <v>#NAME?</v>
      </c>
      <c r="N47" s="69" t="e">
        <f ca="1">_xll.BDP(B47,"CHG_PCT_3M_RT")</f>
        <v>#NAME?</v>
      </c>
      <c r="O47" s="69" t="e">
        <f ca="1">_xll.BDP(B47,"CHG_PCT_6M")</f>
        <v>#NAME?</v>
      </c>
      <c r="P47" s="69" t="e">
        <f ca="1">_xll.BDP(B47,"CHG_PCT_YTD")</f>
        <v>#NAME?</v>
      </c>
      <c r="Q47" s="69" t="e">
        <f ca="1">_xll.BDP(B47,"PRICE_CHANGE_1Y_PCT_RT")</f>
        <v>#NAME?</v>
      </c>
      <c r="R47" s="68" t="e">
        <f ca="1">_xll.BDP(B47,"STANDARD_DEVIATION_3YR")</f>
        <v>#NAME?</v>
      </c>
      <c r="S47" s="68" t="e">
        <f ca="1">_xll.BDP(B47,"EQY_SHARPE_RATIO_3YR")</f>
        <v>#NAME?</v>
      </c>
      <c r="T47" s="68" t="e">
        <f ca="1">_xll.BDP(B47,"FUND_EXPENSE_RATIO")</f>
        <v>#NAME?</v>
      </c>
      <c r="U47" s="68" t="e">
        <f ca="1">_xll.BDP(B47,"TRACKING_ERROR")</f>
        <v>#NAME?</v>
      </c>
      <c r="V47" s="75"/>
    </row>
    <row r="48" spans="2:22" s="72" customFormat="1" ht="38.1" hidden="1" customHeight="1" x14ac:dyDescent="0.7">
      <c r="B48" s="64" t="s">
        <v>87</v>
      </c>
      <c r="C48" s="65" t="s">
        <v>203</v>
      </c>
      <c r="D48" s="65" t="s">
        <v>200</v>
      </c>
      <c r="E48" s="65" t="e">
        <f ca="1">_xll.BDP(B48,"FUND_INCEPT_DT")</f>
        <v>#NAME?</v>
      </c>
      <c r="F48" s="65" t="e">
        <f ca="1">_xll.BDP(B48,"CRNCY")</f>
        <v>#NAME?</v>
      </c>
      <c r="G48" s="66" t="e">
        <f ca="1">_xll.BDP(B48,"LAST_PRICE")</f>
        <v>#NAME?</v>
      </c>
      <c r="H48" s="67" t="e">
        <f ca="1">_xll.BDP(B48,"30_DAY_AVERAGE_VOLUME_AT_TIME_RT")</f>
        <v>#NAME?</v>
      </c>
      <c r="I48" s="68" t="e">
        <f ca="1">_xll.BDP(B48,"AVERAGE_BID_ASK_SPREAD_%")</f>
        <v>#NAME?</v>
      </c>
      <c r="J48" s="69" t="e">
        <f ca="1">_xll.BDP(B48,"RT_PX_CHG_NET_1D")</f>
        <v>#NAME?</v>
      </c>
      <c r="K48" s="69" t="e">
        <f ca="1">_xll.BDP(B48,"RT_PX_CHG_PCT_1D")</f>
        <v>#NAME?</v>
      </c>
      <c r="L48" s="69" t="e">
        <f ca="1">_xll.BDP(B48,"CHG_PCT_WTD")</f>
        <v>#NAME?</v>
      </c>
      <c r="M48" s="69" t="e">
        <f ca="1">_xll.BDP(B48,"CHG_PCT_1M_RT")</f>
        <v>#NAME?</v>
      </c>
      <c r="N48" s="69" t="e">
        <f ca="1">_xll.BDP(B48,"CHG_PCT_3M_RT")</f>
        <v>#NAME?</v>
      </c>
      <c r="O48" s="69" t="e">
        <f ca="1">_xll.BDP(B48,"CHG_PCT_6M")</f>
        <v>#NAME?</v>
      </c>
      <c r="P48" s="69" t="e">
        <f ca="1">_xll.BDP(B48,"CHG_PCT_YTD")</f>
        <v>#NAME?</v>
      </c>
      <c r="Q48" s="69" t="e">
        <f ca="1">_xll.BDP(B48,"PRICE_CHANGE_1Y_PCT_RT")</f>
        <v>#NAME?</v>
      </c>
      <c r="R48" s="68" t="e">
        <f ca="1">_xll.BDP(B48,"STANDARD_DEVIATION_3YR")</f>
        <v>#NAME?</v>
      </c>
      <c r="S48" s="68" t="e">
        <f ca="1">_xll.BDP(B48,"EQY_SHARPE_RATIO_3YR")</f>
        <v>#NAME?</v>
      </c>
      <c r="T48" s="68" t="e">
        <f ca="1">_xll.BDP(B48,"FUND_EXPENSE_RATIO")</f>
        <v>#NAME?</v>
      </c>
      <c r="U48" s="68" t="e">
        <f ca="1">_xll.BDP(B48,"TRACKING_ERROR")</f>
        <v>#NAME?</v>
      </c>
      <c r="V48" s="75"/>
    </row>
    <row r="49" spans="2:22" s="72" customFormat="1" ht="38.1" hidden="1" customHeight="1" x14ac:dyDescent="0.7">
      <c r="B49" s="64" t="s">
        <v>88</v>
      </c>
      <c r="C49" s="65" t="s">
        <v>204</v>
      </c>
      <c r="D49" s="65" t="s">
        <v>205</v>
      </c>
      <c r="E49" s="65" t="e">
        <f ca="1">_xll.BDP(B49,"FUND_INCEPT_DT")</f>
        <v>#NAME?</v>
      </c>
      <c r="F49" s="65" t="e">
        <f ca="1">_xll.BDP(B49,"CRNCY")</f>
        <v>#NAME?</v>
      </c>
      <c r="G49" s="66" t="e">
        <f ca="1">_xll.BDP(B49,"LAST_PRICE")</f>
        <v>#NAME?</v>
      </c>
      <c r="H49" s="67" t="e">
        <f ca="1">_xll.BDP(B49,"30_DAY_AVERAGE_VOLUME_AT_TIME_RT")</f>
        <v>#NAME?</v>
      </c>
      <c r="I49" s="68" t="e">
        <f ca="1">_xll.BDP(B49,"AVERAGE_BID_ASK_SPREAD_%")</f>
        <v>#NAME?</v>
      </c>
      <c r="J49" s="69" t="e">
        <f ca="1">_xll.BDP(B49,"RT_PX_CHG_NET_1D")</f>
        <v>#NAME?</v>
      </c>
      <c r="K49" s="69" t="e">
        <f ca="1">_xll.BDP(B49,"RT_PX_CHG_PCT_1D")</f>
        <v>#NAME?</v>
      </c>
      <c r="L49" s="69" t="e">
        <f ca="1">_xll.BDP(B49,"CHG_PCT_WTD")</f>
        <v>#NAME?</v>
      </c>
      <c r="M49" s="69" t="e">
        <f ca="1">_xll.BDP(B49,"CHG_PCT_1M_RT")</f>
        <v>#NAME?</v>
      </c>
      <c r="N49" s="69" t="e">
        <f ca="1">_xll.BDP(B49,"CHG_PCT_3M_RT")</f>
        <v>#NAME?</v>
      </c>
      <c r="O49" s="69" t="e">
        <f ca="1">_xll.BDP(B49,"CHG_PCT_6M")</f>
        <v>#NAME?</v>
      </c>
      <c r="P49" s="69" t="e">
        <f ca="1">_xll.BDP(B49,"CHG_PCT_YTD")</f>
        <v>#NAME?</v>
      </c>
      <c r="Q49" s="69" t="e">
        <f ca="1">_xll.BDP(B49,"PRICE_CHANGE_1Y_PCT_RT")</f>
        <v>#NAME?</v>
      </c>
      <c r="R49" s="68" t="e">
        <f ca="1">_xll.BDP(B49,"STANDARD_DEVIATION_3YR")</f>
        <v>#NAME?</v>
      </c>
      <c r="S49" s="68" t="e">
        <f ca="1">_xll.BDP(B49,"EQY_SHARPE_RATIO_3YR")</f>
        <v>#NAME?</v>
      </c>
      <c r="T49" s="68" t="e">
        <f ca="1">_xll.BDP(B49,"FUND_EXPENSE_RATIO")</f>
        <v>#NAME?</v>
      </c>
      <c r="U49" s="68" t="e">
        <f ca="1">_xll.BDP(B49,"TRACKING_ERROR")</f>
        <v>#NAME?</v>
      </c>
      <c r="V49" s="75"/>
    </row>
    <row r="50" spans="2:22" s="72" customFormat="1" ht="38.1" hidden="1" customHeight="1" x14ac:dyDescent="0.7">
      <c r="B50" s="64" t="s">
        <v>89</v>
      </c>
      <c r="C50" s="65" t="s">
        <v>206</v>
      </c>
      <c r="D50" s="65" t="s">
        <v>207</v>
      </c>
      <c r="E50" s="65" t="e">
        <f ca="1">_xll.BDP(B50,"FUND_INCEPT_DT")</f>
        <v>#NAME?</v>
      </c>
      <c r="F50" s="65" t="e">
        <f ca="1">_xll.BDP(B50,"CRNCY")</f>
        <v>#NAME?</v>
      </c>
      <c r="G50" s="66" t="e">
        <f ca="1">_xll.BDP(B50,"LAST_PRICE")</f>
        <v>#NAME?</v>
      </c>
      <c r="H50" s="67" t="e">
        <f ca="1">_xll.BDP(B50,"30_DAY_AVERAGE_VOLUME_AT_TIME_RT")</f>
        <v>#NAME?</v>
      </c>
      <c r="I50" s="68" t="e">
        <f ca="1">_xll.BDP(B50,"AVERAGE_BID_ASK_SPREAD_%")</f>
        <v>#NAME?</v>
      </c>
      <c r="J50" s="69" t="e">
        <f ca="1">_xll.BDP(B50,"RT_PX_CHG_NET_1D")</f>
        <v>#NAME?</v>
      </c>
      <c r="K50" s="69" t="e">
        <f ca="1">_xll.BDP(B50,"RT_PX_CHG_PCT_1D")</f>
        <v>#NAME?</v>
      </c>
      <c r="L50" s="69" t="e">
        <f ca="1">_xll.BDP(B50,"CHG_PCT_WTD")</f>
        <v>#NAME?</v>
      </c>
      <c r="M50" s="69" t="e">
        <f ca="1">_xll.BDP(B50,"CHG_PCT_1M_RT")</f>
        <v>#NAME?</v>
      </c>
      <c r="N50" s="69" t="e">
        <f ca="1">_xll.BDP(B50,"CHG_PCT_3M_RT")</f>
        <v>#NAME?</v>
      </c>
      <c r="O50" s="69" t="e">
        <f ca="1">_xll.BDP(B50,"CHG_PCT_6M")</f>
        <v>#NAME?</v>
      </c>
      <c r="P50" s="69" t="e">
        <f ca="1">_xll.BDP(B50,"CHG_PCT_YTD")</f>
        <v>#NAME?</v>
      </c>
      <c r="Q50" s="69" t="e">
        <f ca="1">_xll.BDP(B50,"PRICE_CHANGE_1Y_PCT_RT")</f>
        <v>#NAME?</v>
      </c>
      <c r="R50" s="68" t="e">
        <f ca="1">_xll.BDP(B50,"STANDARD_DEVIATION_3YR")</f>
        <v>#NAME?</v>
      </c>
      <c r="S50" s="68" t="e">
        <f ca="1">_xll.BDP(B50,"EQY_SHARPE_RATIO_3YR")</f>
        <v>#NAME?</v>
      </c>
      <c r="T50" s="68" t="e">
        <f ca="1">_xll.BDP(B50,"FUND_EXPENSE_RATIO")</f>
        <v>#NAME?</v>
      </c>
      <c r="U50" s="68" t="e">
        <f ca="1">_xll.BDP(B50,"TRACKING_ERROR")</f>
        <v>#NAME?</v>
      </c>
      <c r="V50" s="75"/>
    </row>
    <row r="51" spans="2:22" s="72" customFormat="1" ht="38.1" hidden="1" customHeight="1" x14ac:dyDescent="0.7">
      <c r="B51" s="64" t="s">
        <v>90</v>
      </c>
      <c r="C51" s="65" t="s">
        <v>208</v>
      </c>
      <c r="D51" s="65" t="s">
        <v>209</v>
      </c>
      <c r="E51" s="65" t="e">
        <f ca="1">_xll.BDP(B51,"FUND_INCEPT_DT")</f>
        <v>#NAME?</v>
      </c>
      <c r="F51" s="65" t="e">
        <f ca="1">_xll.BDP(B51,"CRNCY")</f>
        <v>#NAME?</v>
      </c>
      <c r="G51" s="66" t="e">
        <f ca="1">_xll.BDP(B51,"LAST_PRICE")</f>
        <v>#NAME?</v>
      </c>
      <c r="H51" s="67" t="e">
        <f ca="1">_xll.BDP(B51,"30_DAY_AVERAGE_VOLUME_AT_TIME_RT")</f>
        <v>#NAME?</v>
      </c>
      <c r="I51" s="68" t="e">
        <f ca="1">_xll.BDP(B51,"AVERAGE_BID_ASK_SPREAD_%")</f>
        <v>#NAME?</v>
      </c>
      <c r="J51" s="69" t="e">
        <f ca="1">_xll.BDP(B51,"RT_PX_CHG_NET_1D")</f>
        <v>#NAME?</v>
      </c>
      <c r="K51" s="69" t="e">
        <f ca="1">_xll.BDP(B51,"RT_PX_CHG_PCT_1D")</f>
        <v>#NAME?</v>
      </c>
      <c r="L51" s="69" t="e">
        <f ca="1">_xll.BDP(B51,"CHG_PCT_WTD")</f>
        <v>#NAME?</v>
      </c>
      <c r="M51" s="69" t="e">
        <f ca="1">_xll.BDP(B51,"CHG_PCT_1M_RT")</f>
        <v>#NAME?</v>
      </c>
      <c r="N51" s="69" t="e">
        <f ca="1">_xll.BDP(B51,"CHG_PCT_3M_RT")</f>
        <v>#NAME?</v>
      </c>
      <c r="O51" s="69" t="e">
        <f ca="1">_xll.BDP(B51,"CHG_PCT_6M")</f>
        <v>#NAME?</v>
      </c>
      <c r="P51" s="69" t="e">
        <f ca="1">_xll.BDP(B51,"CHG_PCT_YTD")</f>
        <v>#NAME?</v>
      </c>
      <c r="Q51" s="69" t="e">
        <f ca="1">_xll.BDP(B51,"PRICE_CHANGE_1Y_PCT_RT")</f>
        <v>#NAME?</v>
      </c>
      <c r="R51" s="68" t="e">
        <f ca="1">_xll.BDP(B51,"STANDARD_DEVIATION_3YR")</f>
        <v>#NAME?</v>
      </c>
      <c r="S51" s="68" t="e">
        <f ca="1">_xll.BDP(B51,"EQY_SHARPE_RATIO_3YR")</f>
        <v>#NAME?</v>
      </c>
      <c r="T51" s="68" t="e">
        <f ca="1">_xll.BDP(B51,"FUND_EXPENSE_RATIO")</f>
        <v>#NAME?</v>
      </c>
      <c r="U51" s="68" t="e">
        <f ca="1">_xll.BDP(B51,"TRACKING_ERROR")</f>
        <v>#NAME?</v>
      </c>
      <c r="V51" s="75"/>
    </row>
    <row r="52" spans="2:22" s="72" customFormat="1" ht="38.1" hidden="1" customHeight="1" x14ac:dyDescent="0.7">
      <c r="B52" s="64" t="s">
        <v>91</v>
      </c>
      <c r="C52" s="65" t="s">
        <v>210</v>
      </c>
      <c r="D52" s="65" t="s">
        <v>200</v>
      </c>
      <c r="E52" s="65" t="e">
        <f ca="1">_xll.BDP(B52,"FUND_INCEPT_DT")</f>
        <v>#NAME?</v>
      </c>
      <c r="F52" s="65" t="e">
        <f ca="1">_xll.BDP(B52,"CRNCY")</f>
        <v>#NAME?</v>
      </c>
      <c r="G52" s="66" t="e">
        <f ca="1">_xll.BDP(B52,"LAST_PRICE")</f>
        <v>#NAME?</v>
      </c>
      <c r="H52" s="67" t="e">
        <f ca="1">_xll.BDP(B52,"30_DAY_AVERAGE_VOLUME_AT_TIME_RT")</f>
        <v>#NAME?</v>
      </c>
      <c r="I52" s="68" t="e">
        <f ca="1">_xll.BDP(B52,"AVERAGE_BID_ASK_SPREAD_%")</f>
        <v>#NAME?</v>
      </c>
      <c r="J52" s="69" t="e">
        <f ca="1">_xll.BDP(B52,"RT_PX_CHG_NET_1D")</f>
        <v>#NAME?</v>
      </c>
      <c r="K52" s="69" t="e">
        <f ca="1">_xll.BDP(B52,"RT_PX_CHG_PCT_1D")</f>
        <v>#NAME?</v>
      </c>
      <c r="L52" s="69" t="e">
        <f ca="1">_xll.BDP(B52,"CHG_PCT_WTD")</f>
        <v>#NAME?</v>
      </c>
      <c r="M52" s="69" t="e">
        <f ca="1">_xll.BDP(B52,"CHG_PCT_1M_RT")</f>
        <v>#NAME?</v>
      </c>
      <c r="N52" s="69" t="e">
        <f ca="1">_xll.BDP(B52,"CHG_PCT_3M_RT")</f>
        <v>#NAME?</v>
      </c>
      <c r="O52" s="69" t="e">
        <f ca="1">_xll.BDP(B52,"CHG_PCT_6M")</f>
        <v>#NAME?</v>
      </c>
      <c r="P52" s="69" t="e">
        <f ca="1">_xll.BDP(B52,"CHG_PCT_YTD")</f>
        <v>#NAME?</v>
      </c>
      <c r="Q52" s="69" t="e">
        <f ca="1">_xll.BDP(B52,"PRICE_CHANGE_1Y_PCT_RT")</f>
        <v>#NAME?</v>
      </c>
      <c r="R52" s="68" t="e">
        <f ca="1">_xll.BDP(B52,"STANDARD_DEVIATION_3YR")</f>
        <v>#NAME?</v>
      </c>
      <c r="S52" s="68" t="e">
        <f ca="1">_xll.BDP(B52,"EQY_SHARPE_RATIO_3YR")</f>
        <v>#NAME?</v>
      </c>
      <c r="T52" s="68" t="e">
        <f ca="1">_xll.BDP(B52,"FUND_EXPENSE_RATIO")</f>
        <v>#NAME?</v>
      </c>
      <c r="U52" s="68" t="e">
        <f ca="1">_xll.BDP(B52,"TRACKING_ERROR")</f>
        <v>#NAME?</v>
      </c>
      <c r="V52" s="75"/>
    </row>
    <row r="53" spans="2:22" s="72" customFormat="1" ht="38.1" hidden="1" customHeight="1" x14ac:dyDescent="0.7">
      <c r="B53" s="64" t="s">
        <v>92</v>
      </c>
      <c r="C53" s="65" t="s">
        <v>211</v>
      </c>
      <c r="D53" s="65" t="s">
        <v>212</v>
      </c>
      <c r="E53" s="65" t="e">
        <f ca="1">_xll.BDP(B53,"FUND_INCEPT_DT")</f>
        <v>#NAME?</v>
      </c>
      <c r="F53" s="65" t="e">
        <f ca="1">_xll.BDP(B53,"CRNCY")</f>
        <v>#NAME?</v>
      </c>
      <c r="G53" s="66" t="e">
        <f ca="1">_xll.BDP(B53,"LAST_PRICE")</f>
        <v>#NAME?</v>
      </c>
      <c r="H53" s="67" t="e">
        <f ca="1">_xll.BDP(B53,"30_DAY_AVERAGE_VOLUME_AT_TIME_RT")</f>
        <v>#NAME?</v>
      </c>
      <c r="I53" s="68" t="e">
        <f ca="1">_xll.BDP(B53,"AVERAGE_BID_ASK_SPREAD_%")</f>
        <v>#NAME?</v>
      </c>
      <c r="J53" s="69" t="e">
        <f ca="1">_xll.BDP(B53,"RT_PX_CHG_NET_1D")</f>
        <v>#NAME?</v>
      </c>
      <c r="K53" s="69" t="e">
        <f ca="1">_xll.BDP(B53,"RT_PX_CHG_PCT_1D")</f>
        <v>#NAME?</v>
      </c>
      <c r="L53" s="69" t="e">
        <f ca="1">_xll.BDP(B53,"CHG_PCT_WTD")</f>
        <v>#NAME?</v>
      </c>
      <c r="M53" s="69" t="e">
        <f ca="1">_xll.BDP(B53,"CHG_PCT_1M_RT")</f>
        <v>#NAME?</v>
      </c>
      <c r="N53" s="69" t="e">
        <f ca="1">_xll.BDP(B53,"CHG_PCT_3M_RT")</f>
        <v>#NAME?</v>
      </c>
      <c r="O53" s="69" t="e">
        <f ca="1">_xll.BDP(B53,"CHG_PCT_6M")</f>
        <v>#NAME?</v>
      </c>
      <c r="P53" s="69" t="e">
        <f ca="1">_xll.BDP(B53,"CHG_PCT_YTD")</f>
        <v>#NAME?</v>
      </c>
      <c r="Q53" s="69" t="e">
        <f ca="1">_xll.BDP(B53,"PRICE_CHANGE_1Y_PCT_RT")</f>
        <v>#NAME?</v>
      </c>
      <c r="R53" s="68" t="e">
        <f ca="1">_xll.BDP(B53,"STANDARD_DEVIATION_3YR")</f>
        <v>#NAME?</v>
      </c>
      <c r="S53" s="68" t="e">
        <f ca="1">_xll.BDP(B53,"EQY_SHARPE_RATIO_3YR")</f>
        <v>#NAME?</v>
      </c>
      <c r="T53" s="68" t="e">
        <f ca="1">_xll.BDP(B53,"FUND_EXPENSE_RATIO")</f>
        <v>#NAME?</v>
      </c>
      <c r="U53" s="68" t="e">
        <f ca="1">_xll.BDP(B53,"TRACKING_ERROR")</f>
        <v>#NAME?</v>
      </c>
      <c r="V53" s="75"/>
    </row>
    <row r="54" spans="2:22" s="72" customFormat="1" ht="38.1" hidden="1" customHeight="1" x14ac:dyDescent="0.7">
      <c r="B54" s="64" t="s">
        <v>93</v>
      </c>
      <c r="C54" s="65" t="s">
        <v>213</v>
      </c>
      <c r="D54" s="65" t="s">
        <v>214</v>
      </c>
      <c r="E54" s="65" t="e">
        <f ca="1">_xll.BDP(B54,"FUND_INCEPT_DT")</f>
        <v>#NAME?</v>
      </c>
      <c r="F54" s="65" t="e">
        <f ca="1">_xll.BDP(B54,"CRNCY")</f>
        <v>#NAME?</v>
      </c>
      <c r="G54" s="66" t="e">
        <f ca="1">_xll.BDP(B54,"LAST_PRICE")</f>
        <v>#NAME?</v>
      </c>
      <c r="H54" s="67" t="e">
        <f ca="1">_xll.BDP(B54,"30_DAY_AVERAGE_VOLUME_AT_TIME_RT")</f>
        <v>#NAME?</v>
      </c>
      <c r="I54" s="68" t="e">
        <f ca="1">_xll.BDP(B54,"AVERAGE_BID_ASK_SPREAD_%")</f>
        <v>#NAME?</v>
      </c>
      <c r="J54" s="69" t="e">
        <f ca="1">_xll.BDP(B54,"RT_PX_CHG_NET_1D")</f>
        <v>#NAME?</v>
      </c>
      <c r="K54" s="69" t="e">
        <f ca="1">_xll.BDP(B54,"RT_PX_CHG_PCT_1D")</f>
        <v>#NAME?</v>
      </c>
      <c r="L54" s="69" t="e">
        <f ca="1">_xll.BDP(B54,"CHG_PCT_WTD")</f>
        <v>#NAME?</v>
      </c>
      <c r="M54" s="69" t="e">
        <f ca="1">_xll.BDP(B54,"CHG_PCT_1M_RT")</f>
        <v>#NAME?</v>
      </c>
      <c r="N54" s="69" t="e">
        <f ca="1">_xll.BDP(B54,"CHG_PCT_3M_RT")</f>
        <v>#NAME?</v>
      </c>
      <c r="O54" s="69" t="e">
        <f ca="1">_xll.BDP(B54,"CHG_PCT_6M")</f>
        <v>#NAME?</v>
      </c>
      <c r="P54" s="69" t="e">
        <f ca="1">_xll.BDP(B54,"CHG_PCT_YTD")</f>
        <v>#NAME?</v>
      </c>
      <c r="Q54" s="69" t="e">
        <f ca="1">_xll.BDP(B54,"PRICE_CHANGE_1Y_PCT_RT")</f>
        <v>#NAME?</v>
      </c>
      <c r="R54" s="68" t="e">
        <f ca="1">_xll.BDP(B54,"STANDARD_DEVIATION_3YR")</f>
        <v>#NAME?</v>
      </c>
      <c r="S54" s="68" t="e">
        <f ca="1">_xll.BDP(B54,"EQY_SHARPE_RATIO_3YR")</f>
        <v>#NAME?</v>
      </c>
      <c r="T54" s="68" t="e">
        <f ca="1">_xll.BDP(B54,"FUND_EXPENSE_RATIO")</f>
        <v>#NAME?</v>
      </c>
      <c r="U54" s="68" t="e">
        <f ca="1">_xll.BDP(B54,"TRACKING_ERROR")</f>
        <v>#NAME?</v>
      </c>
      <c r="V54" s="75"/>
    </row>
    <row r="55" spans="2:22" s="72" customFormat="1" ht="38.1" hidden="1" customHeight="1" x14ac:dyDescent="0.7">
      <c r="B55" s="64" t="s">
        <v>94</v>
      </c>
      <c r="C55" s="65" t="s">
        <v>215</v>
      </c>
      <c r="D55" s="65" t="s">
        <v>216</v>
      </c>
      <c r="E55" s="65" t="e">
        <f ca="1">_xll.BDP(B55,"FUND_INCEPT_DT")</f>
        <v>#NAME?</v>
      </c>
      <c r="F55" s="65" t="e">
        <f ca="1">_xll.BDP(B55,"CRNCY")</f>
        <v>#NAME?</v>
      </c>
      <c r="G55" s="66" t="e">
        <f ca="1">_xll.BDP(B55,"LAST_PRICE")</f>
        <v>#NAME?</v>
      </c>
      <c r="H55" s="67" t="e">
        <f ca="1">_xll.BDP(B55,"30_DAY_AVERAGE_VOLUME_AT_TIME_RT")</f>
        <v>#NAME?</v>
      </c>
      <c r="I55" s="68" t="e">
        <f ca="1">_xll.BDP(B55,"AVERAGE_BID_ASK_SPREAD_%")</f>
        <v>#NAME?</v>
      </c>
      <c r="J55" s="69" t="e">
        <f ca="1">_xll.BDP(B55,"RT_PX_CHG_NET_1D")</f>
        <v>#NAME?</v>
      </c>
      <c r="K55" s="69" t="e">
        <f ca="1">_xll.BDP(B55,"RT_PX_CHG_PCT_1D")</f>
        <v>#NAME?</v>
      </c>
      <c r="L55" s="69" t="e">
        <f ca="1">_xll.BDP(B55,"CHG_PCT_WTD")</f>
        <v>#NAME?</v>
      </c>
      <c r="M55" s="69" t="e">
        <f ca="1">_xll.BDP(B55,"CHG_PCT_1M_RT")</f>
        <v>#NAME?</v>
      </c>
      <c r="N55" s="69" t="e">
        <f ca="1">_xll.BDP(B55,"CHG_PCT_3M_RT")</f>
        <v>#NAME?</v>
      </c>
      <c r="O55" s="69" t="e">
        <f ca="1">_xll.BDP(B55,"CHG_PCT_6M")</f>
        <v>#NAME?</v>
      </c>
      <c r="P55" s="69" t="e">
        <f ca="1">_xll.BDP(B55,"CHG_PCT_YTD")</f>
        <v>#NAME?</v>
      </c>
      <c r="Q55" s="69" t="e">
        <f ca="1">_xll.BDP(B55,"PRICE_CHANGE_1Y_PCT_RT")</f>
        <v>#NAME?</v>
      </c>
      <c r="R55" s="68" t="e">
        <f ca="1">_xll.BDP(B55,"STANDARD_DEVIATION_3YR")</f>
        <v>#NAME?</v>
      </c>
      <c r="S55" s="68" t="e">
        <f ca="1">_xll.BDP(B55,"EQY_SHARPE_RATIO_3YR")</f>
        <v>#NAME?</v>
      </c>
      <c r="T55" s="68" t="e">
        <f ca="1">_xll.BDP(B55,"FUND_EXPENSE_RATIO")</f>
        <v>#NAME?</v>
      </c>
      <c r="U55" s="68" t="e">
        <f ca="1">_xll.BDP(B55,"TRACKING_ERROR")</f>
        <v>#NAME?</v>
      </c>
      <c r="V55" s="75"/>
    </row>
    <row r="56" spans="2:22" s="72" customFormat="1" ht="38.1" hidden="1" customHeight="1" x14ac:dyDescent="0.7">
      <c r="B56" s="64" t="s">
        <v>95</v>
      </c>
      <c r="C56" s="65" t="s">
        <v>217</v>
      </c>
      <c r="D56" s="65" t="s">
        <v>218</v>
      </c>
      <c r="E56" s="65" t="e">
        <f ca="1">_xll.BDP(B56,"FUND_INCEPT_DT")</f>
        <v>#NAME?</v>
      </c>
      <c r="F56" s="65" t="e">
        <f ca="1">_xll.BDP(B56,"CRNCY")</f>
        <v>#NAME?</v>
      </c>
      <c r="G56" s="66" t="e">
        <f ca="1">_xll.BDP(B56,"LAST_PRICE")</f>
        <v>#NAME?</v>
      </c>
      <c r="H56" s="67" t="e">
        <f ca="1">_xll.BDP(B56,"30_DAY_AVERAGE_VOLUME_AT_TIME_RT")</f>
        <v>#NAME?</v>
      </c>
      <c r="I56" s="68" t="e">
        <f ca="1">_xll.BDP(B56,"AVERAGE_BID_ASK_SPREAD_%")</f>
        <v>#NAME?</v>
      </c>
      <c r="J56" s="69" t="e">
        <f ca="1">_xll.BDP(B56,"RT_PX_CHG_NET_1D")</f>
        <v>#NAME?</v>
      </c>
      <c r="K56" s="69" t="e">
        <f ca="1">_xll.BDP(B56,"RT_PX_CHG_PCT_1D")</f>
        <v>#NAME?</v>
      </c>
      <c r="L56" s="69" t="e">
        <f ca="1">_xll.BDP(B56,"CHG_PCT_WTD")</f>
        <v>#NAME?</v>
      </c>
      <c r="M56" s="69" t="e">
        <f ca="1">_xll.BDP(B56,"CHG_PCT_1M_RT")</f>
        <v>#NAME?</v>
      </c>
      <c r="N56" s="69" t="e">
        <f ca="1">_xll.BDP(B56,"CHG_PCT_3M_RT")</f>
        <v>#NAME?</v>
      </c>
      <c r="O56" s="69" t="e">
        <f ca="1">_xll.BDP(B56,"CHG_PCT_6M")</f>
        <v>#NAME?</v>
      </c>
      <c r="P56" s="69" t="e">
        <f ca="1">_xll.BDP(B56,"CHG_PCT_YTD")</f>
        <v>#NAME?</v>
      </c>
      <c r="Q56" s="69" t="e">
        <f ca="1">_xll.BDP(B56,"PRICE_CHANGE_1Y_PCT_RT")</f>
        <v>#NAME?</v>
      </c>
      <c r="R56" s="68" t="e">
        <f ca="1">_xll.BDP(B56,"STANDARD_DEVIATION_3YR")</f>
        <v>#NAME?</v>
      </c>
      <c r="S56" s="68" t="e">
        <f ca="1">_xll.BDP(B56,"EQY_SHARPE_RATIO_3YR")</f>
        <v>#NAME?</v>
      </c>
      <c r="T56" s="68" t="e">
        <f ca="1">_xll.BDP(B56,"FUND_EXPENSE_RATIO")</f>
        <v>#NAME?</v>
      </c>
      <c r="U56" s="68" t="e">
        <f ca="1">_xll.BDP(B56,"TRACKING_ERROR")</f>
        <v>#NAME?</v>
      </c>
      <c r="V56" s="75"/>
    </row>
    <row r="57" spans="2:22" s="72" customFormat="1" ht="38.1" hidden="1" customHeight="1" x14ac:dyDescent="0.7">
      <c r="B57" s="64" t="s">
        <v>96</v>
      </c>
      <c r="C57" s="65" t="s">
        <v>219</v>
      </c>
      <c r="D57" s="65" t="s">
        <v>218</v>
      </c>
      <c r="E57" s="65" t="e">
        <f ca="1">_xll.BDP(B57,"FUND_INCEPT_DT")</f>
        <v>#NAME?</v>
      </c>
      <c r="F57" s="65" t="e">
        <f ca="1">_xll.BDP(B57,"CRNCY")</f>
        <v>#NAME?</v>
      </c>
      <c r="G57" s="66" t="e">
        <f ca="1">_xll.BDP(B57,"LAST_PRICE")</f>
        <v>#NAME?</v>
      </c>
      <c r="H57" s="67" t="e">
        <f ca="1">_xll.BDP(B57,"30_DAY_AVERAGE_VOLUME_AT_TIME_RT")</f>
        <v>#NAME?</v>
      </c>
      <c r="I57" s="68" t="e">
        <f ca="1">_xll.BDP(B57,"AVERAGE_BID_ASK_SPREAD_%")</f>
        <v>#NAME?</v>
      </c>
      <c r="J57" s="69" t="e">
        <f ca="1">_xll.BDP(B57,"RT_PX_CHG_NET_1D")</f>
        <v>#NAME?</v>
      </c>
      <c r="K57" s="69" t="e">
        <f ca="1">_xll.BDP(B57,"RT_PX_CHG_PCT_1D")</f>
        <v>#NAME?</v>
      </c>
      <c r="L57" s="69" t="e">
        <f ca="1">_xll.BDP(B57,"CHG_PCT_WTD")</f>
        <v>#NAME?</v>
      </c>
      <c r="M57" s="69" t="e">
        <f ca="1">_xll.BDP(B57,"CHG_PCT_1M_RT")</f>
        <v>#NAME?</v>
      </c>
      <c r="N57" s="69" t="e">
        <f ca="1">_xll.BDP(B57,"CHG_PCT_3M_RT")</f>
        <v>#NAME?</v>
      </c>
      <c r="O57" s="69" t="e">
        <f ca="1">_xll.BDP(B57,"CHG_PCT_6M")</f>
        <v>#NAME?</v>
      </c>
      <c r="P57" s="69" t="e">
        <f ca="1">_xll.BDP(B57,"CHG_PCT_YTD")</f>
        <v>#NAME?</v>
      </c>
      <c r="Q57" s="69" t="e">
        <f ca="1">_xll.BDP(B57,"PRICE_CHANGE_1Y_PCT_RT")</f>
        <v>#NAME?</v>
      </c>
      <c r="R57" s="68" t="e">
        <f ca="1">_xll.BDP(B57,"STANDARD_DEVIATION_3YR")</f>
        <v>#NAME?</v>
      </c>
      <c r="S57" s="68" t="e">
        <f ca="1">_xll.BDP(B57,"EQY_SHARPE_RATIO_3YR")</f>
        <v>#NAME?</v>
      </c>
      <c r="T57" s="68" t="e">
        <f ca="1">_xll.BDP(B57,"FUND_EXPENSE_RATIO")</f>
        <v>#NAME?</v>
      </c>
      <c r="U57" s="68" t="e">
        <f ca="1">_xll.BDP(B57,"TRACKING_ERROR")</f>
        <v>#NAME?</v>
      </c>
      <c r="V57" s="75"/>
    </row>
    <row r="58" spans="2:22" s="72" customFormat="1" ht="38.1" hidden="1" customHeight="1" x14ac:dyDescent="0.7">
      <c r="B58" s="80" t="s">
        <v>220</v>
      </c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5"/>
    </row>
    <row r="59" spans="2:22" s="72" customFormat="1" ht="38.1" hidden="1" customHeight="1" x14ac:dyDescent="0.7">
      <c r="B59" s="64" t="s">
        <v>97</v>
      </c>
      <c r="C59" s="65" t="s">
        <v>221</v>
      </c>
      <c r="D59" s="65" t="s">
        <v>222</v>
      </c>
      <c r="E59" s="65" t="e">
        <f ca="1">_xll.BDP(B59,"FUND_INCEPT_DT")</f>
        <v>#NAME?</v>
      </c>
      <c r="F59" s="65" t="e">
        <f ca="1">_xll.BDP(B59,"CRNCY")</f>
        <v>#NAME?</v>
      </c>
      <c r="G59" s="66" t="e">
        <f ca="1">_xll.BDP(B59,"LAST_PRICE")</f>
        <v>#NAME?</v>
      </c>
      <c r="H59" s="67" t="e">
        <f ca="1">_xll.BDP(B59,"30_DAY_AVERAGE_VOLUME_AT_TIME_RT")</f>
        <v>#NAME?</v>
      </c>
      <c r="I59" s="68" t="e">
        <f ca="1">_xll.BDP(B59,"AVERAGE_BID_ASK_SPREAD_%")</f>
        <v>#NAME?</v>
      </c>
      <c r="J59" s="69" t="e">
        <f ca="1">_xll.BDP(B59,"RT_PX_CHG_NET_1D")</f>
        <v>#NAME?</v>
      </c>
      <c r="K59" s="69" t="e">
        <f ca="1">_xll.BDP(B59,"RT_PX_CHG_PCT_1D")</f>
        <v>#NAME?</v>
      </c>
      <c r="L59" s="69" t="e">
        <f ca="1">_xll.BDP(B59,"CHG_PCT_WTD")</f>
        <v>#NAME?</v>
      </c>
      <c r="M59" s="69" t="e">
        <f ca="1">_xll.BDP(B59,"CHG_PCT_1M_RT")</f>
        <v>#NAME?</v>
      </c>
      <c r="N59" s="69" t="e">
        <f ca="1">_xll.BDP(B59,"CHG_PCT_3M_RT")</f>
        <v>#NAME?</v>
      </c>
      <c r="O59" s="69" t="e">
        <f ca="1">_xll.BDP(B59,"CHG_PCT_6M")</f>
        <v>#NAME?</v>
      </c>
      <c r="P59" s="69" t="e">
        <f ca="1">_xll.BDP(B59,"CHG_PCT_YTD")</f>
        <v>#NAME?</v>
      </c>
      <c r="Q59" s="69" t="e">
        <f ca="1">_xll.BDP(B59,"PRICE_CHANGE_1Y_PCT_RT")</f>
        <v>#NAME?</v>
      </c>
      <c r="R59" s="68" t="e">
        <f ca="1">_xll.BDP(B59,"STANDARD_DEVIATION_3YR")</f>
        <v>#NAME?</v>
      </c>
      <c r="S59" s="68" t="e">
        <f ca="1">_xll.BDP(B59,"EQY_SHARPE_RATIO_3YR")</f>
        <v>#NAME?</v>
      </c>
      <c r="T59" s="68" t="e">
        <f ca="1">_xll.BDP(B59,"FUND_EXPENSE_RATIO")</f>
        <v>#NAME?</v>
      </c>
      <c r="U59" s="68" t="e">
        <f ca="1">_xll.BDP(B59,"TRACKING_ERROR")</f>
        <v>#NAME?</v>
      </c>
      <c r="V59" s="75"/>
    </row>
    <row r="60" spans="2:22" s="72" customFormat="1" ht="38.1" hidden="1" customHeight="1" x14ac:dyDescent="0.7">
      <c r="B60" s="64" t="s">
        <v>98</v>
      </c>
      <c r="C60" s="65" t="s">
        <v>223</v>
      </c>
      <c r="D60" s="65" t="s">
        <v>224</v>
      </c>
      <c r="E60" s="65" t="e">
        <f ca="1">_xll.BDP(B60,"FUND_INCEPT_DT")</f>
        <v>#NAME?</v>
      </c>
      <c r="F60" s="65" t="e">
        <f ca="1">_xll.BDP(B60,"CRNCY")</f>
        <v>#NAME?</v>
      </c>
      <c r="G60" s="66" t="e">
        <f ca="1">_xll.BDP(B60,"LAST_PRICE")</f>
        <v>#NAME?</v>
      </c>
      <c r="H60" s="67" t="e">
        <f ca="1">_xll.BDP(B60,"30_DAY_AVERAGE_VOLUME_AT_TIME_RT")</f>
        <v>#NAME?</v>
      </c>
      <c r="I60" s="68" t="e">
        <f ca="1">_xll.BDP(B60,"AVERAGE_BID_ASK_SPREAD_%")</f>
        <v>#NAME?</v>
      </c>
      <c r="J60" s="69" t="e">
        <f ca="1">_xll.BDP(B60,"RT_PX_CHG_NET_1D")</f>
        <v>#NAME?</v>
      </c>
      <c r="K60" s="69" t="e">
        <f ca="1">_xll.BDP(B60,"RT_PX_CHG_PCT_1D")</f>
        <v>#NAME?</v>
      </c>
      <c r="L60" s="69" t="e">
        <f ca="1">_xll.BDP(B60,"CHG_PCT_WTD")</f>
        <v>#NAME?</v>
      </c>
      <c r="M60" s="69" t="e">
        <f ca="1">_xll.BDP(B60,"CHG_PCT_1M_RT")</f>
        <v>#NAME?</v>
      </c>
      <c r="N60" s="69" t="e">
        <f ca="1">_xll.BDP(B60,"CHG_PCT_3M_RT")</f>
        <v>#NAME?</v>
      </c>
      <c r="O60" s="69" t="e">
        <f ca="1">_xll.BDP(B60,"CHG_PCT_6M")</f>
        <v>#NAME?</v>
      </c>
      <c r="P60" s="69" t="e">
        <f ca="1">_xll.BDP(B60,"CHG_PCT_YTD")</f>
        <v>#NAME?</v>
      </c>
      <c r="Q60" s="69" t="e">
        <f ca="1">_xll.BDP(B60,"PRICE_CHANGE_1Y_PCT_RT")</f>
        <v>#NAME?</v>
      </c>
      <c r="R60" s="68" t="e">
        <f ca="1">_xll.BDP(B60,"STANDARD_DEVIATION_3YR")</f>
        <v>#NAME?</v>
      </c>
      <c r="S60" s="68" t="e">
        <f ca="1">_xll.BDP(B60,"EQY_SHARPE_RATIO_3YR")</f>
        <v>#NAME?</v>
      </c>
      <c r="T60" s="68" t="e">
        <f ca="1">_xll.BDP(B60,"FUND_EXPENSE_RATIO")</f>
        <v>#NAME?</v>
      </c>
      <c r="U60" s="68" t="e">
        <f ca="1">_xll.BDP(B60,"TRACKING_ERROR")</f>
        <v>#NAME?</v>
      </c>
      <c r="V60" s="75"/>
    </row>
    <row r="61" spans="2:22" s="72" customFormat="1" ht="38.1" hidden="1" customHeight="1" x14ac:dyDescent="0.7">
      <c r="B61" s="64" t="s">
        <v>99</v>
      </c>
      <c r="C61" s="65" t="s">
        <v>225</v>
      </c>
      <c r="D61" s="65" t="s">
        <v>226</v>
      </c>
      <c r="E61" s="65" t="e">
        <f ca="1">_xll.BDP(B61,"FUND_INCEPT_DT")</f>
        <v>#NAME?</v>
      </c>
      <c r="F61" s="65" t="e">
        <f ca="1">_xll.BDP(B61,"CRNCY")</f>
        <v>#NAME?</v>
      </c>
      <c r="G61" s="66" t="e">
        <f ca="1">_xll.BDP(B61,"LAST_PRICE")</f>
        <v>#NAME?</v>
      </c>
      <c r="H61" s="67" t="e">
        <f ca="1">_xll.BDP(B61,"30_DAY_AVERAGE_VOLUME_AT_TIME_RT")</f>
        <v>#NAME?</v>
      </c>
      <c r="I61" s="68" t="e">
        <f ca="1">_xll.BDP(B61,"AVERAGE_BID_ASK_SPREAD_%")</f>
        <v>#NAME?</v>
      </c>
      <c r="J61" s="69" t="e">
        <f ca="1">_xll.BDP(B61,"RT_PX_CHG_NET_1D")</f>
        <v>#NAME?</v>
      </c>
      <c r="K61" s="69" t="e">
        <f ca="1">_xll.BDP(B61,"RT_PX_CHG_PCT_1D")</f>
        <v>#NAME?</v>
      </c>
      <c r="L61" s="69" t="e">
        <f ca="1">_xll.BDP(B61,"CHG_PCT_WTD")</f>
        <v>#NAME?</v>
      </c>
      <c r="M61" s="69" t="e">
        <f ca="1">_xll.BDP(B61,"CHG_PCT_1M_RT")</f>
        <v>#NAME?</v>
      </c>
      <c r="N61" s="69" t="e">
        <f ca="1">_xll.BDP(B61,"CHG_PCT_3M_RT")</f>
        <v>#NAME?</v>
      </c>
      <c r="O61" s="69" t="e">
        <f ca="1">_xll.BDP(B61,"CHG_PCT_6M")</f>
        <v>#NAME?</v>
      </c>
      <c r="P61" s="69" t="e">
        <f ca="1">_xll.BDP(B61,"CHG_PCT_YTD")</f>
        <v>#NAME?</v>
      </c>
      <c r="Q61" s="69" t="e">
        <f ca="1">_xll.BDP(B61,"PRICE_CHANGE_1Y_PCT_RT")</f>
        <v>#NAME?</v>
      </c>
      <c r="R61" s="68" t="e">
        <f ca="1">_xll.BDP(B61,"STANDARD_DEVIATION_3YR")</f>
        <v>#NAME?</v>
      </c>
      <c r="S61" s="68" t="e">
        <f ca="1">_xll.BDP(B61,"EQY_SHARPE_RATIO_3YR")</f>
        <v>#NAME?</v>
      </c>
      <c r="T61" s="68" t="e">
        <f ca="1">_xll.BDP(B61,"FUND_EXPENSE_RATIO")</f>
        <v>#NAME?</v>
      </c>
      <c r="U61" s="68" t="e">
        <f ca="1">_xll.BDP(B61,"TRACKING_ERROR")</f>
        <v>#NAME?</v>
      </c>
      <c r="V61" s="75"/>
    </row>
    <row r="62" spans="2:22" s="72" customFormat="1" ht="38.1" hidden="1" customHeight="1" x14ac:dyDescent="0.7">
      <c r="B62" s="64" t="s">
        <v>100</v>
      </c>
      <c r="C62" s="65" t="s">
        <v>227</v>
      </c>
      <c r="D62" s="65" t="s">
        <v>228</v>
      </c>
      <c r="E62" s="65" t="e">
        <f ca="1">_xll.BDP(B62,"FUND_INCEPT_DT")</f>
        <v>#NAME?</v>
      </c>
      <c r="F62" s="65" t="e">
        <f ca="1">_xll.BDP(B62,"CRNCY")</f>
        <v>#NAME?</v>
      </c>
      <c r="G62" s="66" t="e">
        <f ca="1">_xll.BDP(B62,"LAST_PRICE")</f>
        <v>#NAME?</v>
      </c>
      <c r="H62" s="67" t="e">
        <f ca="1">_xll.BDP(B62,"30_DAY_AVERAGE_VOLUME_AT_TIME_RT")</f>
        <v>#NAME?</v>
      </c>
      <c r="I62" s="68" t="e">
        <f ca="1">_xll.BDP(B62,"AVERAGE_BID_ASK_SPREAD_%")</f>
        <v>#NAME?</v>
      </c>
      <c r="J62" s="69" t="e">
        <f ca="1">_xll.BDP(B62,"RT_PX_CHG_NET_1D")</f>
        <v>#NAME?</v>
      </c>
      <c r="K62" s="69" t="e">
        <f ca="1">_xll.BDP(B62,"RT_PX_CHG_PCT_1D")</f>
        <v>#NAME?</v>
      </c>
      <c r="L62" s="69" t="e">
        <f ca="1">_xll.BDP(B62,"CHG_PCT_WTD")</f>
        <v>#NAME?</v>
      </c>
      <c r="M62" s="69" t="e">
        <f ca="1">_xll.BDP(B62,"CHG_PCT_1M_RT")</f>
        <v>#NAME?</v>
      </c>
      <c r="N62" s="69" t="e">
        <f ca="1">_xll.BDP(B62,"CHG_PCT_3M_RT")</f>
        <v>#NAME?</v>
      </c>
      <c r="O62" s="69" t="e">
        <f ca="1">_xll.BDP(B62,"CHG_PCT_6M")</f>
        <v>#NAME?</v>
      </c>
      <c r="P62" s="69" t="e">
        <f ca="1">_xll.BDP(B62,"CHG_PCT_YTD")</f>
        <v>#NAME?</v>
      </c>
      <c r="Q62" s="69" t="e">
        <f ca="1">_xll.BDP(B62,"PRICE_CHANGE_1Y_PCT_RT")</f>
        <v>#NAME?</v>
      </c>
      <c r="R62" s="68" t="e">
        <f ca="1">_xll.BDP(B62,"STANDARD_DEVIATION_3YR")</f>
        <v>#NAME?</v>
      </c>
      <c r="S62" s="68" t="e">
        <f ca="1">_xll.BDP(B62,"EQY_SHARPE_RATIO_3YR")</f>
        <v>#NAME?</v>
      </c>
      <c r="T62" s="68" t="e">
        <f ca="1">_xll.BDP(B62,"FUND_EXPENSE_RATIO")</f>
        <v>#NAME?</v>
      </c>
      <c r="U62" s="68" t="e">
        <f ca="1">_xll.BDP(B62,"TRACKING_ERROR")</f>
        <v>#NAME?</v>
      </c>
      <c r="V62" s="75"/>
    </row>
    <row r="63" spans="2:22" s="72" customFormat="1" ht="38.1" hidden="1" customHeight="1" x14ac:dyDescent="0.7">
      <c r="B63" s="64" t="s">
        <v>101</v>
      </c>
      <c r="C63" s="65" t="s">
        <v>229</v>
      </c>
      <c r="D63" s="65" t="s">
        <v>230</v>
      </c>
      <c r="E63" s="65" t="e">
        <f ca="1">_xll.BDP(B63,"FUND_INCEPT_DT")</f>
        <v>#NAME?</v>
      </c>
      <c r="F63" s="65" t="e">
        <f ca="1">_xll.BDP(B63,"CRNCY")</f>
        <v>#NAME?</v>
      </c>
      <c r="G63" s="66" t="e">
        <f ca="1">_xll.BDP(B63,"LAST_PRICE")</f>
        <v>#NAME?</v>
      </c>
      <c r="H63" s="67" t="e">
        <f ca="1">_xll.BDP(B63,"30_DAY_AVERAGE_VOLUME_AT_TIME_RT")</f>
        <v>#NAME?</v>
      </c>
      <c r="I63" s="68" t="e">
        <f ca="1">_xll.BDP(B63,"AVERAGE_BID_ASK_SPREAD_%")</f>
        <v>#NAME?</v>
      </c>
      <c r="J63" s="69" t="e">
        <f ca="1">_xll.BDP(B63,"RT_PX_CHG_NET_1D")</f>
        <v>#NAME?</v>
      </c>
      <c r="K63" s="69" t="e">
        <f ca="1">_xll.BDP(B63,"RT_PX_CHG_PCT_1D")</f>
        <v>#NAME?</v>
      </c>
      <c r="L63" s="69" t="e">
        <f ca="1">_xll.BDP(B63,"CHG_PCT_WTD")</f>
        <v>#NAME?</v>
      </c>
      <c r="M63" s="69" t="e">
        <f ca="1">_xll.BDP(B63,"CHG_PCT_1M_RT")</f>
        <v>#NAME?</v>
      </c>
      <c r="N63" s="69" t="e">
        <f ca="1">_xll.BDP(B63,"CHG_PCT_3M_RT")</f>
        <v>#NAME?</v>
      </c>
      <c r="O63" s="69" t="e">
        <f ca="1">_xll.BDP(B63,"CHG_PCT_6M")</f>
        <v>#NAME?</v>
      </c>
      <c r="P63" s="69" t="e">
        <f ca="1">_xll.BDP(B63,"CHG_PCT_YTD")</f>
        <v>#NAME?</v>
      </c>
      <c r="Q63" s="69" t="e">
        <f ca="1">_xll.BDP(B63,"PRICE_CHANGE_1Y_PCT_RT")</f>
        <v>#NAME?</v>
      </c>
      <c r="R63" s="68" t="e">
        <f ca="1">_xll.BDP(B63,"STANDARD_DEVIATION_3YR")</f>
        <v>#NAME?</v>
      </c>
      <c r="S63" s="68" t="e">
        <f ca="1">_xll.BDP(B63,"EQY_SHARPE_RATIO_3YR")</f>
        <v>#NAME?</v>
      </c>
      <c r="T63" s="68" t="e">
        <f ca="1">_xll.BDP(B63,"FUND_EXPENSE_RATIO")</f>
        <v>#NAME?</v>
      </c>
      <c r="U63" s="68" t="e">
        <f ca="1">_xll.BDP(B63,"TRACKING_ERROR")</f>
        <v>#NAME?</v>
      </c>
      <c r="V63" s="75"/>
    </row>
    <row r="64" spans="2:22" s="72" customFormat="1" ht="38.1" hidden="1" customHeight="1" x14ac:dyDescent="0.7">
      <c r="B64" s="64" t="s">
        <v>102</v>
      </c>
      <c r="C64" s="65" t="s">
        <v>231</v>
      </c>
      <c r="D64" s="65" t="s">
        <v>232</v>
      </c>
      <c r="E64" s="65" t="e">
        <f ca="1">_xll.BDP(B64,"FUND_INCEPT_DT")</f>
        <v>#NAME?</v>
      </c>
      <c r="F64" s="65" t="e">
        <f ca="1">_xll.BDP(B64,"CRNCY")</f>
        <v>#NAME?</v>
      </c>
      <c r="G64" s="66" t="e">
        <f ca="1">_xll.BDP(B64,"LAST_PRICE")</f>
        <v>#NAME?</v>
      </c>
      <c r="H64" s="67" t="e">
        <f ca="1">_xll.BDP(B64,"30_DAY_AVERAGE_VOLUME_AT_TIME_RT")</f>
        <v>#NAME?</v>
      </c>
      <c r="I64" s="68" t="e">
        <f ca="1">_xll.BDP(B64,"AVERAGE_BID_ASK_SPREAD_%")</f>
        <v>#NAME?</v>
      </c>
      <c r="J64" s="69" t="e">
        <f ca="1">_xll.BDP(B64,"RT_PX_CHG_NET_1D")</f>
        <v>#NAME?</v>
      </c>
      <c r="K64" s="69" t="e">
        <f ca="1">_xll.BDP(B64,"RT_PX_CHG_PCT_1D")</f>
        <v>#NAME?</v>
      </c>
      <c r="L64" s="69" t="e">
        <f ca="1">_xll.BDP(B64,"CHG_PCT_WTD")</f>
        <v>#NAME?</v>
      </c>
      <c r="M64" s="69" t="e">
        <f ca="1">_xll.BDP(B64,"CHG_PCT_1M_RT")</f>
        <v>#NAME?</v>
      </c>
      <c r="N64" s="69" t="e">
        <f ca="1">_xll.BDP(B64,"CHG_PCT_3M_RT")</f>
        <v>#NAME?</v>
      </c>
      <c r="O64" s="69" t="e">
        <f ca="1">_xll.BDP(B64,"CHG_PCT_6M")</f>
        <v>#NAME?</v>
      </c>
      <c r="P64" s="69" t="e">
        <f ca="1">_xll.BDP(B64,"CHG_PCT_YTD")</f>
        <v>#NAME?</v>
      </c>
      <c r="Q64" s="69" t="e">
        <f ca="1">_xll.BDP(B64,"PRICE_CHANGE_1Y_PCT_RT")</f>
        <v>#NAME?</v>
      </c>
      <c r="R64" s="68" t="e">
        <f ca="1">_xll.BDP(B64,"STANDARD_DEVIATION_3YR")</f>
        <v>#NAME?</v>
      </c>
      <c r="S64" s="68" t="e">
        <f ca="1">_xll.BDP(B64,"EQY_SHARPE_RATIO_3YR")</f>
        <v>#NAME?</v>
      </c>
      <c r="T64" s="68" t="e">
        <f ca="1">_xll.BDP(B64,"FUND_EXPENSE_RATIO")</f>
        <v>#NAME?</v>
      </c>
      <c r="U64" s="68" t="e">
        <f ca="1">_xll.BDP(B64,"TRACKING_ERROR")</f>
        <v>#NAME?</v>
      </c>
      <c r="V64" s="75"/>
    </row>
    <row r="65" spans="2:22" ht="38.1" hidden="1" customHeight="1" x14ac:dyDescent="0.7">
      <c r="B65" s="64" t="s">
        <v>103</v>
      </c>
      <c r="C65" s="65" t="s">
        <v>233</v>
      </c>
      <c r="D65" s="65" t="s">
        <v>234</v>
      </c>
      <c r="E65" s="65" t="e">
        <f ca="1">_xll.BDP(B65,"FUND_INCEPT_DT")</f>
        <v>#NAME?</v>
      </c>
      <c r="F65" s="65" t="e">
        <f ca="1">_xll.BDP(B65,"CRNCY")</f>
        <v>#NAME?</v>
      </c>
      <c r="G65" s="66" t="e">
        <f ca="1">_xll.BDP(B65,"LAST_PRICE")</f>
        <v>#NAME?</v>
      </c>
      <c r="H65" s="67" t="e">
        <f ca="1">_xll.BDP(B65,"30_DAY_AVERAGE_VOLUME_AT_TIME_RT")</f>
        <v>#NAME?</v>
      </c>
      <c r="I65" s="68" t="e">
        <f ca="1">_xll.BDP(B65,"AVERAGE_BID_ASK_SPREAD_%")</f>
        <v>#NAME?</v>
      </c>
      <c r="J65" s="69" t="e">
        <f ca="1">_xll.BDP(B65,"RT_PX_CHG_NET_1D")</f>
        <v>#NAME?</v>
      </c>
      <c r="K65" s="69" t="e">
        <f ca="1">_xll.BDP(B65,"RT_PX_CHG_PCT_1D")</f>
        <v>#NAME?</v>
      </c>
      <c r="L65" s="69" t="e">
        <f ca="1">_xll.BDP(B65,"CHG_PCT_WTD")</f>
        <v>#NAME?</v>
      </c>
      <c r="M65" s="69" t="e">
        <f ca="1">_xll.BDP(B65,"CHG_PCT_1M_RT")</f>
        <v>#NAME?</v>
      </c>
      <c r="N65" s="69" t="e">
        <f ca="1">_xll.BDP(B65,"CHG_PCT_3M_RT")</f>
        <v>#NAME?</v>
      </c>
      <c r="O65" s="69" t="e">
        <f ca="1">_xll.BDP(B65,"CHG_PCT_6M")</f>
        <v>#NAME?</v>
      </c>
      <c r="P65" s="69" t="e">
        <f ca="1">_xll.BDP(B65,"CHG_PCT_YTD")</f>
        <v>#NAME?</v>
      </c>
      <c r="Q65" s="69" t="e">
        <f ca="1">_xll.BDP(B65,"PRICE_CHANGE_1Y_PCT_RT")</f>
        <v>#NAME?</v>
      </c>
      <c r="R65" s="68" t="e">
        <f ca="1">_xll.BDP(B65,"STANDARD_DEVIATION_3YR")</f>
        <v>#NAME?</v>
      </c>
      <c r="S65" s="68" t="e">
        <f ca="1">_xll.BDP(B65,"EQY_SHARPE_RATIO_3YR")</f>
        <v>#NAME?</v>
      </c>
      <c r="T65" s="68" t="e">
        <f ca="1">_xll.BDP(B65,"FUND_EXPENSE_RATIO")</f>
        <v>#NAME?</v>
      </c>
      <c r="U65" s="68" t="e">
        <f ca="1">_xll.BDP(B65,"TRACKING_ERROR")</f>
        <v>#NAME?</v>
      </c>
      <c r="V65" s="79"/>
    </row>
    <row r="66" spans="2:22" ht="38.1" hidden="1" customHeight="1" x14ac:dyDescent="0.7">
      <c r="B66" s="80" t="s">
        <v>235</v>
      </c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9"/>
    </row>
    <row r="67" spans="2:22" ht="38.1" hidden="1" customHeight="1" x14ac:dyDescent="0.7">
      <c r="B67" s="64" t="s">
        <v>104</v>
      </c>
      <c r="C67" s="65" t="s">
        <v>236</v>
      </c>
      <c r="D67" s="65" t="s">
        <v>237</v>
      </c>
      <c r="E67" s="65" t="e">
        <f ca="1">_xll.BDP(B67,"FUND_INCEPT_DT")</f>
        <v>#NAME?</v>
      </c>
      <c r="F67" s="65" t="e">
        <f ca="1">_xll.BDP(B67,"CRNCY")</f>
        <v>#NAME?</v>
      </c>
      <c r="G67" s="66" t="e">
        <f ca="1">_xll.BDP(B67,"LAST_PRICE")</f>
        <v>#NAME?</v>
      </c>
      <c r="H67" s="67" t="e">
        <f ca="1">_xll.BDP(B67,"30_DAY_AVERAGE_VOLUME_AT_TIME_RT")</f>
        <v>#NAME?</v>
      </c>
      <c r="I67" s="68" t="e">
        <f ca="1">_xll.BDP(B67,"AVERAGE_BID_ASK_SPREAD_%")</f>
        <v>#NAME?</v>
      </c>
      <c r="J67" s="69" t="e">
        <f ca="1">_xll.BDP(B67,"RT_PX_CHG_NET_1D")</f>
        <v>#NAME?</v>
      </c>
      <c r="K67" s="69" t="e">
        <f ca="1">_xll.BDP(B67,"RT_PX_CHG_PCT_1D")</f>
        <v>#NAME?</v>
      </c>
      <c r="L67" s="69" t="e">
        <f ca="1">_xll.BDP(B67,"CHG_PCT_WTD")</f>
        <v>#NAME?</v>
      </c>
      <c r="M67" s="69" t="e">
        <f ca="1">_xll.BDP(B67,"CHG_PCT_1M_RT")</f>
        <v>#NAME?</v>
      </c>
      <c r="N67" s="69" t="e">
        <f ca="1">_xll.BDP(B67,"CHG_PCT_3M_RT")</f>
        <v>#NAME?</v>
      </c>
      <c r="O67" s="69" t="e">
        <f ca="1">_xll.BDP(B67,"CHG_PCT_6M")</f>
        <v>#NAME?</v>
      </c>
      <c r="P67" s="69" t="e">
        <f ca="1">_xll.BDP(B67,"CHG_PCT_YTD")</f>
        <v>#NAME?</v>
      </c>
      <c r="Q67" s="69" t="e">
        <f ca="1">_xll.BDP(B67,"PRICE_CHANGE_1Y_PCT_RT")</f>
        <v>#NAME?</v>
      </c>
      <c r="R67" s="68" t="e">
        <f ca="1">_xll.BDP(B67,"STANDARD_DEVIATION_3YR")</f>
        <v>#NAME?</v>
      </c>
      <c r="S67" s="68" t="e">
        <f ca="1">_xll.BDP(B67,"EQY_SHARPE_RATIO_3YR")</f>
        <v>#NAME?</v>
      </c>
      <c r="T67" s="68" t="e">
        <f ca="1">_xll.BDP(B67,"FUND_EXPENSE_RATIO")</f>
        <v>#NAME?</v>
      </c>
      <c r="U67" s="68" t="e">
        <f ca="1">_xll.BDP(B67,"TRACKING_ERROR")</f>
        <v>#NAME?</v>
      </c>
      <c r="V67" s="79"/>
    </row>
    <row r="68" spans="2:22" ht="38.1" hidden="1" customHeight="1" x14ac:dyDescent="0.7">
      <c r="B68" s="64" t="s">
        <v>105</v>
      </c>
      <c r="C68" s="65" t="s">
        <v>238</v>
      </c>
      <c r="D68" s="65" t="s">
        <v>239</v>
      </c>
      <c r="E68" s="65" t="e">
        <f ca="1">_xll.BDP(B68,"FUND_INCEPT_DT")</f>
        <v>#NAME?</v>
      </c>
      <c r="F68" s="65" t="e">
        <f ca="1">_xll.BDP(B68,"CRNCY")</f>
        <v>#NAME?</v>
      </c>
      <c r="G68" s="66" t="e">
        <f ca="1">_xll.BDP(B68,"LAST_PRICE")</f>
        <v>#NAME?</v>
      </c>
      <c r="H68" s="67" t="e">
        <f ca="1">_xll.BDP(B68,"30_DAY_AVERAGE_VOLUME_AT_TIME_RT")</f>
        <v>#NAME?</v>
      </c>
      <c r="I68" s="68" t="e">
        <f ca="1">_xll.BDP(B68,"AVERAGE_BID_ASK_SPREAD_%")</f>
        <v>#NAME?</v>
      </c>
      <c r="J68" s="69" t="e">
        <f ca="1">_xll.BDP(B68,"RT_PX_CHG_NET_1D")</f>
        <v>#NAME?</v>
      </c>
      <c r="K68" s="69" t="e">
        <f ca="1">_xll.BDP(B68,"RT_PX_CHG_PCT_1D")</f>
        <v>#NAME?</v>
      </c>
      <c r="L68" s="69" t="e">
        <f ca="1">_xll.BDP(B68,"CHG_PCT_WTD")</f>
        <v>#NAME?</v>
      </c>
      <c r="M68" s="69" t="e">
        <f ca="1">_xll.BDP(B68,"CHG_PCT_1M_RT")</f>
        <v>#NAME?</v>
      </c>
      <c r="N68" s="69" t="e">
        <f ca="1">_xll.BDP(B68,"CHG_PCT_3M_RT")</f>
        <v>#NAME?</v>
      </c>
      <c r="O68" s="69" t="e">
        <f ca="1">_xll.BDP(B68,"CHG_PCT_6M")</f>
        <v>#NAME?</v>
      </c>
      <c r="P68" s="69" t="e">
        <f ca="1">_xll.BDP(B68,"CHG_PCT_YTD")</f>
        <v>#NAME?</v>
      </c>
      <c r="Q68" s="69" t="e">
        <f ca="1">_xll.BDP(B68,"PRICE_CHANGE_1Y_PCT_RT")</f>
        <v>#NAME?</v>
      </c>
      <c r="R68" s="68" t="e">
        <f ca="1">_xll.BDP(B68,"STANDARD_DEVIATION_3YR")</f>
        <v>#NAME?</v>
      </c>
      <c r="S68" s="68" t="e">
        <f ca="1">_xll.BDP(B68,"EQY_SHARPE_RATIO_3YR")</f>
        <v>#NAME?</v>
      </c>
      <c r="T68" s="68" t="e">
        <f ca="1">_xll.BDP(B68,"FUND_EXPENSE_RATIO")</f>
        <v>#NAME?</v>
      </c>
      <c r="U68" s="68" t="e">
        <f ca="1">_xll.BDP(B68,"TRACKING_ERROR")</f>
        <v>#NAME?</v>
      </c>
      <c r="V68" s="79"/>
    </row>
    <row r="69" spans="2:22" ht="38.1" hidden="1" customHeight="1" x14ac:dyDescent="0.7">
      <c r="B69" s="64" t="s">
        <v>106</v>
      </c>
      <c r="C69" s="65" t="s">
        <v>240</v>
      </c>
      <c r="D69" s="65" t="s">
        <v>241</v>
      </c>
      <c r="E69" s="65" t="e">
        <f ca="1">_xll.BDP(B69,"FUND_INCEPT_DT")</f>
        <v>#NAME?</v>
      </c>
      <c r="F69" s="65" t="e">
        <f ca="1">_xll.BDP(B69,"CRNCY")</f>
        <v>#NAME?</v>
      </c>
      <c r="G69" s="66" t="e">
        <f ca="1">_xll.BDP(B69,"LAST_PRICE")</f>
        <v>#NAME?</v>
      </c>
      <c r="H69" s="67" t="e">
        <f ca="1">_xll.BDP(B69,"30_DAY_AVERAGE_VOLUME_AT_TIME_RT")</f>
        <v>#NAME?</v>
      </c>
      <c r="I69" s="68" t="e">
        <f ca="1">_xll.BDP(B69,"AVERAGE_BID_ASK_SPREAD_%")</f>
        <v>#NAME?</v>
      </c>
      <c r="J69" s="69" t="e">
        <f ca="1">_xll.BDP(B69,"RT_PX_CHG_NET_1D")</f>
        <v>#NAME?</v>
      </c>
      <c r="K69" s="69" t="e">
        <f ca="1">_xll.BDP(B69,"RT_PX_CHG_PCT_1D")</f>
        <v>#NAME?</v>
      </c>
      <c r="L69" s="69" t="e">
        <f ca="1">_xll.BDP(B69,"CHG_PCT_WTD")</f>
        <v>#NAME?</v>
      </c>
      <c r="M69" s="69" t="e">
        <f ca="1">_xll.BDP(B69,"CHG_PCT_1M_RT")</f>
        <v>#NAME?</v>
      </c>
      <c r="N69" s="69" t="e">
        <f ca="1">_xll.BDP(B69,"CHG_PCT_3M_RT")</f>
        <v>#NAME?</v>
      </c>
      <c r="O69" s="69" t="e">
        <f ca="1">_xll.BDP(B69,"CHG_PCT_6M")</f>
        <v>#NAME?</v>
      </c>
      <c r="P69" s="69" t="e">
        <f ca="1">_xll.BDP(B69,"CHG_PCT_YTD")</f>
        <v>#NAME?</v>
      </c>
      <c r="Q69" s="69" t="e">
        <f ca="1">_xll.BDP(B69,"PRICE_CHANGE_1Y_PCT_RT")</f>
        <v>#NAME?</v>
      </c>
      <c r="R69" s="68" t="e">
        <f ca="1">_xll.BDP(B69,"STANDARD_DEVIATION_3YR")</f>
        <v>#NAME?</v>
      </c>
      <c r="S69" s="68" t="e">
        <f ca="1">_xll.BDP(B69,"EQY_SHARPE_RATIO_3YR")</f>
        <v>#NAME?</v>
      </c>
      <c r="T69" s="68" t="e">
        <f ca="1">_xll.BDP(B69,"FUND_EXPENSE_RATIO")</f>
        <v>#NAME?</v>
      </c>
      <c r="U69" s="68" t="e">
        <f ca="1">_xll.BDP(B69,"TRACKING_ERROR")</f>
        <v>#NAME?</v>
      </c>
      <c r="V69" s="79"/>
    </row>
    <row r="70" spans="2:22" ht="38.1" hidden="1" customHeight="1" x14ac:dyDescent="0.7">
      <c r="B70" s="64" t="s">
        <v>107</v>
      </c>
      <c r="C70" s="65" t="s">
        <v>242</v>
      </c>
      <c r="D70" s="65" t="s">
        <v>243</v>
      </c>
      <c r="E70" s="65" t="e">
        <f ca="1">_xll.BDP(B70,"FUND_INCEPT_DT")</f>
        <v>#NAME?</v>
      </c>
      <c r="F70" s="65" t="e">
        <f ca="1">_xll.BDP(B70,"CRNCY")</f>
        <v>#NAME?</v>
      </c>
      <c r="G70" s="66" t="e">
        <f ca="1">_xll.BDP(B70,"LAST_PRICE")</f>
        <v>#NAME?</v>
      </c>
      <c r="H70" s="67" t="e">
        <f ca="1">_xll.BDP(B70,"30_DAY_AVERAGE_VOLUME_AT_TIME_RT")</f>
        <v>#NAME?</v>
      </c>
      <c r="I70" s="68" t="e">
        <f ca="1">_xll.BDP(B70,"AVERAGE_BID_ASK_SPREAD_%")</f>
        <v>#NAME?</v>
      </c>
      <c r="J70" s="69" t="e">
        <f ca="1">_xll.BDP(B70,"RT_PX_CHG_NET_1D")</f>
        <v>#NAME?</v>
      </c>
      <c r="K70" s="69" t="e">
        <f ca="1">_xll.BDP(B70,"RT_PX_CHG_PCT_1D")</f>
        <v>#NAME?</v>
      </c>
      <c r="L70" s="69" t="e">
        <f ca="1">_xll.BDP(B70,"CHG_PCT_WTD")</f>
        <v>#NAME?</v>
      </c>
      <c r="M70" s="69" t="e">
        <f ca="1">_xll.BDP(B70,"CHG_PCT_1M_RT")</f>
        <v>#NAME?</v>
      </c>
      <c r="N70" s="69" t="e">
        <f ca="1">_xll.BDP(B70,"CHG_PCT_3M_RT")</f>
        <v>#NAME?</v>
      </c>
      <c r="O70" s="69" t="e">
        <f ca="1">_xll.BDP(B70,"CHG_PCT_6M")</f>
        <v>#NAME?</v>
      </c>
      <c r="P70" s="69" t="e">
        <f ca="1">_xll.BDP(B70,"CHG_PCT_YTD")</f>
        <v>#NAME?</v>
      </c>
      <c r="Q70" s="69" t="e">
        <f ca="1">_xll.BDP(B70,"PRICE_CHANGE_1Y_PCT_RT")</f>
        <v>#NAME?</v>
      </c>
      <c r="R70" s="68" t="e">
        <f ca="1">_xll.BDP(B70,"STANDARD_DEVIATION_3YR")</f>
        <v>#NAME?</v>
      </c>
      <c r="S70" s="68" t="e">
        <f ca="1">_xll.BDP(B70,"EQY_SHARPE_RATIO_3YR")</f>
        <v>#NAME?</v>
      </c>
      <c r="T70" s="68" t="e">
        <f ca="1">_xll.BDP(B70,"FUND_EXPENSE_RATIO")</f>
        <v>#NAME?</v>
      </c>
      <c r="U70" s="68" t="e">
        <f ca="1">_xll.BDP(B70,"TRACKING_ERROR")</f>
        <v>#NAME?</v>
      </c>
      <c r="V70" s="79"/>
    </row>
    <row r="71" spans="2:22" ht="38.1" hidden="1" customHeight="1" x14ac:dyDescent="0.7">
      <c r="B71" s="64" t="s">
        <v>108</v>
      </c>
      <c r="C71" s="65" t="s">
        <v>244</v>
      </c>
      <c r="D71" s="65" t="s">
        <v>245</v>
      </c>
      <c r="E71" s="65" t="e">
        <f ca="1">_xll.BDP(B71,"FUND_INCEPT_DT")</f>
        <v>#NAME?</v>
      </c>
      <c r="F71" s="65" t="e">
        <f ca="1">_xll.BDP(B71,"CRNCY")</f>
        <v>#NAME?</v>
      </c>
      <c r="G71" s="66" t="e">
        <f ca="1">_xll.BDP(B71,"LAST_PRICE")</f>
        <v>#NAME?</v>
      </c>
      <c r="H71" s="67" t="e">
        <f ca="1">_xll.BDP(B71,"30_DAY_AVERAGE_VOLUME_AT_TIME_RT")</f>
        <v>#NAME?</v>
      </c>
      <c r="I71" s="68" t="e">
        <f ca="1">_xll.BDP(B71,"AVERAGE_BID_ASK_SPREAD_%")</f>
        <v>#NAME?</v>
      </c>
      <c r="J71" s="69" t="e">
        <f ca="1">_xll.BDP(B71,"RT_PX_CHG_NET_1D")</f>
        <v>#NAME?</v>
      </c>
      <c r="K71" s="69" t="e">
        <f ca="1">_xll.BDP(B71,"RT_PX_CHG_PCT_1D")</f>
        <v>#NAME?</v>
      </c>
      <c r="L71" s="69" t="e">
        <f ca="1">_xll.BDP(B71,"CHG_PCT_WTD")</f>
        <v>#NAME?</v>
      </c>
      <c r="M71" s="69" t="e">
        <f ca="1">_xll.BDP(B71,"CHG_PCT_1M_RT")</f>
        <v>#NAME?</v>
      </c>
      <c r="N71" s="69" t="e">
        <f ca="1">_xll.BDP(B71,"CHG_PCT_3M_RT")</f>
        <v>#NAME?</v>
      </c>
      <c r="O71" s="69" t="e">
        <f ca="1">_xll.BDP(B71,"CHG_PCT_6M")</f>
        <v>#NAME?</v>
      </c>
      <c r="P71" s="69" t="e">
        <f ca="1">_xll.BDP(B71,"CHG_PCT_YTD")</f>
        <v>#NAME?</v>
      </c>
      <c r="Q71" s="69" t="e">
        <f ca="1">_xll.BDP(B71,"PRICE_CHANGE_1Y_PCT_RT")</f>
        <v>#NAME?</v>
      </c>
      <c r="R71" s="68" t="e">
        <f ca="1">_xll.BDP(B71,"STANDARD_DEVIATION_3YR")</f>
        <v>#NAME?</v>
      </c>
      <c r="S71" s="68" t="e">
        <f ca="1">_xll.BDP(B71,"EQY_SHARPE_RATIO_3YR")</f>
        <v>#NAME?</v>
      </c>
      <c r="T71" s="68" t="e">
        <f ca="1">_xll.BDP(B71,"FUND_EXPENSE_RATIO")</f>
        <v>#NAME?</v>
      </c>
      <c r="U71" s="68" t="e">
        <f ca="1">_xll.BDP(B71,"TRACKING_ERROR")</f>
        <v>#NAME?</v>
      </c>
      <c r="V71" s="79"/>
    </row>
    <row r="72" spans="2:22" ht="38.1" hidden="1" customHeight="1" x14ac:dyDescent="0.7">
      <c r="B72" s="64" t="s">
        <v>109</v>
      </c>
      <c r="C72" s="65" t="s">
        <v>246</v>
      </c>
      <c r="D72" s="65" t="s">
        <v>247</v>
      </c>
      <c r="E72" s="65" t="e">
        <f ca="1">_xll.BDP(B72,"FUND_INCEPT_DT")</f>
        <v>#NAME?</v>
      </c>
      <c r="F72" s="65" t="e">
        <f ca="1">_xll.BDP(B72,"CRNCY")</f>
        <v>#NAME?</v>
      </c>
      <c r="G72" s="66" t="e">
        <f ca="1">_xll.BDP(B72,"LAST_PRICE")</f>
        <v>#NAME?</v>
      </c>
      <c r="H72" s="67" t="e">
        <f ca="1">_xll.BDP(B72,"30_DAY_AVERAGE_VOLUME_AT_TIME_RT")</f>
        <v>#NAME?</v>
      </c>
      <c r="I72" s="68" t="e">
        <f ca="1">_xll.BDP(B72,"AVERAGE_BID_ASK_SPREAD_%")</f>
        <v>#NAME?</v>
      </c>
      <c r="J72" s="69" t="e">
        <f ca="1">_xll.BDP(B72,"RT_PX_CHG_NET_1D")</f>
        <v>#NAME?</v>
      </c>
      <c r="K72" s="69" t="e">
        <f ca="1">_xll.BDP(B72,"RT_PX_CHG_PCT_1D")</f>
        <v>#NAME?</v>
      </c>
      <c r="L72" s="69" t="e">
        <f ca="1">_xll.BDP(B72,"CHG_PCT_WTD")</f>
        <v>#NAME?</v>
      </c>
      <c r="M72" s="69" t="e">
        <f ca="1">_xll.BDP(B72,"CHG_PCT_1M_RT")</f>
        <v>#NAME?</v>
      </c>
      <c r="N72" s="69" t="e">
        <f ca="1">_xll.BDP(B72,"CHG_PCT_3M_RT")</f>
        <v>#NAME?</v>
      </c>
      <c r="O72" s="69" t="e">
        <f ca="1">_xll.BDP(B72,"CHG_PCT_6M")</f>
        <v>#NAME?</v>
      </c>
      <c r="P72" s="69" t="e">
        <f ca="1">_xll.BDP(B72,"CHG_PCT_YTD")</f>
        <v>#NAME?</v>
      </c>
      <c r="Q72" s="69" t="e">
        <f ca="1">_xll.BDP(B72,"PRICE_CHANGE_1Y_PCT_RT")</f>
        <v>#NAME?</v>
      </c>
      <c r="R72" s="68" t="e">
        <f ca="1">_xll.BDP(B72,"STANDARD_DEVIATION_3YR")</f>
        <v>#NAME?</v>
      </c>
      <c r="S72" s="68" t="e">
        <f ca="1">_xll.BDP(B72,"EQY_SHARPE_RATIO_3YR")</f>
        <v>#NAME?</v>
      </c>
      <c r="T72" s="68" t="e">
        <f ca="1">_xll.BDP(B72,"FUND_EXPENSE_RATIO")</f>
        <v>#NAME?</v>
      </c>
      <c r="U72" s="68" t="e">
        <f ca="1">_xll.BDP(B72,"TRACKING_ERROR")</f>
        <v>#NAME?</v>
      </c>
      <c r="V72" s="79"/>
    </row>
    <row r="73" spans="2:22" ht="38.1" hidden="1" customHeight="1" x14ac:dyDescent="0.7">
      <c r="B73" s="64" t="s">
        <v>110</v>
      </c>
      <c r="C73" s="65" t="s">
        <v>248</v>
      </c>
      <c r="D73" s="65" t="s">
        <v>214</v>
      </c>
      <c r="E73" s="65" t="e">
        <f ca="1">_xll.BDP(B73,"FUND_INCEPT_DT")</f>
        <v>#NAME?</v>
      </c>
      <c r="F73" s="65" t="e">
        <f ca="1">_xll.BDP(B73,"CRNCY")</f>
        <v>#NAME?</v>
      </c>
      <c r="G73" s="66" t="e">
        <f ca="1">_xll.BDP(B73,"LAST_PRICE")</f>
        <v>#NAME?</v>
      </c>
      <c r="H73" s="67" t="e">
        <f ca="1">_xll.BDP(B73,"30_DAY_AVERAGE_VOLUME_AT_TIME_RT")</f>
        <v>#NAME?</v>
      </c>
      <c r="I73" s="68" t="e">
        <f ca="1">_xll.BDP(B73,"AVERAGE_BID_ASK_SPREAD_%")</f>
        <v>#NAME?</v>
      </c>
      <c r="J73" s="69" t="e">
        <f ca="1">_xll.BDP(B73,"RT_PX_CHG_NET_1D")</f>
        <v>#NAME?</v>
      </c>
      <c r="K73" s="69" t="e">
        <f ca="1">_xll.BDP(B73,"RT_PX_CHG_PCT_1D")</f>
        <v>#NAME?</v>
      </c>
      <c r="L73" s="69" t="e">
        <f ca="1">_xll.BDP(B73,"CHG_PCT_WTD")</f>
        <v>#NAME?</v>
      </c>
      <c r="M73" s="69" t="e">
        <f ca="1">_xll.BDP(B73,"CHG_PCT_1M_RT")</f>
        <v>#NAME?</v>
      </c>
      <c r="N73" s="69" t="e">
        <f ca="1">_xll.BDP(B73,"CHG_PCT_3M_RT")</f>
        <v>#NAME?</v>
      </c>
      <c r="O73" s="69" t="e">
        <f ca="1">_xll.BDP(B73,"CHG_PCT_6M")</f>
        <v>#NAME?</v>
      </c>
      <c r="P73" s="69" t="e">
        <f ca="1">_xll.BDP(B73,"CHG_PCT_YTD")</f>
        <v>#NAME?</v>
      </c>
      <c r="Q73" s="69" t="e">
        <f ca="1">_xll.BDP(B73,"PRICE_CHANGE_1Y_PCT_RT")</f>
        <v>#NAME?</v>
      </c>
      <c r="R73" s="68" t="e">
        <f ca="1">_xll.BDP(B73,"STANDARD_DEVIATION_3YR")</f>
        <v>#NAME?</v>
      </c>
      <c r="S73" s="68" t="e">
        <f ca="1">_xll.BDP(B73,"EQY_SHARPE_RATIO_3YR")</f>
        <v>#NAME?</v>
      </c>
      <c r="T73" s="68" t="e">
        <f ca="1">_xll.BDP(B73,"FUND_EXPENSE_RATIO")</f>
        <v>#NAME?</v>
      </c>
      <c r="U73" s="68" t="e">
        <f ca="1">_xll.BDP(B73,"TRACKING_ERROR")</f>
        <v>#NAME?</v>
      </c>
      <c r="V73" s="79"/>
    </row>
    <row r="74" spans="2:22" ht="38.1" hidden="1" customHeight="1" x14ac:dyDescent="0.7">
      <c r="B74" s="64" t="s">
        <v>111</v>
      </c>
      <c r="C74" s="65" t="s">
        <v>249</v>
      </c>
      <c r="D74" s="65" t="s">
        <v>250</v>
      </c>
      <c r="E74" s="65" t="e">
        <f ca="1">_xll.BDP(B74,"FUND_INCEPT_DT")</f>
        <v>#NAME?</v>
      </c>
      <c r="F74" s="65" t="e">
        <f ca="1">_xll.BDP(B74,"CRNCY")</f>
        <v>#NAME?</v>
      </c>
      <c r="G74" s="66" t="e">
        <f ca="1">_xll.BDP(B74,"LAST_PRICE")</f>
        <v>#NAME?</v>
      </c>
      <c r="H74" s="67" t="e">
        <f ca="1">_xll.BDP(B74,"30_DAY_AVERAGE_VOLUME_AT_TIME_RT")</f>
        <v>#NAME?</v>
      </c>
      <c r="I74" s="68" t="e">
        <f ca="1">_xll.BDP(B74,"AVERAGE_BID_ASK_SPREAD_%")</f>
        <v>#NAME?</v>
      </c>
      <c r="J74" s="69" t="e">
        <f ca="1">_xll.BDP(B74,"RT_PX_CHG_NET_1D")</f>
        <v>#NAME?</v>
      </c>
      <c r="K74" s="69" t="e">
        <f ca="1">_xll.BDP(B74,"RT_PX_CHG_PCT_1D")</f>
        <v>#NAME?</v>
      </c>
      <c r="L74" s="69" t="e">
        <f ca="1">_xll.BDP(B74,"CHG_PCT_WTD")</f>
        <v>#NAME?</v>
      </c>
      <c r="M74" s="69" t="e">
        <f ca="1">_xll.BDP(B74,"CHG_PCT_1M_RT")</f>
        <v>#NAME?</v>
      </c>
      <c r="N74" s="69" t="e">
        <f ca="1">_xll.BDP(B74,"CHG_PCT_3M_RT")</f>
        <v>#NAME?</v>
      </c>
      <c r="O74" s="69" t="e">
        <f ca="1">_xll.BDP(B74,"CHG_PCT_6M")</f>
        <v>#NAME?</v>
      </c>
      <c r="P74" s="69" t="e">
        <f ca="1">_xll.BDP(B74,"CHG_PCT_YTD")</f>
        <v>#NAME?</v>
      </c>
      <c r="Q74" s="69" t="e">
        <f ca="1">_xll.BDP(B74,"PRICE_CHANGE_1Y_PCT_RT")</f>
        <v>#NAME?</v>
      </c>
      <c r="R74" s="68" t="e">
        <f ca="1">_xll.BDP(B74,"STANDARD_DEVIATION_3YR")</f>
        <v>#NAME?</v>
      </c>
      <c r="S74" s="68" t="e">
        <f ca="1">_xll.BDP(B74,"EQY_SHARPE_RATIO_3YR")</f>
        <v>#NAME?</v>
      </c>
      <c r="T74" s="68" t="e">
        <f ca="1">_xll.BDP(B74,"FUND_EXPENSE_RATIO")</f>
        <v>#NAME?</v>
      </c>
      <c r="U74" s="68" t="e">
        <f ca="1">_xll.BDP(B74,"TRACKING_ERROR")</f>
        <v>#NAME?</v>
      </c>
      <c r="V74" s="79"/>
    </row>
    <row r="75" spans="2:22" ht="38.1" hidden="1" customHeight="1" x14ac:dyDescent="0.7">
      <c r="B75" s="64" t="s">
        <v>112</v>
      </c>
      <c r="C75" s="65" t="s">
        <v>251</v>
      </c>
      <c r="D75" s="65" t="s">
        <v>252</v>
      </c>
      <c r="E75" s="65" t="e">
        <f ca="1">_xll.BDP(B75,"FUND_INCEPT_DT")</f>
        <v>#NAME?</v>
      </c>
      <c r="F75" s="65" t="e">
        <f ca="1">_xll.BDP(B75,"CRNCY")</f>
        <v>#NAME?</v>
      </c>
      <c r="G75" s="66" t="e">
        <f ca="1">_xll.BDP(B75,"LAST_PRICE")</f>
        <v>#NAME?</v>
      </c>
      <c r="H75" s="67" t="e">
        <f ca="1">_xll.BDP(B75,"30_DAY_AVERAGE_VOLUME_AT_TIME_RT")</f>
        <v>#NAME?</v>
      </c>
      <c r="I75" s="68" t="e">
        <f ca="1">_xll.BDP(B75,"AVERAGE_BID_ASK_SPREAD_%")</f>
        <v>#NAME?</v>
      </c>
      <c r="J75" s="69" t="e">
        <f ca="1">_xll.BDP(B75,"RT_PX_CHG_NET_1D")</f>
        <v>#NAME?</v>
      </c>
      <c r="K75" s="69" t="e">
        <f ca="1">_xll.BDP(B75,"RT_PX_CHG_PCT_1D")</f>
        <v>#NAME?</v>
      </c>
      <c r="L75" s="69" t="e">
        <f ca="1">_xll.BDP(B75,"CHG_PCT_WTD")</f>
        <v>#NAME?</v>
      </c>
      <c r="M75" s="69" t="e">
        <f ca="1">_xll.BDP(B75,"CHG_PCT_1M_RT")</f>
        <v>#NAME?</v>
      </c>
      <c r="N75" s="69" t="e">
        <f ca="1">_xll.BDP(B75,"CHG_PCT_3M_RT")</f>
        <v>#NAME?</v>
      </c>
      <c r="O75" s="69" t="e">
        <f ca="1">_xll.BDP(B75,"CHG_PCT_6M")</f>
        <v>#NAME?</v>
      </c>
      <c r="P75" s="69" t="e">
        <f ca="1">_xll.BDP(B75,"CHG_PCT_YTD")</f>
        <v>#NAME?</v>
      </c>
      <c r="Q75" s="69" t="e">
        <f ca="1">_xll.BDP(B75,"PRICE_CHANGE_1Y_PCT_RT")</f>
        <v>#NAME?</v>
      </c>
      <c r="R75" s="68" t="e">
        <f ca="1">_xll.BDP(B75,"STANDARD_DEVIATION_3YR")</f>
        <v>#NAME?</v>
      </c>
      <c r="S75" s="68" t="e">
        <f ca="1">_xll.BDP(B75,"EQY_SHARPE_RATIO_3YR")</f>
        <v>#NAME?</v>
      </c>
      <c r="T75" s="68" t="e">
        <f ca="1">_xll.BDP(B75,"FUND_EXPENSE_RATIO")</f>
        <v>#NAME?</v>
      </c>
      <c r="U75" s="68" t="e">
        <f ca="1">_xll.BDP(B75,"TRACKING_ERROR")</f>
        <v>#NAME?</v>
      </c>
      <c r="V75" s="79"/>
    </row>
    <row r="76" spans="2:22" ht="38.1" hidden="1" customHeight="1" x14ac:dyDescent="0.7">
      <c r="B76" s="64" t="s">
        <v>113</v>
      </c>
      <c r="C76" s="65" t="s">
        <v>253</v>
      </c>
      <c r="D76" s="65" t="s">
        <v>254</v>
      </c>
      <c r="E76" s="65" t="e">
        <f ca="1">_xll.BDP(B76,"FUND_INCEPT_DT")</f>
        <v>#NAME?</v>
      </c>
      <c r="F76" s="65" t="e">
        <f ca="1">_xll.BDP(B76,"CRNCY")</f>
        <v>#NAME?</v>
      </c>
      <c r="G76" s="66" t="e">
        <f ca="1">_xll.BDP(B76,"LAST_PRICE")</f>
        <v>#NAME?</v>
      </c>
      <c r="H76" s="67" t="e">
        <f ca="1">_xll.BDP(B76,"30_DAY_AVERAGE_VOLUME_AT_TIME_RT")</f>
        <v>#NAME?</v>
      </c>
      <c r="I76" s="68" t="e">
        <f ca="1">_xll.BDP(B76,"AVERAGE_BID_ASK_SPREAD_%")</f>
        <v>#NAME?</v>
      </c>
      <c r="J76" s="69" t="e">
        <f ca="1">_xll.BDP(B76,"RT_PX_CHG_NET_1D")</f>
        <v>#NAME?</v>
      </c>
      <c r="K76" s="69" t="e">
        <f ca="1">_xll.BDP(B76,"RT_PX_CHG_PCT_1D")</f>
        <v>#NAME?</v>
      </c>
      <c r="L76" s="69" t="e">
        <f ca="1">_xll.BDP(B76,"CHG_PCT_WTD")</f>
        <v>#NAME?</v>
      </c>
      <c r="M76" s="69" t="e">
        <f ca="1">_xll.BDP(B76,"CHG_PCT_1M_RT")</f>
        <v>#NAME?</v>
      </c>
      <c r="N76" s="69" t="e">
        <f ca="1">_xll.BDP(B76,"CHG_PCT_3M_RT")</f>
        <v>#NAME?</v>
      </c>
      <c r="O76" s="69" t="e">
        <f ca="1">_xll.BDP(B76,"CHG_PCT_6M")</f>
        <v>#NAME?</v>
      </c>
      <c r="P76" s="69" t="e">
        <f ca="1">_xll.BDP(B76,"CHG_PCT_YTD")</f>
        <v>#NAME?</v>
      </c>
      <c r="Q76" s="69" t="e">
        <f ca="1">_xll.BDP(B76,"PRICE_CHANGE_1Y_PCT_RT")</f>
        <v>#NAME?</v>
      </c>
      <c r="R76" s="68" t="e">
        <f ca="1">_xll.BDP(B76,"STANDARD_DEVIATION_3YR")</f>
        <v>#NAME?</v>
      </c>
      <c r="S76" s="68" t="e">
        <f ca="1">_xll.BDP(B76,"EQY_SHARPE_RATIO_3YR")</f>
        <v>#NAME?</v>
      </c>
      <c r="T76" s="68" t="e">
        <f ca="1">_xll.BDP(B76,"FUND_EXPENSE_RATIO")</f>
        <v>#NAME?</v>
      </c>
      <c r="U76" s="68" t="e">
        <f ca="1">_xll.BDP(B76,"TRACKING_ERROR")</f>
        <v>#NAME?</v>
      </c>
      <c r="V76" s="79"/>
    </row>
    <row r="77" spans="2:22" ht="38.1" hidden="1" customHeight="1" x14ac:dyDescent="0.7">
      <c r="B77" s="80" t="s">
        <v>255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9"/>
    </row>
    <row r="78" spans="2:22" ht="38.1" hidden="1" customHeight="1" x14ac:dyDescent="0.7">
      <c r="B78" s="64" t="s">
        <v>114</v>
      </c>
      <c r="C78" s="65" t="s">
        <v>256</v>
      </c>
      <c r="D78" s="65" t="s">
        <v>237</v>
      </c>
      <c r="E78" s="65" t="e">
        <f ca="1">_xll.BDP(B78,"FUND_INCEPT_DT")</f>
        <v>#NAME?</v>
      </c>
      <c r="F78" s="65" t="e">
        <f ca="1">_xll.BDP(B78,"CRNCY")</f>
        <v>#NAME?</v>
      </c>
      <c r="G78" s="66" t="e">
        <f ca="1">_xll.BDP(B78,"LAST_PRICE")</f>
        <v>#NAME?</v>
      </c>
      <c r="H78" s="67" t="e">
        <f ca="1">_xll.BDP(B78,"30_DAY_AVERAGE_VOLUME_AT_TIME_RT")</f>
        <v>#NAME?</v>
      </c>
      <c r="I78" s="68" t="e">
        <f ca="1">_xll.BDP(B78,"AVERAGE_BID_ASK_SPREAD_%")</f>
        <v>#NAME?</v>
      </c>
      <c r="J78" s="69" t="e">
        <f ca="1">_xll.BDP(B78,"RT_PX_CHG_NET_1D")</f>
        <v>#NAME?</v>
      </c>
      <c r="K78" s="69" t="e">
        <f ca="1">_xll.BDP(B78,"RT_PX_CHG_PCT_1D")</f>
        <v>#NAME?</v>
      </c>
      <c r="L78" s="69" t="e">
        <f ca="1">_xll.BDP(B78,"CHG_PCT_WTD")</f>
        <v>#NAME?</v>
      </c>
      <c r="M78" s="69" t="e">
        <f ca="1">_xll.BDP(B78,"CHG_PCT_1M_RT")</f>
        <v>#NAME?</v>
      </c>
      <c r="N78" s="69" t="e">
        <f ca="1">_xll.BDP(B78,"CHG_PCT_3M_RT")</f>
        <v>#NAME?</v>
      </c>
      <c r="O78" s="69" t="e">
        <f ca="1">_xll.BDP(B78,"CHG_PCT_6M")</f>
        <v>#NAME?</v>
      </c>
      <c r="P78" s="69" t="e">
        <f ca="1">_xll.BDP(B78,"CHG_PCT_YTD")</f>
        <v>#NAME?</v>
      </c>
      <c r="Q78" s="69" t="e">
        <f ca="1">_xll.BDP(B78,"PRICE_CHANGE_1Y_PCT_RT")</f>
        <v>#NAME?</v>
      </c>
      <c r="R78" s="68" t="e">
        <f ca="1">_xll.BDP(B78,"STANDARD_DEVIATION_3YR")</f>
        <v>#NAME?</v>
      </c>
      <c r="S78" s="68" t="e">
        <f ca="1">_xll.BDP(B78,"EQY_SHARPE_RATIO_3YR")</f>
        <v>#NAME?</v>
      </c>
      <c r="T78" s="68" t="e">
        <f ca="1">_xll.BDP(B78,"FUND_EXPENSE_RATIO")</f>
        <v>#NAME?</v>
      </c>
      <c r="U78" s="68" t="e">
        <f ca="1">_xll.BDP(B78,"TRACKING_ERROR")</f>
        <v>#NAME?</v>
      </c>
      <c r="V78" s="79"/>
    </row>
    <row r="79" spans="2:22" ht="38.1" hidden="1" customHeight="1" x14ac:dyDescent="0.7">
      <c r="B79" s="64" t="s">
        <v>115</v>
      </c>
      <c r="C79" s="65" t="s">
        <v>257</v>
      </c>
      <c r="D79" s="65" t="s">
        <v>237</v>
      </c>
      <c r="E79" s="65" t="e">
        <f ca="1">_xll.BDP(B79,"FUND_INCEPT_DT")</f>
        <v>#NAME?</v>
      </c>
      <c r="F79" s="65" t="e">
        <f ca="1">_xll.BDP(B79,"CRNCY")</f>
        <v>#NAME?</v>
      </c>
      <c r="G79" s="66" t="e">
        <f ca="1">_xll.BDP(B79,"LAST_PRICE")</f>
        <v>#NAME?</v>
      </c>
      <c r="H79" s="67" t="e">
        <f ca="1">_xll.BDP(B79,"30_DAY_AVERAGE_VOLUME_AT_TIME_RT")</f>
        <v>#NAME?</v>
      </c>
      <c r="I79" s="68" t="e">
        <f ca="1">_xll.BDP(B79,"AVERAGE_BID_ASK_SPREAD_%")</f>
        <v>#NAME?</v>
      </c>
      <c r="J79" s="69" t="e">
        <f ca="1">_xll.BDP(B79,"RT_PX_CHG_NET_1D")</f>
        <v>#NAME?</v>
      </c>
      <c r="K79" s="69" t="e">
        <f ca="1">_xll.BDP(B79,"RT_PX_CHG_PCT_1D")</f>
        <v>#NAME?</v>
      </c>
      <c r="L79" s="69" t="e">
        <f ca="1">_xll.BDP(B79,"CHG_PCT_WTD")</f>
        <v>#NAME?</v>
      </c>
      <c r="M79" s="69" t="e">
        <f ca="1">_xll.BDP(B79,"CHG_PCT_1M_RT")</f>
        <v>#NAME?</v>
      </c>
      <c r="N79" s="69" t="e">
        <f ca="1">_xll.BDP(B79,"CHG_PCT_3M_RT")</f>
        <v>#NAME?</v>
      </c>
      <c r="O79" s="69" t="e">
        <f ca="1">_xll.BDP(B79,"CHG_PCT_6M")</f>
        <v>#NAME?</v>
      </c>
      <c r="P79" s="69" t="e">
        <f ca="1">_xll.BDP(B79,"CHG_PCT_YTD")</f>
        <v>#NAME?</v>
      </c>
      <c r="Q79" s="69" t="e">
        <f ca="1">_xll.BDP(B79,"PRICE_CHANGE_1Y_PCT_RT")</f>
        <v>#NAME?</v>
      </c>
      <c r="R79" s="68" t="e">
        <f ca="1">_xll.BDP(B79,"STANDARD_DEVIATION_3YR")</f>
        <v>#NAME?</v>
      </c>
      <c r="S79" s="68" t="e">
        <f ca="1">_xll.BDP(B79,"EQY_SHARPE_RATIO_3YR")</f>
        <v>#NAME?</v>
      </c>
      <c r="T79" s="68" t="e">
        <f ca="1">_xll.BDP(B79,"FUND_EXPENSE_RATIO")</f>
        <v>#NAME?</v>
      </c>
      <c r="U79" s="68" t="e">
        <f ca="1">_xll.BDP(B79,"TRACKING_ERROR")</f>
        <v>#NAME?</v>
      </c>
      <c r="V79" s="79"/>
    </row>
    <row r="80" spans="2:22" ht="38.1" hidden="1" customHeight="1" x14ac:dyDescent="0.7">
      <c r="B80" s="64" t="s">
        <v>116</v>
      </c>
      <c r="C80" s="65" t="s">
        <v>258</v>
      </c>
      <c r="D80" s="65" t="s">
        <v>212</v>
      </c>
      <c r="E80" s="65" t="e">
        <f ca="1">_xll.BDP(B80,"FUND_INCEPT_DT")</f>
        <v>#NAME?</v>
      </c>
      <c r="F80" s="65" t="e">
        <f ca="1">_xll.BDP(B80,"CRNCY")</f>
        <v>#NAME?</v>
      </c>
      <c r="G80" s="66" t="e">
        <f ca="1">_xll.BDP(B80,"LAST_PRICE")</f>
        <v>#NAME?</v>
      </c>
      <c r="H80" s="67" t="e">
        <f ca="1">_xll.BDP(B80,"30_DAY_AVERAGE_VOLUME_AT_TIME_RT")</f>
        <v>#NAME?</v>
      </c>
      <c r="I80" s="68" t="e">
        <f ca="1">_xll.BDP(B80,"AVERAGE_BID_ASK_SPREAD_%")</f>
        <v>#NAME?</v>
      </c>
      <c r="J80" s="69" t="e">
        <f ca="1">_xll.BDP(B80,"RT_PX_CHG_NET_1D")</f>
        <v>#NAME?</v>
      </c>
      <c r="K80" s="69" t="e">
        <f ca="1">_xll.BDP(B80,"RT_PX_CHG_PCT_1D")</f>
        <v>#NAME?</v>
      </c>
      <c r="L80" s="69" t="e">
        <f ca="1">_xll.BDP(B80,"CHG_PCT_WTD")</f>
        <v>#NAME?</v>
      </c>
      <c r="M80" s="69" t="e">
        <f ca="1">_xll.BDP(B80,"CHG_PCT_1M_RT")</f>
        <v>#NAME?</v>
      </c>
      <c r="N80" s="69" t="e">
        <f ca="1">_xll.BDP(B80,"CHG_PCT_3M_RT")</f>
        <v>#NAME?</v>
      </c>
      <c r="O80" s="69" t="e">
        <f ca="1">_xll.BDP(B80,"CHG_PCT_6M")</f>
        <v>#NAME?</v>
      </c>
      <c r="P80" s="69" t="e">
        <f ca="1">_xll.BDP(B80,"CHG_PCT_YTD")</f>
        <v>#NAME?</v>
      </c>
      <c r="Q80" s="69" t="e">
        <f ca="1">_xll.BDP(B80,"PRICE_CHANGE_1Y_PCT_RT")</f>
        <v>#NAME?</v>
      </c>
      <c r="R80" s="68" t="e">
        <f ca="1">_xll.BDP(B80,"STANDARD_DEVIATION_3YR")</f>
        <v>#NAME?</v>
      </c>
      <c r="S80" s="68" t="e">
        <f ca="1">_xll.BDP(B80,"EQY_SHARPE_RATIO_3YR")</f>
        <v>#NAME?</v>
      </c>
      <c r="T80" s="68" t="e">
        <f ca="1">_xll.BDP(B80,"FUND_EXPENSE_RATIO")</f>
        <v>#NAME?</v>
      </c>
      <c r="U80" s="68" t="e">
        <f ca="1">_xll.BDP(B80,"TRACKING_ERROR")</f>
        <v>#NAME?</v>
      </c>
      <c r="V80" s="79"/>
    </row>
    <row r="81" spans="2:22" ht="38.1" hidden="1" customHeight="1" x14ac:dyDescent="0.7">
      <c r="B81" s="64" t="s">
        <v>117</v>
      </c>
      <c r="C81" s="65" t="s">
        <v>259</v>
      </c>
      <c r="D81" s="65" t="s">
        <v>214</v>
      </c>
      <c r="E81" s="65" t="e">
        <f ca="1">_xll.BDP(B81,"FUND_INCEPT_DT")</f>
        <v>#NAME?</v>
      </c>
      <c r="F81" s="65" t="e">
        <f ca="1">_xll.BDP(B81,"CRNCY")</f>
        <v>#NAME?</v>
      </c>
      <c r="G81" s="66" t="e">
        <f ca="1">_xll.BDP(B81,"LAST_PRICE")</f>
        <v>#NAME?</v>
      </c>
      <c r="H81" s="67" t="e">
        <f ca="1">_xll.BDP(B81,"30_DAY_AVERAGE_VOLUME_AT_TIME_RT")</f>
        <v>#NAME?</v>
      </c>
      <c r="I81" s="68" t="e">
        <f ca="1">_xll.BDP(B81,"AVERAGE_BID_ASK_SPREAD_%")</f>
        <v>#NAME?</v>
      </c>
      <c r="J81" s="69" t="e">
        <f ca="1">_xll.BDP(B81,"RT_PX_CHG_NET_1D")</f>
        <v>#NAME?</v>
      </c>
      <c r="K81" s="69" t="e">
        <f ca="1">_xll.BDP(B81,"RT_PX_CHG_PCT_1D")</f>
        <v>#NAME?</v>
      </c>
      <c r="L81" s="69" t="e">
        <f ca="1">_xll.BDP(B81,"CHG_PCT_WTD")</f>
        <v>#NAME?</v>
      </c>
      <c r="M81" s="69" t="e">
        <f ca="1">_xll.BDP(B81,"CHG_PCT_1M_RT")</f>
        <v>#NAME?</v>
      </c>
      <c r="N81" s="69" t="e">
        <f ca="1">_xll.BDP(B81,"CHG_PCT_3M_RT")</f>
        <v>#NAME?</v>
      </c>
      <c r="O81" s="69" t="e">
        <f ca="1">_xll.BDP(B81,"CHG_PCT_6M")</f>
        <v>#NAME?</v>
      </c>
      <c r="P81" s="69" t="e">
        <f ca="1">_xll.BDP(B81,"CHG_PCT_YTD")</f>
        <v>#NAME?</v>
      </c>
      <c r="Q81" s="69" t="e">
        <f ca="1">_xll.BDP(B81,"PRICE_CHANGE_1Y_PCT_RT")</f>
        <v>#NAME?</v>
      </c>
      <c r="R81" s="68" t="e">
        <f ca="1">_xll.BDP(B81,"STANDARD_DEVIATION_3YR")</f>
        <v>#NAME?</v>
      </c>
      <c r="S81" s="68" t="e">
        <f ca="1">_xll.BDP(B81,"EQY_SHARPE_RATIO_3YR")</f>
        <v>#NAME?</v>
      </c>
      <c r="T81" s="68" t="e">
        <f ca="1">_xll.BDP(B81,"FUND_EXPENSE_RATIO")</f>
        <v>#NAME?</v>
      </c>
      <c r="U81" s="68" t="e">
        <f ca="1">_xll.BDP(B81,"TRACKING_ERROR")</f>
        <v>#NAME?</v>
      </c>
      <c r="V81" s="79"/>
    </row>
    <row r="82" spans="2:22" ht="38.1" hidden="1" customHeight="1" x14ac:dyDescent="0.7">
      <c r="B82" s="64" t="s">
        <v>118</v>
      </c>
      <c r="C82" s="65" t="s">
        <v>260</v>
      </c>
      <c r="D82" s="65" t="s">
        <v>261</v>
      </c>
      <c r="E82" s="65" t="e">
        <f ca="1">_xll.BDP(B82,"FUND_INCEPT_DT")</f>
        <v>#NAME?</v>
      </c>
      <c r="F82" s="65" t="e">
        <f ca="1">_xll.BDP(B82,"CRNCY")</f>
        <v>#NAME?</v>
      </c>
      <c r="G82" s="66" t="e">
        <f ca="1">_xll.BDP(B82,"LAST_PRICE")</f>
        <v>#NAME?</v>
      </c>
      <c r="H82" s="67" t="e">
        <f ca="1">_xll.BDP(B82,"30_DAY_AVERAGE_VOLUME_AT_TIME_RT")</f>
        <v>#NAME?</v>
      </c>
      <c r="I82" s="68" t="e">
        <f ca="1">_xll.BDP(B82,"AVERAGE_BID_ASK_SPREAD_%")</f>
        <v>#NAME?</v>
      </c>
      <c r="J82" s="69" t="e">
        <f ca="1">_xll.BDP(B82,"RT_PX_CHG_NET_1D")</f>
        <v>#NAME?</v>
      </c>
      <c r="K82" s="69" t="e">
        <f ca="1">_xll.BDP(B82,"RT_PX_CHG_PCT_1D")</f>
        <v>#NAME?</v>
      </c>
      <c r="L82" s="69" t="e">
        <f ca="1">_xll.BDP(B82,"CHG_PCT_WTD")</f>
        <v>#NAME?</v>
      </c>
      <c r="M82" s="69" t="e">
        <f ca="1">_xll.BDP(B82,"CHG_PCT_1M_RT")</f>
        <v>#NAME?</v>
      </c>
      <c r="N82" s="69" t="e">
        <f ca="1">_xll.BDP(B82,"CHG_PCT_3M_RT")</f>
        <v>#NAME?</v>
      </c>
      <c r="O82" s="69" t="e">
        <f ca="1">_xll.BDP(B82,"CHG_PCT_6M")</f>
        <v>#NAME?</v>
      </c>
      <c r="P82" s="69" t="e">
        <f ca="1">_xll.BDP(B82,"CHG_PCT_YTD")</f>
        <v>#NAME?</v>
      </c>
      <c r="Q82" s="69" t="e">
        <f ca="1">_xll.BDP(B82,"PRICE_CHANGE_1Y_PCT_RT")</f>
        <v>#NAME?</v>
      </c>
      <c r="R82" s="68" t="e">
        <f ca="1">_xll.BDP(B82,"STANDARD_DEVIATION_3YR")</f>
        <v>#NAME?</v>
      </c>
      <c r="S82" s="68" t="e">
        <f ca="1">_xll.BDP(B82,"EQY_SHARPE_RATIO_3YR")</f>
        <v>#NAME?</v>
      </c>
      <c r="T82" s="68" t="e">
        <f ca="1">_xll.BDP(B82,"FUND_EXPENSE_RATIO")</f>
        <v>#NAME?</v>
      </c>
      <c r="U82" s="68" t="e">
        <f ca="1">_xll.BDP(B82,"TRACKING_ERROR")</f>
        <v>#NAME?</v>
      </c>
      <c r="V82" s="79"/>
    </row>
    <row r="83" spans="2:22" ht="38.1" hidden="1" customHeight="1" x14ac:dyDescent="0.7">
      <c r="B83" s="64" t="s">
        <v>119</v>
      </c>
      <c r="C83" s="65" t="s">
        <v>262</v>
      </c>
      <c r="D83" s="65" t="s">
        <v>263</v>
      </c>
      <c r="E83" s="65" t="e">
        <f ca="1">_xll.BDP(B83,"FUND_INCEPT_DT")</f>
        <v>#NAME?</v>
      </c>
      <c r="F83" s="65" t="e">
        <f ca="1">_xll.BDP(B83,"CRNCY")</f>
        <v>#NAME?</v>
      </c>
      <c r="G83" s="66" t="e">
        <f ca="1">_xll.BDP(B83,"LAST_PRICE")</f>
        <v>#NAME?</v>
      </c>
      <c r="H83" s="67" t="e">
        <f ca="1">_xll.BDP(B83,"30_DAY_AVERAGE_VOLUME_AT_TIME_RT")</f>
        <v>#NAME?</v>
      </c>
      <c r="I83" s="68" t="e">
        <f ca="1">_xll.BDP(B83,"AVERAGE_BID_ASK_SPREAD_%")</f>
        <v>#NAME?</v>
      </c>
      <c r="J83" s="69" t="e">
        <f ca="1">_xll.BDP(B83,"RT_PX_CHG_NET_1D")</f>
        <v>#NAME?</v>
      </c>
      <c r="K83" s="69" t="e">
        <f ca="1">_xll.BDP(B83,"RT_PX_CHG_PCT_1D")</f>
        <v>#NAME?</v>
      </c>
      <c r="L83" s="69" t="e">
        <f ca="1">_xll.BDP(B83,"CHG_PCT_WTD")</f>
        <v>#NAME?</v>
      </c>
      <c r="M83" s="69" t="e">
        <f ca="1">_xll.BDP(B83,"CHG_PCT_1M_RT")</f>
        <v>#NAME?</v>
      </c>
      <c r="N83" s="69" t="e">
        <f ca="1">_xll.BDP(B83,"CHG_PCT_3M_RT")</f>
        <v>#NAME?</v>
      </c>
      <c r="O83" s="69" t="e">
        <f ca="1">_xll.BDP(B83,"CHG_PCT_6M")</f>
        <v>#NAME?</v>
      </c>
      <c r="P83" s="69" t="e">
        <f ca="1">_xll.BDP(B83,"CHG_PCT_YTD")</f>
        <v>#NAME?</v>
      </c>
      <c r="Q83" s="69" t="e">
        <f ca="1">_xll.BDP(B83,"PRICE_CHANGE_1Y_PCT_RT")</f>
        <v>#NAME?</v>
      </c>
      <c r="R83" s="68" t="e">
        <f ca="1">_xll.BDP(B83,"STANDARD_DEVIATION_3YR")</f>
        <v>#NAME?</v>
      </c>
      <c r="S83" s="68" t="e">
        <f ca="1">_xll.BDP(B83,"EQY_SHARPE_RATIO_3YR")</f>
        <v>#NAME?</v>
      </c>
      <c r="T83" s="68" t="e">
        <f ca="1">_xll.BDP(B83,"FUND_EXPENSE_RATIO")</f>
        <v>#NAME?</v>
      </c>
      <c r="U83" s="68" t="e">
        <f ca="1">_xll.BDP(B83,"TRACKING_ERROR")</f>
        <v>#NAME?</v>
      </c>
      <c r="V83" s="79"/>
    </row>
    <row r="84" spans="2:22" ht="38.1" hidden="1" customHeight="1" x14ac:dyDescent="0.7">
      <c r="B84" s="64" t="s">
        <v>120</v>
      </c>
      <c r="C84" s="65" t="s">
        <v>264</v>
      </c>
      <c r="D84" s="65" t="s">
        <v>265</v>
      </c>
      <c r="E84" s="65" t="e">
        <f ca="1">_xll.BDP(B84,"FUND_INCEPT_DT")</f>
        <v>#NAME?</v>
      </c>
      <c r="F84" s="65" t="e">
        <f ca="1">_xll.BDP(B84,"CRNCY")</f>
        <v>#NAME?</v>
      </c>
      <c r="G84" s="66" t="e">
        <f ca="1">_xll.BDP(B84,"LAST_PRICE")</f>
        <v>#NAME?</v>
      </c>
      <c r="H84" s="67" t="e">
        <f ca="1">_xll.BDP(B84,"30_DAY_AVERAGE_VOLUME_AT_TIME_RT")</f>
        <v>#NAME?</v>
      </c>
      <c r="I84" s="68" t="e">
        <f ca="1">_xll.BDP(B84,"AVERAGE_BID_ASK_SPREAD_%")</f>
        <v>#NAME?</v>
      </c>
      <c r="J84" s="69" t="e">
        <f ca="1">_xll.BDP(B84,"RT_PX_CHG_NET_1D")</f>
        <v>#NAME?</v>
      </c>
      <c r="K84" s="69" t="e">
        <f ca="1">_xll.BDP(B84,"RT_PX_CHG_PCT_1D")</f>
        <v>#NAME?</v>
      </c>
      <c r="L84" s="69" t="e">
        <f ca="1">_xll.BDP(B84,"CHG_PCT_WTD")</f>
        <v>#NAME?</v>
      </c>
      <c r="M84" s="69" t="e">
        <f ca="1">_xll.BDP(B84,"CHG_PCT_1M_RT")</f>
        <v>#NAME?</v>
      </c>
      <c r="N84" s="69" t="e">
        <f ca="1">_xll.BDP(B84,"CHG_PCT_3M_RT")</f>
        <v>#NAME?</v>
      </c>
      <c r="O84" s="69" t="e">
        <f ca="1">_xll.BDP(B84,"CHG_PCT_6M")</f>
        <v>#NAME?</v>
      </c>
      <c r="P84" s="69" t="e">
        <f ca="1">_xll.BDP(B84,"CHG_PCT_YTD")</f>
        <v>#NAME?</v>
      </c>
      <c r="Q84" s="69" t="e">
        <f ca="1">_xll.BDP(B84,"PRICE_CHANGE_1Y_PCT_RT")</f>
        <v>#NAME?</v>
      </c>
      <c r="R84" s="68" t="e">
        <f ca="1">_xll.BDP(B84,"STANDARD_DEVIATION_3YR")</f>
        <v>#NAME?</v>
      </c>
      <c r="S84" s="68" t="e">
        <f ca="1">_xll.BDP(B84,"EQY_SHARPE_RATIO_3YR")</f>
        <v>#NAME?</v>
      </c>
      <c r="T84" s="68" t="e">
        <f ca="1">_xll.BDP(B84,"FUND_EXPENSE_RATIO")</f>
        <v>#NAME?</v>
      </c>
      <c r="U84" s="68" t="e">
        <f ca="1">_xll.BDP(B84,"TRACKING_ERROR")</f>
        <v>#NAME?</v>
      </c>
      <c r="V84" s="79"/>
    </row>
    <row r="85" spans="2:22" ht="38.1" hidden="1" customHeight="1" x14ac:dyDescent="0.7">
      <c r="B85" s="64" t="s">
        <v>121</v>
      </c>
      <c r="C85" s="65" t="s">
        <v>266</v>
      </c>
      <c r="D85" s="65" t="s">
        <v>267</v>
      </c>
      <c r="E85" s="65" t="e">
        <f ca="1">_xll.BDP(B85,"FUND_INCEPT_DT")</f>
        <v>#NAME?</v>
      </c>
      <c r="F85" s="65" t="e">
        <f ca="1">_xll.BDP(B85,"CRNCY")</f>
        <v>#NAME?</v>
      </c>
      <c r="G85" s="66" t="e">
        <f ca="1">_xll.BDP(B85,"LAST_PRICE")</f>
        <v>#NAME?</v>
      </c>
      <c r="H85" s="67" t="e">
        <f ca="1">_xll.BDP(B85,"30_DAY_AVERAGE_VOLUME_AT_TIME_RT")</f>
        <v>#NAME?</v>
      </c>
      <c r="I85" s="68" t="e">
        <f ca="1">_xll.BDP(B85,"AVERAGE_BID_ASK_SPREAD_%")</f>
        <v>#NAME?</v>
      </c>
      <c r="J85" s="69" t="e">
        <f ca="1">_xll.BDP(B85,"RT_PX_CHG_NET_1D")</f>
        <v>#NAME?</v>
      </c>
      <c r="K85" s="69" t="e">
        <f ca="1">_xll.BDP(B85,"RT_PX_CHG_PCT_1D")</f>
        <v>#NAME?</v>
      </c>
      <c r="L85" s="69" t="e">
        <f ca="1">_xll.BDP(B85,"CHG_PCT_WTD")</f>
        <v>#NAME?</v>
      </c>
      <c r="M85" s="69" t="e">
        <f ca="1">_xll.BDP(B85,"CHG_PCT_1M_RT")</f>
        <v>#NAME?</v>
      </c>
      <c r="N85" s="69" t="e">
        <f ca="1">_xll.BDP(B85,"CHG_PCT_3M_RT")</f>
        <v>#NAME?</v>
      </c>
      <c r="O85" s="69" t="e">
        <f ca="1">_xll.BDP(B85,"CHG_PCT_6M")</f>
        <v>#NAME?</v>
      </c>
      <c r="P85" s="69" t="e">
        <f ca="1">_xll.BDP(B85,"CHG_PCT_YTD")</f>
        <v>#NAME?</v>
      </c>
      <c r="Q85" s="69" t="e">
        <f ca="1">_xll.BDP(B85,"PRICE_CHANGE_1Y_PCT_RT")</f>
        <v>#NAME?</v>
      </c>
      <c r="R85" s="68" t="e">
        <f ca="1">_xll.BDP(B85,"STANDARD_DEVIATION_3YR")</f>
        <v>#NAME?</v>
      </c>
      <c r="S85" s="68" t="e">
        <f ca="1">_xll.BDP(B85,"EQY_SHARPE_RATIO_3YR")</f>
        <v>#NAME?</v>
      </c>
      <c r="T85" s="68" t="e">
        <f ca="1">_xll.BDP(B85,"FUND_EXPENSE_RATIO")</f>
        <v>#NAME?</v>
      </c>
      <c r="U85" s="68" t="e">
        <f ca="1">_xll.BDP(B85,"TRACKING_ERROR")</f>
        <v>#NAME?</v>
      </c>
      <c r="V85" s="79"/>
    </row>
    <row r="86" spans="2:22" ht="38.1" hidden="1" customHeight="1" x14ac:dyDescent="0.7">
      <c r="B86" s="80" t="s">
        <v>268</v>
      </c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9"/>
    </row>
    <row r="87" spans="2:22" ht="38.1" hidden="1" customHeight="1" x14ac:dyDescent="0.7">
      <c r="B87" s="64" t="s">
        <v>122</v>
      </c>
      <c r="C87" s="65" t="s">
        <v>269</v>
      </c>
      <c r="D87" s="65" t="s">
        <v>270</v>
      </c>
      <c r="E87" s="65" t="e">
        <f ca="1">_xll.BDP(B87,"FUND_INCEPT_DT")</f>
        <v>#NAME?</v>
      </c>
      <c r="F87" s="65" t="e">
        <f ca="1">_xll.BDP(B87,"CRNCY")</f>
        <v>#NAME?</v>
      </c>
      <c r="G87" s="66" t="e">
        <f ca="1">_xll.BDP(B87,"LAST_PRICE")</f>
        <v>#NAME?</v>
      </c>
      <c r="H87" s="67" t="e">
        <f ca="1">_xll.BDP(B87,"30_DAY_AVERAGE_VOLUME_AT_TIME_RT")</f>
        <v>#NAME?</v>
      </c>
      <c r="I87" s="68" t="e">
        <f ca="1">_xll.BDP(B87,"AVERAGE_BID_ASK_SPREAD_%")</f>
        <v>#NAME?</v>
      </c>
      <c r="J87" s="69" t="e">
        <f ca="1">_xll.BDP(B87,"RT_PX_CHG_NET_1D")</f>
        <v>#NAME?</v>
      </c>
      <c r="K87" s="69" t="e">
        <f ca="1">_xll.BDP(B87,"RT_PX_CHG_PCT_1D")</f>
        <v>#NAME?</v>
      </c>
      <c r="L87" s="69" t="e">
        <f ca="1">_xll.BDP(B87,"CHG_PCT_WTD")</f>
        <v>#NAME?</v>
      </c>
      <c r="M87" s="69" t="e">
        <f ca="1">_xll.BDP(B87,"CHG_PCT_1M_RT")</f>
        <v>#NAME?</v>
      </c>
      <c r="N87" s="69" t="e">
        <f ca="1">_xll.BDP(B87,"CHG_PCT_3M_RT")</f>
        <v>#NAME?</v>
      </c>
      <c r="O87" s="69" t="e">
        <f ca="1">_xll.BDP(B87,"CHG_PCT_6M")</f>
        <v>#NAME?</v>
      </c>
      <c r="P87" s="69" t="e">
        <f ca="1">_xll.BDP(B87,"CHG_PCT_YTD")</f>
        <v>#NAME?</v>
      </c>
      <c r="Q87" s="69" t="e">
        <f ca="1">_xll.BDP(B87,"PRICE_CHANGE_1Y_PCT_RT")</f>
        <v>#NAME?</v>
      </c>
      <c r="R87" s="68" t="e">
        <f ca="1">_xll.BDP(B87,"STANDARD_DEVIATION_3YR")</f>
        <v>#NAME?</v>
      </c>
      <c r="S87" s="68" t="e">
        <f ca="1">_xll.BDP(B87,"EQY_SHARPE_RATIO_3YR")</f>
        <v>#NAME?</v>
      </c>
      <c r="T87" s="68" t="e">
        <f ca="1">_xll.BDP(B87,"FUND_EXPENSE_RATIO")</f>
        <v>#NAME?</v>
      </c>
      <c r="U87" s="68" t="e">
        <f ca="1">_xll.BDP(B87,"TRACKING_ERROR")</f>
        <v>#NAME?</v>
      </c>
      <c r="V87" s="79"/>
    </row>
    <row r="88" spans="2:22" ht="38.1" hidden="1" customHeight="1" x14ac:dyDescent="0.7">
      <c r="B88" s="64" t="s">
        <v>123</v>
      </c>
      <c r="C88" s="65" t="s">
        <v>271</v>
      </c>
      <c r="D88" s="65" t="s">
        <v>272</v>
      </c>
      <c r="E88" s="65" t="e">
        <f ca="1">_xll.BDP(B88,"FUND_INCEPT_DT")</f>
        <v>#NAME?</v>
      </c>
      <c r="F88" s="65" t="e">
        <f ca="1">_xll.BDP(B88,"CRNCY")</f>
        <v>#NAME?</v>
      </c>
      <c r="G88" s="66" t="e">
        <f ca="1">_xll.BDP(B88,"LAST_PRICE")</f>
        <v>#NAME?</v>
      </c>
      <c r="H88" s="67" t="e">
        <f ca="1">_xll.BDP(B88,"30_DAY_AVERAGE_VOLUME_AT_TIME_RT")</f>
        <v>#NAME?</v>
      </c>
      <c r="I88" s="68" t="e">
        <f ca="1">_xll.BDP(B88,"AVERAGE_BID_ASK_SPREAD_%")</f>
        <v>#NAME?</v>
      </c>
      <c r="J88" s="69" t="e">
        <f ca="1">_xll.BDP(B88,"RT_PX_CHG_NET_1D")</f>
        <v>#NAME?</v>
      </c>
      <c r="K88" s="69" t="e">
        <f ca="1">_xll.BDP(B88,"RT_PX_CHG_PCT_1D")</f>
        <v>#NAME?</v>
      </c>
      <c r="L88" s="69" t="e">
        <f ca="1">_xll.BDP(B88,"CHG_PCT_WTD")</f>
        <v>#NAME?</v>
      </c>
      <c r="M88" s="69" t="e">
        <f ca="1">_xll.BDP(B88,"CHG_PCT_1M_RT")</f>
        <v>#NAME?</v>
      </c>
      <c r="N88" s="69" t="e">
        <f ca="1">_xll.BDP(B88,"CHG_PCT_3M_RT")</f>
        <v>#NAME?</v>
      </c>
      <c r="O88" s="69" t="e">
        <f ca="1">_xll.BDP(B88,"CHG_PCT_6M")</f>
        <v>#NAME?</v>
      </c>
      <c r="P88" s="69" t="e">
        <f ca="1">_xll.BDP(B88,"CHG_PCT_YTD")</f>
        <v>#NAME?</v>
      </c>
      <c r="Q88" s="69" t="e">
        <f ca="1">_xll.BDP(B88,"PRICE_CHANGE_1Y_PCT_RT")</f>
        <v>#NAME?</v>
      </c>
      <c r="R88" s="68" t="e">
        <f ca="1">_xll.BDP(B88,"STANDARD_DEVIATION_3YR")</f>
        <v>#NAME?</v>
      </c>
      <c r="S88" s="68" t="e">
        <f ca="1">_xll.BDP(B88,"EQY_SHARPE_RATIO_3YR")</f>
        <v>#NAME?</v>
      </c>
      <c r="T88" s="68" t="e">
        <f ca="1">_xll.BDP(B88,"FUND_EXPENSE_RATIO")</f>
        <v>#NAME?</v>
      </c>
      <c r="U88" s="68" t="e">
        <f ca="1">_xll.BDP(B88,"TRACKING_ERROR")</f>
        <v>#NAME?</v>
      </c>
      <c r="V88" s="79"/>
    </row>
    <row r="89" spans="2:22" ht="38.1" hidden="1" customHeight="1" x14ac:dyDescent="0.7">
      <c r="B89" s="64" t="s">
        <v>124</v>
      </c>
      <c r="C89" s="65" t="s">
        <v>273</v>
      </c>
      <c r="D89" s="65" t="s">
        <v>274</v>
      </c>
      <c r="E89" s="65" t="e">
        <f ca="1">_xll.BDP(B89,"FUND_INCEPT_DT")</f>
        <v>#NAME?</v>
      </c>
      <c r="F89" s="65" t="e">
        <f ca="1">_xll.BDP(B89,"CRNCY")</f>
        <v>#NAME?</v>
      </c>
      <c r="G89" s="66" t="e">
        <f ca="1">_xll.BDP(B89,"LAST_PRICE")</f>
        <v>#NAME?</v>
      </c>
      <c r="H89" s="67" t="e">
        <f ca="1">_xll.BDP(B89,"30_DAY_AVERAGE_VOLUME_AT_TIME_RT")</f>
        <v>#NAME?</v>
      </c>
      <c r="I89" s="68" t="e">
        <f ca="1">_xll.BDP(B89,"AVERAGE_BID_ASK_SPREAD_%")</f>
        <v>#NAME?</v>
      </c>
      <c r="J89" s="69" t="e">
        <f ca="1">_xll.BDP(B89,"RT_PX_CHG_NET_1D")</f>
        <v>#NAME?</v>
      </c>
      <c r="K89" s="69" t="e">
        <f ca="1">_xll.BDP(B89,"RT_PX_CHG_PCT_1D")</f>
        <v>#NAME?</v>
      </c>
      <c r="L89" s="69" t="e">
        <f ca="1">_xll.BDP(B89,"CHG_PCT_WTD")</f>
        <v>#NAME?</v>
      </c>
      <c r="M89" s="69" t="e">
        <f ca="1">_xll.BDP(B89,"CHG_PCT_1M_RT")</f>
        <v>#NAME?</v>
      </c>
      <c r="N89" s="69" t="e">
        <f ca="1">_xll.BDP(B89,"CHG_PCT_3M_RT")</f>
        <v>#NAME?</v>
      </c>
      <c r="O89" s="69" t="e">
        <f ca="1">_xll.BDP(B89,"CHG_PCT_6M")</f>
        <v>#NAME?</v>
      </c>
      <c r="P89" s="69" t="e">
        <f ca="1">_xll.BDP(B89,"CHG_PCT_YTD")</f>
        <v>#NAME?</v>
      </c>
      <c r="Q89" s="69" t="e">
        <f ca="1">_xll.BDP(B89,"PRICE_CHANGE_1Y_PCT_RT")</f>
        <v>#NAME?</v>
      </c>
      <c r="R89" s="68" t="e">
        <f ca="1">_xll.BDP(B89,"STANDARD_DEVIATION_3YR")</f>
        <v>#NAME?</v>
      </c>
      <c r="S89" s="68" t="e">
        <f ca="1">_xll.BDP(B89,"EQY_SHARPE_RATIO_3YR")</f>
        <v>#NAME?</v>
      </c>
      <c r="T89" s="68" t="e">
        <f ca="1">_xll.BDP(B89,"FUND_EXPENSE_RATIO")</f>
        <v>#NAME?</v>
      </c>
      <c r="U89" s="68" t="e">
        <f ca="1">_xll.BDP(B89,"TRACKING_ERROR")</f>
        <v>#NAME?</v>
      </c>
      <c r="V89" s="79"/>
    </row>
    <row r="90" spans="2:22" ht="38.1" hidden="1" customHeight="1" x14ac:dyDescent="0.7">
      <c r="B90" s="64" t="s">
        <v>125</v>
      </c>
      <c r="C90" s="65" t="s">
        <v>275</v>
      </c>
      <c r="D90" s="65" t="s">
        <v>276</v>
      </c>
      <c r="E90" s="65" t="e">
        <f ca="1">_xll.BDP(B90,"FUND_INCEPT_DT")</f>
        <v>#NAME?</v>
      </c>
      <c r="F90" s="65" t="e">
        <f ca="1">_xll.BDP(B90,"CRNCY")</f>
        <v>#NAME?</v>
      </c>
      <c r="G90" s="66" t="e">
        <f ca="1">_xll.BDP(B90,"LAST_PRICE")</f>
        <v>#NAME?</v>
      </c>
      <c r="H90" s="67" t="e">
        <f ca="1">_xll.BDP(B90,"30_DAY_AVERAGE_VOLUME_AT_TIME_RT")</f>
        <v>#NAME?</v>
      </c>
      <c r="I90" s="68" t="e">
        <f ca="1">_xll.BDP(B90,"AVERAGE_BID_ASK_SPREAD_%")</f>
        <v>#NAME?</v>
      </c>
      <c r="J90" s="69" t="e">
        <f ca="1">_xll.BDP(B90,"RT_PX_CHG_NET_1D")</f>
        <v>#NAME?</v>
      </c>
      <c r="K90" s="69" t="e">
        <f ca="1">_xll.BDP(B90,"RT_PX_CHG_PCT_1D")</f>
        <v>#NAME?</v>
      </c>
      <c r="L90" s="69" t="e">
        <f ca="1">_xll.BDP(B90,"CHG_PCT_WTD")</f>
        <v>#NAME?</v>
      </c>
      <c r="M90" s="69" t="e">
        <f ca="1">_xll.BDP(B90,"CHG_PCT_1M_RT")</f>
        <v>#NAME?</v>
      </c>
      <c r="N90" s="69" t="e">
        <f ca="1">_xll.BDP(B90,"CHG_PCT_3M_RT")</f>
        <v>#NAME?</v>
      </c>
      <c r="O90" s="69" t="e">
        <f ca="1">_xll.BDP(B90,"CHG_PCT_6M")</f>
        <v>#NAME?</v>
      </c>
      <c r="P90" s="69" t="e">
        <f ca="1">_xll.BDP(B90,"CHG_PCT_YTD")</f>
        <v>#NAME?</v>
      </c>
      <c r="Q90" s="69" t="e">
        <f ca="1">_xll.BDP(B90,"PRICE_CHANGE_1Y_PCT_RT")</f>
        <v>#NAME?</v>
      </c>
      <c r="R90" s="68" t="e">
        <f ca="1">_xll.BDP(B90,"STANDARD_DEVIATION_3YR")</f>
        <v>#NAME?</v>
      </c>
      <c r="S90" s="68" t="e">
        <f ca="1">_xll.BDP(B90,"EQY_SHARPE_RATIO_3YR")</f>
        <v>#NAME?</v>
      </c>
      <c r="T90" s="68" t="e">
        <f ca="1">_xll.BDP(B90,"FUND_EXPENSE_RATIO")</f>
        <v>#NAME?</v>
      </c>
      <c r="U90" s="68" t="e">
        <f ca="1">_xll.BDP(B90,"TRACKING_ERROR")</f>
        <v>#NAME?</v>
      </c>
      <c r="V90" s="79"/>
    </row>
    <row r="91" spans="2:22" ht="38.1" hidden="1" customHeight="1" x14ac:dyDescent="0.7">
      <c r="B91" s="80" t="s">
        <v>277</v>
      </c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9"/>
    </row>
    <row r="92" spans="2:22" ht="38.1" hidden="1" customHeight="1" x14ac:dyDescent="0.7">
      <c r="B92" s="64" t="s">
        <v>126</v>
      </c>
      <c r="C92" s="65" t="s">
        <v>278</v>
      </c>
      <c r="D92" s="65" t="s">
        <v>279</v>
      </c>
      <c r="E92" s="65" t="e">
        <f ca="1">_xll.BDP(B92,"FUND_INCEPT_DT")</f>
        <v>#NAME?</v>
      </c>
      <c r="F92" s="65" t="e">
        <f ca="1">_xll.BDP(B92,"CRNCY")</f>
        <v>#NAME?</v>
      </c>
      <c r="G92" s="66" t="e">
        <f ca="1">_xll.BDP(B92,"LAST_PRICE")</f>
        <v>#NAME?</v>
      </c>
      <c r="H92" s="67" t="e">
        <f ca="1">_xll.BDP(B92,"30_DAY_AVERAGE_VOLUME_AT_TIME_RT")</f>
        <v>#NAME?</v>
      </c>
      <c r="I92" s="68" t="e">
        <f ca="1">_xll.BDP(B92,"AVERAGE_BID_ASK_SPREAD_%")</f>
        <v>#NAME?</v>
      </c>
      <c r="J92" s="69" t="e">
        <f ca="1">_xll.BDP(B92,"RT_PX_CHG_NET_1D")</f>
        <v>#NAME?</v>
      </c>
      <c r="K92" s="69" t="e">
        <f ca="1">_xll.BDP(B92,"RT_PX_CHG_PCT_1D")</f>
        <v>#NAME?</v>
      </c>
      <c r="L92" s="69" t="e">
        <f ca="1">_xll.BDP(B92,"CHG_PCT_WTD")</f>
        <v>#NAME?</v>
      </c>
      <c r="M92" s="69" t="e">
        <f ca="1">_xll.BDP(B92,"CHG_PCT_1M_RT")</f>
        <v>#NAME?</v>
      </c>
      <c r="N92" s="69" t="e">
        <f ca="1">_xll.BDP(B92,"CHG_PCT_3M_RT")</f>
        <v>#NAME?</v>
      </c>
      <c r="O92" s="69" t="e">
        <f ca="1">_xll.BDP(B92,"CHG_PCT_6M")</f>
        <v>#NAME?</v>
      </c>
      <c r="P92" s="69" t="e">
        <f ca="1">_xll.BDP(B92,"CHG_PCT_YTD")</f>
        <v>#NAME?</v>
      </c>
      <c r="Q92" s="69" t="e">
        <f ca="1">_xll.BDP(B92,"PRICE_CHANGE_1Y_PCT_RT")</f>
        <v>#NAME?</v>
      </c>
      <c r="R92" s="68" t="e">
        <f ca="1">_xll.BDP(B92,"STANDARD_DEVIATION_3YR")</f>
        <v>#NAME?</v>
      </c>
      <c r="S92" s="68" t="e">
        <f ca="1">_xll.BDP(B92,"EQY_SHARPE_RATIO_3YR")</f>
        <v>#NAME?</v>
      </c>
      <c r="T92" s="68" t="e">
        <f ca="1">_xll.BDP(B92,"FUND_EXPENSE_RATIO")</f>
        <v>#NAME?</v>
      </c>
      <c r="U92" s="68" t="e">
        <f ca="1">_xll.BDP(B92,"TRACKING_ERROR")</f>
        <v>#NAME?</v>
      </c>
      <c r="V92" s="79"/>
    </row>
    <row r="93" spans="2:22" ht="38.1" hidden="1" customHeight="1" x14ac:dyDescent="0.7">
      <c r="B93" s="64" t="s">
        <v>127</v>
      </c>
      <c r="C93" s="65" t="s">
        <v>280</v>
      </c>
      <c r="D93" s="65" t="s">
        <v>281</v>
      </c>
      <c r="E93" s="65" t="e">
        <f ca="1">_xll.BDP(B93,"FUND_INCEPT_DT")</f>
        <v>#NAME?</v>
      </c>
      <c r="F93" s="65" t="e">
        <f ca="1">_xll.BDP(B93,"CRNCY")</f>
        <v>#NAME?</v>
      </c>
      <c r="G93" s="66" t="e">
        <f ca="1">_xll.BDP(B93,"LAST_PRICE")</f>
        <v>#NAME?</v>
      </c>
      <c r="H93" s="67" t="e">
        <f ca="1">_xll.BDP(B93,"30_DAY_AVERAGE_VOLUME_AT_TIME_RT")</f>
        <v>#NAME?</v>
      </c>
      <c r="I93" s="68" t="e">
        <f ca="1">_xll.BDP(B93,"AVERAGE_BID_ASK_SPREAD_%")</f>
        <v>#NAME?</v>
      </c>
      <c r="J93" s="69" t="e">
        <f ca="1">_xll.BDP(B93,"RT_PX_CHG_NET_1D")</f>
        <v>#NAME?</v>
      </c>
      <c r="K93" s="69" t="e">
        <f ca="1">_xll.BDP(B93,"RT_PX_CHG_PCT_1D")</f>
        <v>#NAME?</v>
      </c>
      <c r="L93" s="69" t="e">
        <f ca="1">_xll.BDP(B93,"CHG_PCT_WTD")</f>
        <v>#NAME?</v>
      </c>
      <c r="M93" s="69" t="e">
        <f ca="1">_xll.BDP(B93,"CHG_PCT_1M_RT")</f>
        <v>#NAME?</v>
      </c>
      <c r="N93" s="69" t="e">
        <f ca="1">_xll.BDP(B93,"CHG_PCT_3M_RT")</f>
        <v>#NAME?</v>
      </c>
      <c r="O93" s="69" t="e">
        <f ca="1">_xll.BDP(B93,"CHG_PCT_6M")</f>
        <v>#NAME?</v>
      </c>
      <c r="P93" s="69" t="e">
        <f ca="1">_xll.BDP(B93,"CHG_PCT_YTD")</f>
        <v>#NAME?</v>
      </c>
      <c r="Q93" s="69" t="e">
        <f ca="1">_xll.BDP(B93,"PRICE_CHANGE_1Y_PCT_RT")</f>
        <v>#NAME?</v>
      </c>
      <c r="R93" s="68" t="e">
        <f ca="1">_xll.BDP(B93,"STANDARD_DEVIATION_3YR")</f>
        <v>#NAME?</v>
      </c>
      <c r="S93" s="68" t="e">
        <f ca="1">_xll.BDP(B93,"EQY_SHARPE_RATIO_3YR")</f>
        <v>#NAME?</v>
      </c>
      <c r="T93" s="68" t="e">
        <f ca="1">_xll.BDP(B93,"FUND_EXPENSE_RATIO")</f>
        <v>#NAME?</v>
      </c>
      <c r="U93" s="68" t="e">
        <f ca="1">_xll.BDP(B93,"TRACKING_ERROR")</f>
        <v>#NAME?</v>
      </c>
      <c r="V93" s="79"/>
    </row>
    <row r="94" spans="2:22" ht="38.1" hidden="1" customHeight="1" x14ac:dyDescent="0.7">
      <c r="B94" s="64" t="s">
        <v>128</v>
      </c>
      <c r="C94" s="65" t="s">
        <v>282</v>
      </c>
      <c r="D94" s="65" t="s">
        <v>283</v>
      </c>
      <c r="E94" s="65" t="e">
        <f ca="1">_xll.BDP(B94,"FUND_INCEPT_DT")</f>
        <v>#NAME?</v>
      </c>
      <c r="F94" s="65" t="e">
        <f ca="1">_xll.BDP(B94,"CRNCY")</f>
        <v>#NAME?</v>
      </c>
      <c r="G94" s="66" t="e">
        <f ca="1">_xll.BDP(B94,"LAST_PRICE")</f>
        <v>#NAME?</v>
      </c>
      <c r="H94" s="67" t="e">
        <f ca="1">_xll.BDP(B94,"30_DAY_AVERAGE_VOLUME_AT_TIME_RT")</f>
        <v>#NAME?</v>
      </c>
      <c r="I94" s="68" t="e">
        <f ca="1">_xll.BDP(B94,"AVERAGE_BID_ASK_SPREAD_%")</f>
        <v>#NAME?</v>
      </c>
      <c r="J94" s="69" t="e">
        <f ca="1">_xll.BDP(B94,"RT_PX_CHG_NET_1D")</f>
        <v>#NAME?</v>
      </c>
      <c r="K94" s="69" t="e">
        <f ca="1">_xll.BDP(B94,"RT_PX_CHG_PCT_1D")</f>
        <v>#NAME?</v>
      </c>
      <c r="L94" s="69" t="e">
        <f ca="1">_xll.BDP(B94,"CHG_PCT_WTD")</f>
        <v>#NAME?</v>
      </c>
      <c r="M94" s="69" t="e">
        <f ca="1">_xll.BDP(B94,"CHG_PCT_1M_RT")</f>
        <v>#NAME?</v>
      </c>
      <c r="N94" s="69" t="e">
        <f ca="1">_xll.BDP(B94,"CHG_PCT_3M_RT")</f>
        <v>#NAME?</v>
      </c>
      <c r="O94" s="69" t="e">
        <f ca="1">_xll.BDP(B94,"CHG_PCT_6M")</f>
        <v>#NAME?</v>
      </c>
      <c r="P94" s="69" t="e">
        <f ca="1">_xll.BDP(B94,"CHG_PCT_YTD")</f>
        <v>#NAME?</v>
      </c>
      <c r="Q94" s="69" t="e">
        <f ca="1">_xll.BDP(B94,"PRICE_CHANGE_1Y_PCT_RT")</f>
        <v>#NAME?</v>
      </c>
      <c r="R94" s="68" t="e">
        <f ca="1">_xll.BDP(B94,"STANDARD_DEVIATION_3YR")</f>
        <v>#NAME?</v>
      </c>
      <c r="S94" s="68" t="e">
        <f ca="1">_xll.BDP(B94,"EQY_SHARPE_RATIO_3YR")</f>
        <v>#NAME?</v>
      </c>
      <c r="T94" s="68" t="e">
        <f ca="1">_xll.BDP(B94,"FUND_EXPENSE_RATIO")</f>
        <v>#NAME?</v>
      </c>
      <c r="U94" s="68" t="e">
        <f ca="1">_xll.BDP(B94,"TRACKING_ERROR")</f>
        <v>#NAME?</v>
      </c>
      <c r="V94" s="79"/>
    </row>
    <row r="95" spans="2:22" ht="38.1" hidden="1" customHeight="1" x14ac:dyDescent="0.7">
      <c r="B95" s="64" t="s">
        <v>129</v>
      </c>
      <c r="C95" s="65" t="s">
        <v>284</v>
      </c>
      <c r="D95" s="65" t="s">
        <v>285</v>
      </c>
      <c r="E95" s="65" t="e">
        <f ca="1">_xll.BDP(B95,"FUND_INCEPT_DT")</f>
        <v>#NAME?</v>
      </c>
      <c r="F95" s="65" t="e">
        <f ca="1">_xll.BDP(B95,"CRNCY")</f>
        <v>#NAME?</v>
      </c>
      <c r="G95" s="66" t="e">
        <f ca="1">_xll.BDP(B95,"LAST_PRICE")</f>
        <v>#NAME?</v>
      </c>
      <c r="H95" s="67" t="e">
        <f ca="1">_xll.BDP(B95,"30_DAY_AVERAGE_VOLUME_AT_TIME_RT")</f>
        <v>#NAME?</v>
      </c>
      <c r="I95" s="68" t="e">
        <f ca="1">_xll.BDP(B95,"AVERAGE_BID_ASK_SPREAD_%")</f>
        <v>#NAME?</v>
      </c>
      <c r="J95" s="69" t="e">
        <f ca="1">_xll.BDP(B95,"RT_PX_CHG_NET_1D")</f>
        <v>#NAME?</v>
      </c>
      <c r="K95" s="69" t="e">
        <f ca="1">_xll.BDP(B95,"RT_PX_CHG_PCT_1D")</f>
        <v>#NAME?</v>
      </c>
      <c r="L95" s="69" t="e">
        <f ca="1">_xll.BDP(B95,"CHG_PCT_WTD")</f>
        <v>#NAME?</v>
      </c>
      <c r="M95" s="69" t="e">
        <f ca="1">_xll.BDP(B95,"CHG_PCT_1M_RT")</f>
        <v>#NAME?</v>
      </c>
      <c r="N95" s="69" t="e">
        <f ca="1">_xll.BDP(B95,"CHG_PCT_3M_RT")</f>
        <v>#NAME?</v>
      </c>
      <c r="O95" s="69" t="e">
        <f ca="1">_xll.BDP(B95,"CHG_PCT_6M")</f>
        <v>#NAME?</v>
      </c>
      <c r="P95" s="69" t="e">
        <f ca="1">_xll.BDP(B95,"CHG_PCT_YTD")</f>
        <v>#NAME?</v>
      </c>
      <c r="Q95" s="69" t="e">
        <f ca="1">_xll.BDP(B95,"PRICE_CHANGE_1Y_PCT_RT")</f>
        <v>#NAME?</v>
      </c>
      <c r="R95" s="68" t="e">
        <f ca="1">_xll.BDP(B95,"STANDARD_DEVIATION_3YR")</f>
        <v>#NAME?</v>
      </c>
      <c r="S95" s="68" t="e">
        <f ca="1">_xll.BDP(B95,"EQY_SHARPE_RATIO_3YR")</f>
        <v>#NAME?</v>
      </c>
      <c r="T95" s="68" t="e">
        <f ca="1">_xll.BDP(B95,"FUND_EXPENSE_RATIO")</f>
        <v>#NAME?</v>
      </c>
      <c r="U95" s="68" t="e">
        <f ca="1">_xll.BDP(B95,"TRACKING_ERROR")</f>
        <v>#NAME?</v>
      </c>
      <c r="V95" s="79"/>
    </row>
    <row r="96" spans="2:22" ht="38.1" hidden="1" customHeight="1" x14ac:dyDescent="0.7">
      <c r="B96" s="64" t="s">
        <v>130</v>
      </c>
      <c r="C96" s="65" t="s">
        <v>286</v>
      </c>
      <c r="D96" s="65" t="s">
        <v>287</v>
      </c>
      <c r="E96" s="65" t="e">
        <f ca="1">_xll.BDP(B96,"FUND_INCEPT_DT")</f>
        <v>#NAME?</v>
      </c>
      <c r="F96" s="65" t="e">
        <f ca="1">_xll.BDP(B96,"CRNCY")</f>
        <v>#NAME?</v>
      </c>
      <c r="G96" s="66" t="e">
        <f ca="1">_xll.BDP(B96,"LAST_PRICE")</f>
        <v>#NAME?</v>
      </c>
      <c r="H96" s="67" t="e">
        <f ca="1">_xll.BDP(B96,"30_DAY_AVERAGE_VOLUME_AT_TIME_RT")</f>
        <v>#NAME?</v>
      </c>
      <c r="I96" s="68" t="e">
        <f ca="1">_xll.BDP(B96,"AVERAGE_BID_ASK_SPREAD_%")</f>
        <v>#NAME?</v>
      </c>
      <c r="J96" s="69" t="e">
        <f ca="1">_xll.BDP(B96,"RT_PX_CHG_NET_1D")</f>
        <v>#NAME?</v>
      </c>
      <c r="K96" s="69" t="e">
        <f ca="1">_xll.BDP(B96,"RT_PX_CHG_PCT_1D")</f>
        <v>#NAME?</v>
      </c>
      <c r="L96" s="69" t="e">
        <f ca="1">_xll.BDP(B96,"CHG_PCT_WTD")</f>
        <v>#NAME?</v>
      </c>
      <c r="M96" s="69" t="e">
        <f ca="1">_xll.BDP(B96,"CHG_PCT_1M_RT")</f>
        <v>#NAME?</v>
      </c>
      <c r="N96" s="69" t="e">
        <f ca="1">_xll.BDP(B96,"CHG_PCT_3M_RT")</f>
        <v>#NAME?</v>
      </c>
      <c r="O96" s="69" t="e">
        <f ca="1">_xll.BDP(B96,"CHG_PCT_6M")</f>
        <v>#NAME?</v>
      </c>
      <c r="P96" s="69" t="e">
        <f ca="1">_xll.BDP(B96,"CHG_PCT_YTD")</f>
        <v>#NAME?</v>
      </c>
      <c r="Q96" s="69" t="e">
        <f ca="1">_xll.BDP(B96,"PRICE_CHANGE_1Y_PCT_RT")</f>
        <v>#NAME?</v>
      </c>
      <c r="R96" s="68" t="e">
        <f ca="1">_xll.BDP(B96,"STANDARD_DEVIATION_3YR")</f>
        <v>#NAME?</v>
      </c>
      <c r="S96" s="68" t="e">
        <f ca="1">_xll.BDP(B96,"EQY_SHARPE_RATIO_3YR")</f>
        <v>#NAME?</v>
      </c>
      <c r="T96" s="68" t="e">
        <f ca="1">_xll.BDP(B96,"FUND_EXPENSE_RATIO")</f>
        <v>#NAME?</v>
      </c>
      <c r="U96" s="68" t="e">
        <f ca="1">_xll.BDP(B96,"TRACKING_ERROR")</f>
        <v>#NAME?</v>
      </c>
      <c r="V96" s="79"/>
    </row>
    <row r="97" spans="2:22" ht="38.1" hidden="1" customHeight="1" x14ac:dyDescent="0.7">
      <c r="B97" s="64" t="s">
        <v>131</v>
      </c>
      <c r="C97" s="65" t="s">
        <v>288</v>
      </c>
      <c r="D97" s="65" t="s">
        <v>289</v>
      </c>
      <c r="E97" s="65" t="e">
        <f ca="1">_xll.BDP(B97,"FUND_INCEPT_DT")</f>
        <v>#NAME?</v>
      </c>
      <c r="F97" s="65" t="e">
        <f ca="1">_xll.BDP(B97,"CRNCY")</f>
        <v>#NAME?</v>
      </c>
      <c r="G97" s="66" t="e">
        <f ca="1">_xll.BDP(B97,"LAST_PRICE")</f>
        <v>#NAME?</v>
      </c>
      <c r="H97" s="67" t="e">
        <f ca="1">_xll.BDP(B97,"30_DAY_AVERAGE_VOLUME_AT_TIME_RT")</f>
        <v>#NAME?</v>
      </c>
      <c r="I97" s="68" t="e">
        <f ca="1">_xll.BDP(B97,"AVERAGE_BID_ASK_SPREAD_%")</f>
        <v>#NAME?</v>
      </c>
      <c r="J97" s="69" t="e">
        <f ca="1">_xll.BDP(B97,"RT_PX_CHG_NET_1D")</f>
        <v>#NAME?</v>
      </c>
      <c r="K97" s="69" t="e">
        <f ca="1">_xll.BDP(B97,"RT_PX_CHG_PCT_1D")</f>
        <v>#NAME?</v>
      </c>
      <c r="L97" s="69" t="e">
        <f ca="1">_xll.BDP(B97,"CHG_PCT_WTD")</f>
        <v>#NAME?</v>
      </c>
      <c r="M97" s="69" t="e">
        <f ca="1">_xll.BDP(B97,"CHG_PCT_1M_RT")</f>
        <v>#NAME?</v>
      </c>
      <c r="N97" s="69" t="e">
        <f ca="1">_xll.BDP(B97,"CHG_PCT_3M_RT")</f>
        <v>#NAME?</v>
      </c>
      <c r="O97" s="69" t="e">
        <f ca="1">_xll.BDP(B97,"CHG_PCT_6M")</f>
        <v>#NAME?</v>
      </c>
      <c r="P97" s="69" t="e">
        <f ca="1">_xll.BDP(B97,"CHG_PCT_YTD")</f>
        <v>#NAME?</v>
      </c>
      <c r="Q97" s="69" t="e">
        <f ca="1">_xll.BDP(B97,"PRICE_CHANGE_1Y_PCT_RT")</f>
        <v>#NAME?</v>
      </c>
      <c r="R97" s="68" t="e">
        <f ca="1">_xll.BDP(B97,"STANDARD_DEVIATION_3YR")</f>
        <v>#NAME?</v>
      </c>
      <c r="S97" s="68" t="e">
        <f ca="1">_xll.BDP(B97,"EQY_SHARPE_RATIO_3YR")</f>
        <v>#NAME?</v>
      </c>
      <c r="T97" s="68" t="e">
        <f ca="1">_xll.BDP(B97,"FUND_EXPENSE_RATIO")</f>
        <v>#NAME?</v>
      </c>
      <c r="U97" s="68" t="e">
        <f ca="1">_xll.BDP(B97,"TRACKING_ERROR")</f>
        <v>#NAME?</v>
      </c>
      <c r="V97" s="79"/>
    </row>
    <row r="98" spans="2:22" ht="38.1" hidden="1" customHeight="1" x14ac:dyDescent="0.7">
      <c r="B98" s="64" t="s">
        <v>132</v>
      </c>
      <c r="C98" s="65" t="s">
        <v>290</v>
      </c>
      <c r="D98" s="65" t="s">
        <v>291</v>
      </c>
      <c r="E98" s="65" t="e">
        <f ca="1">_xll.BDP(B98,"FUND_INCEPT_DT")</f>
        <v>#NAME?</v>
      </c>
      <c r="F98" s="65" t="e">
        <f ca="1">_xll.BDP(B98,"CRNCY")</f>
        <v>#NAME?</v>
      </c>
      <c r="G98" s="66" t="e">
        <f ca="1">_xll.BDP(B98,"LAST_PRICE")</f>
        <v>#NAME?</v>
      </c>
      <c r="H98" s="67" t="e">
        <f ca="1">_xll.BDP(B98,"30_DAY_AVERAGE_VOLUME_AT_TIME_RT")</f>
        <v>#NAME?</v>
      </c>
      <c r="I98" s="68" t="e">
        <f ca="1">_xll.BDP(B98,"AVERAGE_BID_ASK_SPREAD_%")</f>
        <v>#NAME?</v>
      </c>
      <c r="J98" s="69" t="e">
        <f ca="1">_xll.BDP(B98,"RT_PX_CHG_NET_1D")</f>
        <v>#NAME?</v>
      </c>
      <c r="K98" s="69" t="e">
        <f ca="1">_xll.BDP(B98,"RT_PX_CHG_PCT_1D")</f>
        <v>#NAME?</v>
      </c>
      <c r="L98" s="69" t="e">
        <f ca="1">_xll.BDP(B98,"CHG_PCT_WTD")</f>
        <v>#NAME?</v>
      </c>
      <c r="M98" s="69" t="e">
        <f ca="1">_xll.BDP(B98,"CHG_PCT_1M_RT")</f>
        <v>#NAME?</v>
      </c>
      <c r="N98" s="69" t="e">
        <f ca="1">_xll.BDP(B98,"CHG_PCT_3M_RT")</f>
        <v>#NAME?</v>
      </c>
      <c r="O98" s="69" t="e">
        <f ca="1">_xll.BDP(B98,"CHG_PCT_6M")</f>
        <v>#NAME?</v>
      </c>
      <c r="P98" s="69" t="e">
        <f ca="1">_xll.BDP(B98,"CHG_PCT_YTD")</f>
        <v>#NAME?</v>
      </c>
      <c r="Q98" s="69" t="e">
        <f ca="1">_xll.BDP(B98,"PRICE_CHANGE_1Y_PCT_RT")</f>
        <v>#NAME?</v>
      </c>
      <c r="R98" s="68" t="e">
        <f ca="1">_xll.BDP(B98,"STANDARD_DEVIATION_3YR")</f>
        <v>#NAME?</v>
      </c>
      <c r="S98" s="68" t="e">
        <f ca="1">_xll.BDP(B98,"EQY_SHARPE_RATIO_3YR")</f>
        <v>#NAME?</v>
      </c>
      <c r="T98" s="68" t="e">
        <f ca="1">_xll.BDP(B98,"FUND_EXPENSE_RATIO")</f>
        <v>#NAME?</v>
      </c>
      <c r="U98" s="68" t="e">
        <f ca="1">_xll.BDP(B98,"TRACKING_ERROR")</f>
        <v>#NAME?</v>
      </c>
      <c r="V98" s="79"/>
    </row>
    <row r="99" spans="2:22" ht="38.1" hidden="1" customHeight="1" x14ac:dyDescent="0.7">
      <c r="B99" s="80" t="s">
        <v>292</v>
      </c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9"/>
    </row>
    <row r="100" spans="2:22" ht="38.1" hidden="1" customHeight="1" x14ac:dyDescent="0.7">
      <c r="B100" s="64" t="s">
        <v>133</v>
      </c>
      <c r="C100" s="65" t="s">
        <v>293</v>
      </c>
      <c r="D100" s="65" t="s">
        <v>237</v>
      </c>
      <c r="E100" s="65" t="e">
        <f ca="1">_xll.BDP(B100,"FUND_INCEPT_DT")</f>
        <v>#NAME?</v>
      </c>
      <c r="F100" s="65" t="e">
        <f ca="1">_xll.BDP(B100,"CRNCY")</f>
        <v>#NAME?</v>
      </c>
      <c r="G100" s="66" t="e">
        <f ca="1">_xll.BDP(B100,"LAST_PRICE")</f>
        <v>#NAME?</v>
      </c>
      <c r="H100" s="67" t="e">
        <f ca="1">_xll.BDP(B100,"30_DAY_AVERAGE_VOLUME_AT_TIME_RT")</f>
        <v>#NAME?</v>
      </c>
      <c r="I100" s="68" t="e">
        <f ca="1">_xll.BDP(B100,"AVERAGE_BID_ASK_SPREAD_%")</f>
        <v>#NAME?</v>
      </c>
      <c r="J100" s="69" t="e">
        <f ca="1">_xll.BDP(B100,"RT_PX_CHG_NET_1D")</f>
        <v>#NAME?</v>
      </c>
      <c r="K100" s="69" t="e">
        <f ca="1">_xll.BDP(B100,"RT_PX_CHG_PCT_1D")</f>
        <v>#NAME?</v>
      </c>
      <c r="L100" s="69" t="e">
        <f ca="1">_xll.BDP(B100,"CHG_PCT_WTD")</f>
        <v>#NAME?</v>
      </c>
      <c r="M100" s="69" t="e">
        <f ca="1">_xll.BDP(B100,"CHG_PCT_1M_RT")</f>
        <v>#NAME?</v>
      </c>
      <c r="N100" s="69" t="e">
        <f ca="1">_xll.BDP(B100,"CHG_PCT_3M_RT")</f>
        <v>#NAME?</v>
      </c>
      <c r="O100" s="69" t="e">
        <f ca="1">_xll.BDP(B100,"CHG_PCT_6M")</f>
        <v>#NAME?</v>
      </c>
      <c r="P100" s="69" t="e">
        <f ca="1">_xll.BDP(B100,"CHG_PCT_YTD")</f>
        <v>#NAME?</v>
      </c>
      <c r="Q100" s="69" t="e">
        <f ca="1">_xll.BDP(B100,"PRICE_CHANGE_1Y_PCT_RT")</f>
        <v>#NAME?</v>
      </c>
      <c r="R100" s="68" t="e">
        <f ca="1">_xll.BDP(B100,"STANDARD_DEVIATION_3YR")</f>
        <v>#NAME?</v>
      </c>
      <c r="S100" s="68" t="e">
        <f ca="1">_xll.BDP(B100,"EQY_SHARPE_RATIO_3YR")</f>
        <v>#NAME?</v>
      </c>
      <c r="T100" s="68" t="e">
        <f ca="1">_xll.BDP(B100,"FUND_EXPENSE_RATIO")</f>
        <v>#NAME?</v>
      </c>
      <c r="U100" s="68" t="e">
        <f ca="1">_xll.BDP(B100,"TRACKING_ERROR")</f>
        <v>#NAME?</v>
      </c>
      <c r="V100" s="79"/>
    </row>
    <row r="101" spans="2:22" ht="38.1" hidden="1" customHeight="1" x14ac:dyDescent="0.7">
      <c r="B101" s="64" t="s">
        <v>134</v>
      </c>
      <c r="C101" s="65" t="s">
        <v>294</v>
      </c>
      <c r="D101" s="65" t="s">
        <v>295</v>
      </c>
      <c r="E101" s="65" t="e">
        <f ca="1">_xll.BDP(B101,"FUND_INCEPT_DT")</f>
        <v>#NAME?</v>
      </c>
      <c r="F101" s="65" t="e">
        <f ca="1">_xll.BDP(B101,"CRNCY")</f>
        <v>#NAME?</v>
      </c>
      <c r="G101" s="66" t="e">
        <f ca="1">_xll.BDP(B101,"LAST_PRICE")</f>
        <v>#NAME?</v>
      </c>
      <c r="H101" s="67" t="e">
        <f ca="1">_xll.BDP(B101,"30_DAY_AVERAGE_VOLUME_AT_TIME_RT")</f>
        <v>#NAME?</v>
      </c>
      <c r="I101" s="68" t="e">
        <f ca="1">_xll.BDP(B101,"AVERAGE_BID_ASK_SPREAD_%")</f>
        <v>#NAME?</v>
      </c>
      <c r="J101" s="69" t="e">
        <f ca="1">_xll.BDP(B101,"RT_PX_CHG_NET_1D")</f>
        <v>#NAME?</v>
      </c>
      <c r="K101" s="69" t="e">
        <f ca="1">_xll.BDP(B101,"RT_PX_CHG_PCT_1D")</f>
        <v>#NAME?</v>
      </c>
      <c r="L101" s="69" t="e">
        <f ca="1">_xll.BDP(B101,"CHG_PCT_WTD")</f>
        <v>#NAME?</v>
      </c>
      <c r="M101" s="69" t="e">
        <f ca="1">_xll.BDP(B101,"CHG_PCT_1M_RT")</f>
        <v>#NAME?</v>
      </c>
      <c r="N101" s="69" t="e">
        <f ca="1">_xll.BDP(B101,"CHG_PCT_3M_RT")</f>
        <v>#NAME?</v>
      </c>
      <c r="O101" s="69" t="e">
        <f ca="1">_xll.BDP(B101,"CHG_PCT_6M")</f>
        <v>#NAME?</v>
      </c>
      <c r="P101" s="69" t="e">
        <f ca="1">_xll.BDP(B101,"CHG_PCT_YTD")</f>
        <v>#NAME?</v>
      </c>
      <c r="Q101" s="69" t="e">
        <f ca="1">_xll.BDP(B101,"PRICE_CHANGE_1Y_PCT_RT")</f>
        <v>#NAME?</v>
      </c>
      <c r="R101" s="68" t="e">
        <f ca="1">_xll.BDP(B101,"STANDARD_DEVIATION_3YR")</f>
        <v>#NAME?</v>
      </c>
      <c r="S101" s="68" t="e">
        <f ca="1">_xll.BDP(B101,"EQY_SHARPE_RATIO_3YR")</f>
        <v>#NAME?</v>
      </c>
      <c r="T101" s="68" t="e">
        <f ca="1">_xll.BDP(B101,"FUND_EXPENSE_RATIO")</f>
        <v>#NAME?</v>
      </c>
      <c r="U101" s="68" t="e">
        <f ca="1">_xll.BDP(B101,"TRACKING_ERROR")</f>
        <v>#NAME?</v>
      </c>
      <c r="V101" s="79"/>
    </row>
    <row r="102" spans="2:22" ht="38.1" hidden="1" customHeight="1" x14ac:dyDescent="0.7">
      <c r="B102" s="64" t="s">
        <v>135</v>
      </c>
      <c r="C102" s="65" t="s">
        <v>296</v>
      </c>
      <c r="D102" s="65" t="s">
        <v>297</v>
      </c>
      <c r="E102" s="65" t="e">
        <f ca="1">_xll.BDP(B102,"FUND_INCEPT_DT")</f>
        <v>#NAME?</v>
      </c>
      <c r="F102" s="65" t="e">
        <f ca="1">_xll.BDP(B102,"CRNCY")</f>
        <v>#NAME?</v>
      </c>
      <c r="G102" s="66" t="e">
        <f ca="1">_xll.BDP(B102,"LAST_PRICE")</f>
        <v>#NAME?</v>
      </c>
      <c r="H102" s="67" t="e">
        <f ca="1">_xll.BDP(B102,"30_DAY_AVERAGE_VOLUME_AT_TIME_RT")</f>
        <v>#NAME?</v>
      </c>
      <c r="I102" s="68" t="e">
        <f ca="1">_xll.BDP(B102,"AVERAGE_BID_ASK_SPREAD_%")</f>
        <v>#NAME?</v>
      </c>
      <c r="J102" s="69" t="e">
        <f ca="1">_xll.BDP(B102,"RT_PX_CHG_NET_1D")</f>
        <v>#NAME?</v>
      </c>
      <c r="K102" s="69" t="e">
        <f ca="1">_xll.BDP(B102,"RT_PX_CHG_PCT_1D")</f>
        <v>#NAME?</v>
      </c>
      <c r="L102" s="69" t="e">
        <f ca="1">_xll.BDP(B102,"CHG_PCT_WTD")</f>
        <v>#NAME?</v>
      </c>
      <c r="M102" s="69" t="e">
        <f ca="1">_xll.BDP(B102,"CHG_PCT_1M_RT")</f>
        <v>#NAME?</v>
      </c>
      <c r="N102" s="69" t="e">
        <f ca="1">_xll.BDP(B102,"CHG_PCT_3M_RT")</f>
        <v>#NAME?</v>
      </c>
      <c r="O102" s="69" t="e">
        <f ca="1">_xll.BDP(B102,"CHG_PCT_6M")</f>
        <v>#NAME?</v>
      </c>
      <c r="P102" s="69" t="e">
        <f ca="1">_xll.BDP(B102,"CHG_PCT_YTD")</f>
        <v>#NAME?</v>
      </c>
      <c r="Q102" s="69" t="e">
        <f ca="1">_xll.BDP(B102,"PRICE_CHANGE_1Y_PCT_RT")</f>
        <v>#NAME?</v>
      </c>
      <c r="R102" s="68" t="e">
        <f ca="1">_xll.BDP(B102,"STANDARD_DEVIATION_3YR")</f>
        <v>#NAME?</v>
      </c>
      <c r="S102" s="68" t="e">
        <f ca="1">_xll.BDP(B102,"EQY_SHARPE_RATIO_3YR")</f>
        <v>#NAME?</v>
      </c>
      <c r="T102" s="68" t="e">
        <f ca="1">_xll.BDP(B102,"FUND_EXPENSE_RATIO")</f>
        <v>#NAME?</v>
      </c>
      <c r="U102" s="68" t="e">
        <f ca="1">_xll.BDP(B102,"TRACKING_ERROR")</f>
        <v>#NAME?</v>
      </c>
      <c r="V102" s="79"/>
    </row>
    <row r="103" spans="2:22" ht="38.1" hidden="1" customHeight="1" x14ac:dyDescent="0.7">
      <c r="B103" s="64" t="s">
        <v>136</v>
      </c>
      <c r="C103" s="65" t="s">
        <v>298</v>
      </c>
      <c r="D103" s="65" t="s">
        <v>299</v>
      </c>
      <c r="E103" s="65"/>
      <c r="F103" s="65" t="e">
        <f ca="1">_xll.BDP(B103,"CRNCY")</f>
        <v>#NAME?</v>
      </c>
      <c r="G103" s="66" t="e">
        <f ca="1">_xll.BDP(B103,"LAST_PRICE")</f>
        <v>#NAME?</v>
      </c>
      <c r="H103" s="67" t="e">
        <f ca="1">_xll.BDP(B103,"30_DAY_AVERAGE_VOLUME_AT_TIME_RT")</f>
        <v>#NAME?</v>
      </c>
      <c r="I103" s="68" t="e">
        <f ca="1">_xll.BDP(B103,"AVERAGE_BID_ASK_SPREAD_%")</f>
        <v>#NAME?</v>
      </c>
      <c r="J103" s="69" t="e">
        <f ca="1">_xll.BDP(B103,"RT_PX_CHG_NET_1D")</f>
        <v>#NAME?</v>
      </c>
      <c r="K103" s="69" t="e">
        <f ca="1">_xll.BDP(B103,"RT_PX_CHG_PCT_1D")</f>
        <v>#NAME?</v>
      </c>
      <c r="L103" s="69" t="e">
        <f ca="1">_xll.BDP(B103,"CHG_PCT_WTD")</f>
        <v>#NAME?</v>
      </c>
      <c r="M103" s="69" t="e">
        <f ca="1">_xll.BDP(B103,"CHG_PCT_1M_RT")</f>
        <v>#NAME?</v>
      </c>
      <c r="N103" s="69" t="e">
        <f ca="1">_xll.BDP(B103,"CHG_PCT_3M_RT")</f>
        <v>#NAME?</v>
      </c>
      <c r="O103" s="69" t="e">
        <f ca="1">_xll.BDP(B103,"CHG_PCT_6M")</f>
        <v>#NAME?</v>
      </c>
      <c r="P103" s="69" t="e">
        <f ca="1">_xll.BDP(B103,"CHG_PCT_YTD")</f>
        <v>#NAME?</v>
      </c>
      <c r="Q103" s="69" t="e">
        <f ca="1">_xll.BDP(B103,"PRICE_CHANGE_1Y_PCT_RT")</f>
        <v>#NAME?</v>
      </c>
      <c r="R103" s="68" t="e">
        <f ca="1">_xll.BDP(B103,"STANDARD_DEVIATION_3YR")</f>
        <v>#NAME?</v>
      </c>
      <c r="S103" s="68" t="e">
        <f ca="1">_xll.BDP(B103,"EQY_SHARPE_RATIO_3YR")</f>
        <v>#NAME?</v>
      </c>
      <c r="T103" s="68" t="e">
        <f ca="1">_xll.BDP(B103,"FUND_EXPENSE_RATIO")</f>
        <v>#NAME?</v>
      </c>
      <c r="U103" s="68" t="e">
        <f ca="1">_xll.BDP(B103,"TRACKING_ERROR")</f>
        <v>#NAME?</v>
      </c>
      <c r="V103" s="79"/>
    </row>
    <row r="104" spans="2:22" ht="38.1" hidden="1" customHeight="1" x14ac:dyDescent="0.7">
      <c r="B104" s="64" t="s">
        <v>137</v>
      </c>
      <c r="C104" s="65" t="s">
        <v>300</v>
      </c>
      <c r="D104" s="65" t="s">
        <v>301</v>
      </c>
      <c r="E104" s="65" t="e">
        <f ca="1">_xll.BDP(B104,"FUND_INCEPT_DT")</f>
        <v>#NAME?</v>
      </c>
      <c r="F104" s="65" t="e">
        <f ca="1">_xll.BDP(B104,"CRNCY")</f>
        <v>#NAME?</v>
      </c>
      <c r="G104" s="66" t="e">
        <f ca="1">_xll.BDP(B104,"LAST_PRICE")</f>
        <v>#NAME?</v>
      </c>
      <c r="H104" s="67" t="e">
        <f ca="1">_xll.BDP(B104,"30_DAY_AVERAGE_VOLUME_AT_TIME_RT")</f>
        <v>#NAME?</v>
      </c>
      <c r="I104" s="68" t="e">
        <f ca="1">_xll.BDP(B104,"AVERAGE_BID_ASK_SPREAD_%")</f>
        <v>#NAME?</v>
      </c>
      <c r="J104" s="69" t="e">
        <f ca="1">_xll.BDP(B104,"RT_PX_CHG_NET_1D")</f>
        <v>#NAME?</v>
      </c>
      <c r="K104" s="69" t="e">
        <f ca="1">_xll.BDP(B104,"RT_PX_CHG_PCT_1D")</f>
        <v>#NAME?</v>
      </c>
      <c r="L104" s="69" t="e">
        <f ca="1">_xll.BDP(B104,"CHG_PCT_WTD")</f>
        <v>#NAME?</v>
      </c>
      <c r="M104" s="69" t="e">
        <f ca="1">_xll.BDP(B104,"CHG_PCT_1M_RT")</f>
        <v>#NAME?</v>
      </c>
      <c r="N104" s="69" t="e">
        <f ca="1">_xll.BDP(B104,"CHG_PCT_3M_RT")</f>
        <v>#NAME?</v>
      </c>
      <c r="O104" s="69" t="e">
        <f ca="1">_xll.BDP(B104,"CHG_PCT_6M")</f>
        <v>#NAME?</v>
      </c>
      <c r="P104" s="69" t="e">
        <f ca="1">_xll.BDP(B104,"CHG_PCT_YTD")</f>
        <v>#NAME?</v>
      </c>
      <c r="Q104" s="69" t="e">
        <f ca="1">_xll.BDP(B104,"PRICE_CHANGE_1Y_PCT_RT")</f>
        <v>#NAME?</v>
      </c>
      <c r="R104" s="68" t="e">
        <f ca="1">_xll.BDP(B104,"STANDARD_DEVIATION_3YR")</f>
        <v>#NAME?</v>
      </c>
      <c r="S104" s="68" t="e">
        <f ca="1">_xll.BDP(B104,"EQY_SHARPE_RATIO_3YR")</f>
        <v>#NAME?</v>
      </c>
      <c r="T104" s="68" t="e">
        <f ca="1">_xll.BDP(B104,"FUND_EXPENSE_RATIO")</f>
        <v>#NAME?</v>
      </c>
      <c r="U104" s="68" t="e">
        <f ca="1">_xll.BDP(B104,"TRACKING_ERROR")</f>
        <v>#NAME?</v>
      </c>
      <c r="V104" s="79"/>
    </row>
    <row r="105" spans="2:22" ht="38.1" hidden="1" customHeight="1" x14ac:dyDescent="0.7">
      <c r="B105" s="64" t="s">
        <v>138</v>
      </c>
      <c r="C105" s="65" t="s">
        <v>302</v>
      </c>
      <c r="D105" s="65" t="s">
        <v>303</v>
      </c>
      <c r="E105" s="65" t="e">
        <f ca="1">_xll.BDP(B105,"FUND_INCEPT_DT")</f>
        <v>#NAME?</v>
      </c>
      <c r="F105" s="65" t="e">
        <f ca="1">_xll.BDP(B105,"CRNCY")</f>
        <v>#NAME?</v>
      </c>
      <c r="G105" s="66" t="e">
        <f ca="1">_xll.BDP(B105,"LAST_PRICE")</f>
        <v>#NAME?</v>
      </c>
      <c r="H105" s="67" t="e">
        <f ca="1">_xll.BDP(B105,"30_DAY_AVERAGE_VOLUME_AT_TIME_RT")</f>
        <v>#NAME?</v>
      </c>
      <c r="I105" s="68" t="e">
        <f ca="1">_xll.BDP(B105,"AVERAGE_BID_ASK_SPREAD_%")</f>
        <v>#NAME?</v>
      </c>
      <c r="J105" s="69" t="e">
        <f ca="1">_xll.BDP(B105,"RT_PX_CHG_NET_1D")</f>
        <v>#NAME?</v>
      </c>
      <c r="K105" s="69" t="e">
        <f ca="1">_xll.BDP(B105,"RT_PX_CHG_PCT_1D")</f>
        <v>#NAME?</v>
      </c>
      <c r="L105" s="69" t="e">
        <f ca="1">_xll.BDP(B105,"CHG_PCT_WTD")</f>
        <v>#NAME?</v>
      </c>
      <c r="M105" s="69" t="e">
        <f ca="1">_xll.BDP(B105,"CHG_PCT_1M_RT")</f>
        <v>#NAME?</v>
      </c>
      <c r="N105" s="69" t="e">
        <f ca="1">_xll.BDP(B105,"CHG_PCT_3M_RT")</f>
        <v>#NAME?</v>
      </c>
      <c r="O105" s="69" t="e">
        <f ca="1">_xll.BDP(B105,"CHG_PCT_6M")</f>
        <v>#NAME?</v>
      </c>
      <c r="P105" s="69" t="e">
        <f ca="1">_xll.BDP(B105,"CHG_PCT_YTD")</f>
        <v>#NAME?</v>
      </c>
      <c r="Q105" s="69" t="e">
        <f ca="1">_xll.BDP(B105,"PRICE_CHANGE_1Y_PCT_RT")</f>
        <v>#NAME?</v>
      </c>
      <c r="R105" s="68" t="e">
        <f ca="1">_xll.BDP(B105,"STANDARD_DEVIATION_3YR")</f>
        <v>#NAME?</v>
      </c>
      <c r="S105" s="68" t="e">
        <f ca="1">_xll.BDP(B105,"EQY_SHARPE_RATIO_3YR")</f>
        <v>#NAME?</v>
      </c>
      <c r="T105" s="68" t="e">
        <f ca="1">_xll.BDP(B105,"FUND_EXPENSE_RATIO")</f>
        <v>#NAME?</v>
      </c>
      <c r="U105" s="68" t="e">
        <f ca="1">_xll.BDP(B105,"TRACKING_ERROR")</f>
        <v>#NAME?</v>
      </c>
      <c r="V105" s="79"/>
    </row>
    <row r="107" spans="2:22" s="72" customFormat="1" ht="38.1" customHeight="1" x14ac:dyDescent="0.7">
      <c r="B107" s="81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</row>
    <row r="108" spans="2:22" s="72" customFormat="1" ht="38.1" customHeight="1" x14ac:dyDescent="0.7">
      <c r="B108" s="81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>
        <v>26</v>
      </c>
    </row>
    <row r="109" spans="2:22" s="72" customFormat="1" ht="38.1" customHeight="1" x14ac:dyDescent="0.7">
      <c r="B109" s="73"/>
    </row>
    <row r="110" spans="2:22" s="72" customFormat="1" ht="38.1" customHeight="1" x14ac:dyDescent="0.7">
      <c r="B110" s="73"/>
    </row>
    <row r="111" spans="2:22" s="72" customFormat="1" ht="38.1" customHeight="1" x14ac:dyDescent="0.7">
      <c r="B111" s="73"/>
    </row>
    <row r="112" spans="2:22" s="72" customFormat="1" ht="38.1" customHeight="1" x14ac:dyDescent="0.7">
      <c r="B112" s="73"/>
    </row>
    <row r="113" spans="2:2" s="72" customFormat="1" ht="38.1" customHeight="1" x14ac:dyDescent="0.7">
      <c r="B113" s="73"/>
    </row>
    <row r="114" spans="2:2" s="72" customFormat="1" ht="38.1" customHeight="1" x14ac:dyDescent="0.7">
      <c r="B114" s="73"/>
    </row>
    <row r="115" spans="2:2" s="72" customFormat="1" ht="38.1" customHeight="1" x14ac:dyDescent="0.7">
      <c r="B115" s="73"/>
    </row>
  </sheetData>
  <printOptions horizontalCentered="1" verticalCentered="1"/>
  <pageMargins left="0" right="0" top="0" bottom="0" header="0" footer="0"/>
  <pageSetup paperSize="3" scale="24" orientation="landscape" r:id="rId1"/>
  <rowBreaks count="2" manualBreakCount="2">
    <brk id="57" min="1" max="20" man="1"/>
    <brk id="64" min="1" max="20" man="1"/>
  </rowBreaks>
  <colBreaks count="2" manualBreakCount="2">
    <brk id="4" max="104" man="1"/>
    <brk id="22" max="1048575" man="1"/>
  </colBreaks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4"/>
  <sheetViews>
    <sheetView topLeftCell="B73" zoomScale="25" zoomScaleNormal="25" zoomScaleSheetLayoutView="10" workbookViewId="0">
      <selection activeCell="D106" sqref="D106"/>
    </sheetView>
  </sheetViews>
  <sheetFormatPr baseColWidth="10" defaultColWidth="66.85546875" defaultRowHeight="38.1" customHeight="1" x14ac:dyDescent="0.5"/>
  <cols>
    <col min="1" max="1" width="66.85546875" style="25"/>
    <col min="2" max="2" width="66.85546875" style="26"/>
    <col min="3" max="3" width="109.28515625" style="26" bestFit="1" customWidth="1"/>
    <col min="4" max="4" width="66.85546875" style="26" customWidth="1"/>
    <col min="5" max="5" width="41.140625" style="26" customWidth="1"/>
    <col min="6" max="6" width="28.140625" style="26" bestFit="1" customWidth="1"/>
    <col min="7" max="7" width="23" style="26" bestFit="1" customWidth="1"/>
    <col min="8" max="8" width="28.5703125" style="26" customWidth="1"/>
    <col min="9" max="9" width="33.140625" style="26" customWidth="1"/>
    <col min="10" max="10" width="32.140625" style="26" bestFit="1" customWidth="1"/>
    <col min="11" max="11" width="31.5703125" style="26" bestFit="1" customWidth="1"/>
    <col min="12" max="12" width="24.7109375" style="26" bestFit="1" customWidth="1"/>
    <col min="13" max="13" width="32.7109375" style="26" bestFit="1" customWidth="1"/>
    <col min="14" max="15" width="33.85546875" style="26" bestFit="1" customWidth="1"/>
    <col min="16" max="21" width="34.28515625" style="26" customWidth="1"/>
    <col min="22" max="16384" width="66.85546875" style="26"/>
  </cols>
  <sheetData>
    <row r="1" spans="2:23" s="25" customFormat="1" ht="33.75" x14ac:dyDescent="0.5"/>
    <row r="2" spans="2:23" s="25" customFormat="1" ht="33.75" x14ac:dyDescent="0.5">
      <c r="C2" s="32"/>
    </row>
    <row r="3" spans="2:23" s="25" customFormat="1" ht="33.75" x14ac:dyDescent="0.5">
      <c r="B3" s="32" t="s">
        <v>22</v>
      </c>
      <c r="C3" s="31"/>
    </row>
    <row r="4" spans="2:23" s="25" customFormat="1" ht="33.75" x14ac:dyDescent="0.5">
      <c r="B4" s="31">
        <v>44043.618703472224</v>
      </c>
    </row>
    <row r="5" spans="2:23" ht="101.25" x14ac:dyDescent="0.5">
      <c r="B5" s="30" t="s">
        <v>0</v>
      </c>
      <c r="C5" s="29" t="s">
        <v>40</v>
      </c>
      <c r="D5" s="29" t="s">
        <v>41</v>
      </c>
      <c r="E5" s="29" t="s">
        <v>37</v>
      </c>
      <c r="F5" s="29" t="s">
        <v>42</v>
      </c>
      <c r="G5" s="29" t="s">
        <v>43</v>
      </c>
      <c r="H5" s="29" t="s">
        <v>38</v>
      </c>
      <c r="I5" s="29" t="s">
        <v>44</v>
      </c>
      <c r="J5" s="29" t="s">
        <v>45</v>
      </c>
      <c r="K5" s="29" t="s">
        <v>46</v>
      </c>
      <c r="L5" s="29" t="s">
        <v>47</v>
      </c>
      <c r="M5" s="29" t="s">
        <v>48</v>
      </c>
      <c r="N5" s="29" t="s">
        <v>49</v>
      </c>
      <c r="O5" s="29" t="s">
        <v>50</v>
      </c>
      <c r="P5" s="29" t="s">
        <v>51</v>
      </c>
      <c r="Q5" s="29" t="s">
        <v>52</v>
      </c>
      <c r="R5" s="29" t="s">
        <v>53</v>
      </c>
      <c r="S5" s="29" t="s">
        <v>54</v>
      </c>
      <c r="T5" s="29" t="s">
        <v>39</v>
      </c>
      <c r="U5" s="28" t="s">
        <v>55</v>
      </c>
      <c r="V5" s="25"/>
      <c r="W5" s="25"/>
    </row>
    <row r="6" spans="2:23" ht="38.1" customHeight="1" x14ac:dyDescent="0.5">
      <c r="B6" s="27" t="s">
        <v>56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4"/>
      <c r="V6" s="25"/>
      <c r="W6" s="25"/>
    </row>
    <row r="7" spans="2:23" ht="38.1" customHeight="1" x14ac:dyDescent="0.5">
      <c r="B7" s="27" t="s">
        <v>304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W7" s="25"/>
    </row>
    <row r="8" spans="2:23" ht="38.1" customHeight="1" x14ac:dyDescent="0.5">
      <c r="B8" s="23" t="s">
        <v>57</v>
      </c>
      <c r="C8" s="23" t="s">
        <v>139</v>
      </c>
      <c r="D8" s="23" t="s">
        <v>140</v>
      </c>
      <c r="E8" s="23" t="e">
        <f ca="1">_xll.BDP(B8,"FUND_INCEPT_DT")</f>
        <v>#NAME?</v>
      </c>
      <c r="F8" s="23" t="e">
        <f ca="1">_xll.BDP(B8,"CRNCY")</f>
        <v>#NAME?</v>
      </c>
      <c r="G8" s="35" t="e">
        <f ca="1">_xll.BDP(B8,"LAST_PRICE")</f>
        <v>#NAME?</v>
      </c>
      <c r="H8" s="36" t="e">
        <f ca="1">_xll.BDP(B8,"30_DAY_AVERAGE_VOLUME_AT_TIME_RT")</f>
        <v>#NAME?</v>
      </c>
      <c r="I8" s="37" t="e">
        <f ca="1">_xll.BDP(B8,"AVERAGE_BID_ASK_SPREAD_%")</f>
        <v>#NAME?</v>
      </c>
      <c r="J8" s="38" t="e">
        <f ca="1">_xll.BDP(B8,"RT_PX_CHG_NET_1D")</f>
        <v>#NAME?</v>
      </c>
      <c r="K8" s="38" t="e">
        <f ca="1">_xll.BDP(B8,"RT_PX_CHG_PCT_1D")</f>
        <v>#NAME?</v>
      </c>
      <c r="L8" s="38" t="e">
        <f ca="1">_xll.BDP(B8,"CHG_PCT_WTD")</f>
        <v>#NAME?</v>
      </c>
      <c r="M8" s="38" t="e">
        <f ca="1">_xll.BDP(B8,"CHG_PCT_1M_RT")</f>
        <v>#NAME?</v>
      </c>
      <c r="N8" s="38" t="e">
        <f ca="1">_xll.BDP(B8,"CHG_PCT_3M_RT")</f>
        <v>#NAME?</v>
      </c>
      <c r="O8" s="38" t="e">
        <f ca="1">_xll.BDP(B8,"CHG_PCT_6M")</f>
        <v>#NAME?</v>
      </c>
      <c r="P8" s="38" t="e">
        <f ca="1">_xll.BDP(B8,"CHG_PCT_YTD")</f>
        <v>#NAME?</v>
      </c>
      <c r="Q8" s="38" t="e">
        <f ca="1">_xll.BDP(B8,"PRICE_CHANGE_1Y_PCT_RT")</f>
        <v>#NAME?</v>
      </c>
      <c r="R8" s="37" t="e">
        <f ca="1">_xll.BDP(B8,"STANDARD_DEVIATION_3YR")</f>
        <v>#NAME?</v>
      </c>
      <c r="S8" s="37" t="e">
        <f ca="1">_xll.BDP(B8,"EQY_SHARPE_RATIO_3YR")</f>
        <v>#NAME?</v>
      </c>
      <c r="T8" s="37" t="e">
        <f ca="1">_xll.BDP(B8,"FUND_EXPENSE_RATIO")</f>
        <v>#NAME?</v>
      </c>
      <c r="U8" s="39" t="e">
        <f ca="1">_xll.BDP(B8,"TRACKING_ERROR")</f>
        <v>#NAME?</v>
      </c>
      <c r="V8" s="25"/>
      <c r="W8" s="25"/>
    </row>
    <row r="9" spans="2:23" ht="38.1" customHeight="1" x14ac:dyDescent="0.5">
      <c r="B9" s="23" t="s">
        <v>58</v>
      </c>
      <c r="C9" s="23" t="s">
        <v>141</v>
      </c>
      <c r="D9" s="23" t="s">
        <v>142</v>
      </c>
      <c r="E9" s="23" t="e">
        <f ca="1">_xll.BDP(B9,"FUND_INCEPT_DT")</f>
        <v>#NAME?</v>
      </c>
      <c r="F9" s="23" t="e">
        <f ca="1">_xll.BDP(B9,"CRNCY")</f>
        <v>#NAME?</v>
      </c>
      <c r="G9" s="35" t="e">
        <f ca="1">_xll.BDP(B9,"LAST_PRICE")</f>
        <v>#NAME?</v>
      </c>
      <c r="H9" s="36" t="e">
        <f ca="1">_xll.BDP(B9,"30_DAY_AVERAGE_VOLUME_AT_TIME_RT")</f>
        <v>#NAME?</v>
      </c>
      <c r="I9" s="37" t="e">
        <f ca="1">_xll.BDP(B9,"AVERAGE_BID_ASK_SPREAD_%")</f>
        <v>#NAME?</v>
      </c>
      <c r="J9" s="38" t="e">
        <f ca="1">_xll.BDP(B9,"RT_PX_CHG_NET_1D")</f>
        <v>#NAME?</v>
      </c>
      <c r="K9" s="38" t="e">
        <f ca="1">_xll.BDP(B9,"RT_PX_CHG_PCT_1D")</f>
        <v>#NAME?</v>
      </c>
      <c r="L9" s="38" t="e">
        <f ca="1">_xll.BDP(B9,"CHG_PCT_WTD")</f>
        <v>#NAME?</v>
      </c>
      <c r="M9" s="38" t="e">
        <f ca="1">_xll.BDP(B9,"CHG_PCT_1M_RT")</f>
        <v>#NAME?</v>
      </c>
      <c r="N9" s="38" t="e">
        <f ca="1">_xll.BDP(B9,"CHG_PCT_3M_RT")</f>
        <v>#NAME?</v>
      </c>
      <c r="O9" s="38" t="e">
        <f ca="1">_xll.BDP(B9,"CHG_PCT_6M")</f>
        <v>#NAME?</v>
      </c>
      <c r="P9" s="38" t="e">
        <f ca="1">_xll.BDP(B9,"CHG_PCT_YTD")</f>
        <v>#NAME?</v>
      </c>
      <c r="Q9" s="38" t="e">
        <f ca="1">_xll.BDP(B9,"PRICE_CHANGE_1Y_PCT_RT")</f>
        <v>#NAME?</v>
      </c>
      <c r="R9" s="37" t="e">
        <f ca="1">_xll.BDP(B9,"STANDARD_DEVIATION_3YR")</f>
        <v>#NAME?</v>
      </c>
      <c r="S9" s="37" t="e">
        <f ca="1">_xll.BDP(B9,"EQY_SHARPE_RATIO_3YR")</f>
        <v>#NAME?</v>
      </c>
      <c r="T9" s="37" t="e">
        <f ca="1">_xll.BDP(B9,"FUND_EXPENSE_RATIO")</f>
        <v>#NAME?</v>
      </c>
      <c r="U9" s="39" t="e">
        <f ca="1">_xll.BDP(B9,"TRACKING_ERROR")</f>
        <v>#NAME?</v>
      </c>
      <c r="V9" s="25"/>
      <c r="W9" s="25"/>
    </row>
    <row r="10" spans="2:23" ht="38.1" customHeight="1" x14ac:dyDescent="0.5">
      <c r="B10" s="23" t="s">
        <v>59</v>
      </c>
      <c r="C10" s="23" t="s">
        <v>143</v>
      </c>
      <c r="D10" s="23" t="s">
        <v>144</v>
      </c>
      <c r="E10" s="23" t="e">
        <f ca="1">_xll.BDP(B10,"FUND_INCEPT_DT")</f>
        <v>#NAME?</v>
      </c>
      <c r="F10" s="23" t="e">
        <f ca="1">_xll.BDP(B10,"CRNCY")</f>
        <v>#NAME?</v>
      </c>
      <c r="G10" s="35" t="e">
        <f ca="1">_xll.BDP(B10,"LAST_PRICE")</f>
        <v>#NAME?</v>
      </c>
      <c r="H10" s="36" t="e">
        <f ca="1">_xll.BDP(B10,"30_DAY_AVERAGE_VOLUME_AT_TIME_RT")</f>
        <v>#NAME?</v>
      </c>
      <c r="I10" s="37" t="e">
        <f ca="1">_xll.BDP(B10,"AVERAGE_BID_ASK_SPREAD_%")</f>
        <v>#NAME?</v>
      </c>
      <c r="J10" s="38" t="e">
        <f ca="1">_xll.BDP(B10,"RT_PX_CHG_NET_1D")</f>
        <v>#NAME?</v>
      </c>
      <c r="K10" s="38" t="e">
        <f ca="1">_xll.BDP(B10,"RT_PX_CHG_PCT_1D")</f>
        <v>#NAME?</v>
      </c>
      <c r="L10" s="38" t="e">
        <f ca="1">_xll.BDP(B10,"CHG_PCT_WTD")</f>
        <v>#NAME?</v>
      </c>
      <c r="M10" s="38" t="e">
        <f ca="1">_xll.BDP(B10,"CHG_PCT_1M_RT")</f>
        <v>#NAME?</v>
      </c>
      <c r="N10" s="38" t="e">
        <f ca="1">_xll.BDP(B10,"CHG_PCT_3M_RT")</f>
        <v>#NAME?</v>
      </c>
      <c r="O10" s="38" t="e">
        <f ca="1">_xll.BDP(B10,"CHG_PCT_6M")</f>
        <v>#NAME?</v>
      </c>
      <c r="P10" s="38" t="e">
        <f ca="1">_xll.BDP(B10,"CHG_PCT_YTD")</f>
        <v>#NAME?</v>
      </c>
      <c r="Q10" s="38" t="e">
        <f ca="1">_xll.BDP(B10,"PRICE_CHANGE_1Y_PCT_RT")</f>
        <v>#NAME?</v>
      </c>
      <c r="R10" s="37" t="e">
        <f ca="1">_xll.BDP(B10,"STANDARD_DEVIATION_3YR")</f>
        <v>#NAME?</v>
      </c>
      <c r="S10" s="37" t="e">
        <f ca="1">_xll.BDP(B10,"EQY_SHARPE_RATIO_3YR")</f>
        <v>#NAME?</v>
      </c>
      <c r="T10" s="37" t="e">
        <f ca="1">_xll.BDP(B10,"FUND_EXPENSE_RATIO")</f>
        <v>#NAME?</v>
      </c>
      <c r="U10" s="39" t="e">
        <f ca="1">_xll.BDP(B10,"TRACKING_ERROR")</f>
        <v>#NAME?</v>
      </c>
      <c r="V10" s="25"/>
      <c r="W10" s="25"/>
    </row>
    <row r="11" spans="2:23" ht="38.1" customHeight="1" x14ac:dyDescent="0.5">
      <c r="B11" s="23" t="s">
        <v>60</v>
      </c>
      <c r="C11" s="23" t="s">
        <v>145</v>
      </c>
      <c r="D11" s="23" t="s">
        <v>146</v>
      </c>
      <c r="E11" s="23" t="e">
        <f ca="1">_xll.BDP(B11,"FUND_INCEPT_DT")</f>
        <v>#NAME?</v>
      </c>
      <c r="F11" s="23" t="e">
        <f ca="1">_xll.BDP(B11,"CRNCY")</f>
        <v>#NAME?</v>
      </c>
      <c r="G11" s="35" t="e">
        <f ca="1">_xll.BDP(B11,"LAST_PRICE")</f>
        <v>#NAME?</v>
      </c>
      <c r="H11" s="36" t="e">
        <f ca="1">_xll.BDP(B11,"30_DAY_AVERAGE_VOLUME_AT_TIME_RT")</f>
        <v>#NAME?</v>
      </c>
      <c r="I11" s="37" t="e">
        <f ca="1">_xll.BDP(B11,"AVERAGE_BID_ASK_SPREAD_%")</f>
        <v>#NAME?</v>
      </c>
      <c r="J11" s="38" t="e">
        <f ca="1">_xll.BDP(B11,"RT_PX_CHG_NET_1D")</f>
        <v>#NAME?</v>
      </c>
      <c r="K11" s="38" t="e">
        <f ca="1">_xll.BDP(B11,"RT_PX_CHG_PCT_1D")</f>
        <v>#NAME?</v>
      </c>
      <c r="L11" s="38" t="e">
        <f ca="1">_xll.BDP(B11,"CHG_PCT_WTD")</f>
        <v>#NAME?</v>
      </c>
      <c r="M11" s="38" t="e">
        <f ca="1">_xll.BDP(B11,"CHG_PCT_1M_RT")</f>
        <v>#NAME?</v>
      </c>
      <c r="N11" s="38" t="e">
        <f ca="1">_xll.BDP(B11,"CHG_PCT_3M_RT")</f>
        <v>#NAME?</v>
      </c>
      <c r="O11" s="38" t="e">
        <f ca="1">_xll.BDP(B11,"CHG_PCT_6M")</f>
        <v>#NAME?</v>
      </c>
      <c r="P11" s="38" t="e">
        <f ca="1">_xll.BDP(B11,"CHG_PCT_YTD")</f>
        <v>#NAME?</v>
      </c>
      <c r="Q11" s="38" t="e">
        <f ca="1">_xll.BDP(B11,"PRICE_CHANGE_1Y_PCT_RT")</f>
        <v>#NAME?</v>
      </c>
      <c r="R11" s="37" t="e">
        <f ca="1">_xll.BDP(B11,"STANDARD_DEVIATION_3YR")</f>
        <v>#NAME?</v>
      </c>
      <c r="S11" s="37" t="e">
        <f ca="1">_xll.BDP(B11,"EQY_SHARPE_RATIO_3YR")</f>
        <v>#NAME?</v>
      </c>
      <c r="T11" s="37" t="e">
        <f ca="1">_xll.BDP(B11,"FUND_EXPENSE_RATIO")</f>
        <v>#NAME?</v>
      </c>
      <c r="U11" s="39" t="e">
        <f ca="1">_xll.BDP(B11,"TRACKING_ERROR")</f>
        <v>#NAME?</v>
      </c>
      <c r="V11" s="25"/>
      <c r="W11" s="25"/>
    </row>
    <row r="12" spans="2:23" ht="38.1" customHeight="1" x14ac:dyDescent="0.5">
      <c r="B12" s="23" t="s">
        <v>61</v>
      </c>
      <c r="C12" s="23" t="s">
        <v>147</v>
      </c>
      <c r="D12" s="23" t="s">
        <v>148</v>
      </c>
      <c r="E12" s="23" t="e">
        <f ca="1">_xll.BDP(B12,"FUND_INCEPT_DT")</f>
        <v>#NAME?</v>
      </c>
      <c r="F12" s="23" t="e">
        <f ca="1">_xll.BDP(B12,"CRNCY")</f>
        <v>#NAME?</v>
      </c>
      <c r="G12" s="35" t="e">
        <f ca="1">_xll.BDP(B12,"LAST_PRICE")</f>
        <v>#NAME?</v>
      </c>
      <c r="H12" s="36" t="e">
        <f ca="1">_xll.BDP(B12,"30_DAY_AVERAGE_VOLUME_AT_TIME_RT")</f>
        <v>#NAME?</v>
      </c>
      <c r="I12" s="37" t="e">
        <f ca="1">_xll.BDP(B12,"AVERAGE_BID_ASK_SPREAD_%")</f>
        <v>#NAME?</v>
      </c>
      <c r="J12" s="38" t="e">
        <f ca="1">_xll.BDP(B12,"RT_PX_CHG_NET_1D")</f>
        <v>#NAME?</v>
      </c>
      <c r="K12" s="38" t="e">
        <f ca="1">_xll.BDP(B12,"RT_PX_CHG_PCT_1D")</f>
        <v>#NAME?</v>
      </c>
      <c r="L12" s="38" t="e">
        <f ca="1">_xll.BDP(B12,"CHG_PCT_WTD")</f>
        <v>#NAME?</v>
      </c>
      <c r="M12" s="38" t="e">
        <f ca="1">_xll.BDP(B12,"CHG_PCT_1M_RT")</f>
        <v>#NAME?</v>
      </c>
      <c r="N12" s="38" t="e">
        <f ca="1">_xll.BDP(B12,"CHG_PCT_3M_RT")</f>
        <v>#NAME?</v>
      </c>
      <c r="O12" s="38" t="e">
        <f ca="1">_xll.BDP(B12,"CHG_PCT_6M")</f>
        <v>#NAME?</v>
      </c>
      <c r="P12" s="38" t="e">
        <f ca="1">_xll.BDP(B12,"CHG_PCT_YTD")</f>
        <v>#NAME?</v>
      </c>
      <c r="Q12" s="38" t="e">
        <f ca="1">_xll.BDP(B12,"PRICE_CHANGE_1Y_PCT_RT")</f>
        <v>#NAME?</v>
      </c>
      <c r="R12" s="37" t="e">
        <f ca="1">_xll.BDP(B12,"STANDARD_DEVIATION_3YR")</f>
        <v>#NAME?</v>
      </c>
      <c r="S12" s="37" t="e">
        <f ca="1">_xll.BDP(B12,"EQY_SHARPE_RATIO_3YR")</f>
        <v>#NAME?</v>
      </c>
      <c r="T12" s="37" t="e">
        <f ca="1">_xll.BDP(B12,"FUND_EXPENSE_RATIO")</f>
        <v>#NAME?</v>
      </c>
      <c r="U12" s="39" t="e">
        <f ca="1">_xll.BDP(B12,"TRACKING_ERROR")</f>
        <v>#NAME?</v>
      </c>
      <c r="V12" s="25"/>
      <c r="W12" s="25"/>
    </row>
    <row r="13" spans="2:23" ht="38.1" customHeight="1" x14ac:dyDescent="0.5">
      <c r="B13" s="23" t="s">
        <v>62</v>
      </c>
      <c r="C13" s="23" t="s">
        <v>149</v>
      </c>
      <c r="D13" s="23" t="s">
        <v>150</v>
      </c>
      <c r="E13" s="23" t="e">
        <f ca="1">_xll.BDP(B13,"FUND_INCEPT_DT")</f>
        <v>#NAME?</v>
      </c>
      <c r="F13" s="23" t="e">
        <f ca="1">_xll.BDP(B13,"CRNCY")</f>
        <v>#NAME?</v>
      </c>
      <c r="G13" s="35" t="e">
        <f ca="1">_xll.BDP(B13,"LAST_PRICE")</f>
        <v>#NAME?</v>
      </c>
      <c r="H13" s="36" t="e">
        <f ca="1">_xll.BDP(B13,"30_DAY_AVERAGE_VOLUME_AT_TIME_RT")</f>
        <v>#NAME?</v>
      </c>
      <c r="I13" s="37" t="e">
        <f ca="1">_xll.BDP(B13,"AVERAGE_BID_ASK_SPREAD_%")</f>
        <v>#NAME?</v>
      </c>
      <c r="J13" s="38" t="e">
        <f ca="1">_xll.BDP(B13,"RT_PX_CHG_NET_1D")</f>
        <v>#NAME?</v>
      </c>
      <c r="K13" s="38" t="e">
        <f ca="1">_xll.BDP(B13,"RT_PX_CHG_PCT_1D")</f>
        <v>#NAME?</v>
      </c>
      <c r="L13" s="38" t="e">
        <f ca="1">_xll.BDP(B13,"CHG_PCT_WTD")</f>
        <v>#NAME?</v>
      </c>
      <c r="M13" s="38" t="e">
        <f ca="1">_xll.BDP(B13,"CHG_PCT_1M_RT")</f>
        <v>#NAME?</v>
      </c>
      <c r="N13" s="38" t="e">
        <f ca="1">_xll.BDP(B13,"CHG_PCT_3M_RT")</f>
        <v>#NAME?</v>
      </c>
      <c r="O13" s="38" t="e">
        <f ca="1">_xll.BDP(B13,"CHG_PCT_6M")</f>
        <v>#NAME?</v>
      </c>
      <c r="P13" s="38" t="e">
        <f ca="1">_xll.BDP(B13,"CHG_PCT_YTD")</f>
        <v>#NAME?</v>
      </c>
      <c r="Q13" s="38" t="e">
        <f ca="1">_xll.BDP(B13,"PRICE_CHANGE_1Y_PCT_RT")</f>
        <v>#NAME?</v>
      </c>
      <c r="R13" s="37" t="e">
        <f ca="1">_xll.BDP(B13,"STANDARD_DEVIATION_3YR")</f>
        <v>#NAME?</v>
      </c>
      <c r="S13" s="37" t="e">
        <f ca="1">_xll.BDP(B13,"EQY_SHARPE_RATIO_3YR")</f>
        <v>#NAME?</v>
      </c>
      <c r="T13" s="37" t="e">
        <f ca="1">_xll.BDP(B13,"FUND_EXPENSE_RATIO")</f>
        <v>#NAME?</v>
      </c>
      <c r="U13" s="39" t="e">
        <f ca="1">_xll.BDP(B13,"TRACKING_ERROR")</f>
        <v>#NAME?</v>
      </c>
      <c r="V13" s="25"/>
      <c r="W13" s="25"/>
    </row>
    <row r="14" spans="2:23" ht="38.1" customHeight="1" x14ac:dyDescent="0.5">
      <c r="B14" s="23" t="s">
        <v>63</v>
      </c>
      <c r="C14" s="23" t="s">
        <v>151</v>
      </c>
      <c r="D14" s="23" t="s">
        <v>152</v>
      </c>
      <c r="E14" s="23" t="e">
        <f ca="1">_xll.BDP(B14,"FUND_INCEPT_DT")</f>
        <v>#NAME?</v>
      </c>
      <c r="F14" s="23" t="e">
        <f ca="1">_xll.BDP(B14,"CRNCY")</f>
        <v>#NAME?</v>
      </c>
      <c r="G14" s="35" t="e">
        <f ca="1">_xll.BDP(B14,"LAST_PRICE")</f>
        <v>#NAME?</v>
      </c>
      <c r="H14" s="36" t="e">
        <f ca="1">_xll.BDP(B14,"30_DAY_AVERAGE_VOLUME_AT_TIME_RT")</f>
        <v>#NAME?</v>
      </c>
      <c r="I14" s="37" t="e">
        <f ca="1">_xll.BDP(B14,"AVERAGE_BID_ASK_SPREAD_%")</f>
        <v>#NAME?</v>
      </c>
      <c r="J14" s="38" t="e">
        <f ca="1">_xll.BDP(B14,"RT_PX_CHG_NET_1D")</f>
        <v>#NAME?</v>
      </c>
      <c r="K14" s="38" t="e">
        <f ca="1">_xll.BDP(B14,"RT_PX_CHG_PCT_1D")</f>
        <v>#NAME?</v>
      </c>
      <c r="L14" s="38" t="e">
        <f ca="1">_xll.BDP(B14,"CHG_PCT_WTD")</f>
        <v>#NAME?</v>
      </c>
      <c r="M14" s="38" t="e">
        <f ca="1">_xll.BDP(B14,"CHG_PCT_1M_RT")</f>
        <v>#NAME?</v>
      </c>
      <c r="N14" s="38" t="e">
        <f ca="1">_xll.BDP(B14,"CHG_PCT_3M_RT")</f>
        <v>#NAME?</v>
      </c>
      <c r="O14" s="38" t="e">
        <f ca="1">_xll.BDP(B14,"CHG_PCT_6M")</f>
        <v>#NAME?</v>
      </c>
      <c r="P14" s="38" t="e">
        <f ca="1">_xll.BDP(B14,"CHG_PCT_YTD")</f>
        <v>#NAME?</v>
      </c>
      <c r="Q14" s="38" t="e">
        <f ca="1">_xll.BDP(B14,"PRICE_CHANGE_1Y_PCT_RT")</f>
        <v>#NAME?</v>
      </c>
      <c r="R14" s="37" t="e">
        <f ca="1">_xll.BDP(B14,"STANDARD_DEVIATION_3YR")</f>
        <v>#NAME?</v>
      </c>
      <c r="S14" s="37" t="e">
        <f ca="1">_xll.BDP(B14,"EQY_SHARPE_RATIO_3YR")</f>
        <v>#NAME?</v>
      </c>
      <c r="T14" s="37" t="e">
        <f ca="1">_xll.BDP(B14,"FUND_EXPENSE_RATIO")</f>
        <v>#NAME?</v>
      </c>
      <c r="U14" s="39" t="e">
        <f ca="1">_xll.BDP(B14,"TRACKING_ERROR")</f>
        <v>#NAME?</v>
      </c>
      <c r="V14" s="25"/>
      <c r="W14" s="25"/>
    </row>
    <row r="15" spans="2:23" ht="38.1" customHeight="1" x14ac:dyDescent="0.5">
      <c r="B15" s="27" t="s">
        <v>153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4"/>
      <c r="V15" s="25"/>
      <c r="W15" s="25"/>
    </row>
    <row r="16" spans="2:23" ht="38.1" customHeight="1" x14ac:dyDescent="0.5">
      <c r="B16" s="23" t="s">
        <v>64</v>
      </c>
      <c r="C16" s="23" t="s">
        <v>154</v>
      </c>
      <c r="D16" s="23" t="s">
        <v>155</v>
      </c>
      <c r="E16" s="23" t="e">
        <f ca="1">_xll.BDP(B16,"FUND_INCEPT_DT")</f>
        <v>#NAME?</v>
      </c>
      <c r="F16" s="23" t="e">
        <f ca="1">_xll.BDP(B16,"CRNCY")</f>
        <v>#NAME?</v>
      </c>
      <c r="G16" s="35" t="e">
        <f ca="1">_xll.BDP(B16,"LAST_PRICE")</f>
        <v>#NAME?</v>
      </c>
      <c r="H16" s="36" t="e">
        <f ca="1">_xll.BDP(B16,"30_DAY_AVERAGE_VOLUME_AT_TIME_RT")</f>
        <v>#NAME?</v>
      </c>
      <c r="I16" s="37" t="e">
        <f ca="1">_xll.BDP(B16,"AVERAGE_BID_ASK_SPREAD_%")</f>
        <v>#NAME?</v>
      </c>
      <c r="J16" s="38" t="e">
        <f ca="1">_xll.BDP(B16,"RT_PX_CHG_NET_1D")</f>
        <v>#NAME?</v>
      </c>
      <c r="K16" s="38" t="e">
        <f ca="1">_xll.BDP(B16,"RT_PX_CHG_PCT_1D")</f>
        <v>#NAME?</v>
      </c>
      <c r="L16" s="38" t="e">
        <f ca="1">_xll.BDP(B16,"CHG_PCT_WTD")</f>
        <v>#NAME?</v>
      </c>
      <c r="M16" s="38" t="e">
        <f ca="1">_xll.BDP(B16,"CHG_PCT_1M_RT")</f>
        <v>#NAME?</v>
      </c>
      <c r="N16" s="38" t="e">
        <f ca="1">_xll.BDP(B16,"CHG_PCT_3M_RT")</f>
        <v>#NAME?</v>
      </c>
      <c r="O16" s="38" t="e">
        <f ca="1">_xll.BDP(B16,"CHG_PCT_6M")</f>
        <v>#NAME?</v>
      </c>
      <c r="P16" s="38" t="e">
        <f ca="1">_xll.BDP(B16,"CHG_PCT_YTD")</f>
        <v>#NAME?</v>
      </c>
      <c r="Q16" s="38" t="e">
        <f ca="1">_xll.BDP(B16,"PRICE_CHANGE_1Y_PCT_RT")</f>
        <v>#NAME?</v>
      </c>
      <c r="R16" s="37" t="e">
        <f ca="1">_xll.BDP(B16,"STANDARD_DEVIATION_3YR")</f>
        <v>#NAME?</v>
      </c>
      <c r="S16" s="37" t="e">
        <f ca="1">_xll.BDP(B16,"EQY_SHARPE_RATIO_3YR")</f>
        <v>#NAME?</v>
      </c>
      <c r="T16" s="37" t="e">
        <f ca="1">_xll.BDP(B16,"FUND_EXPENSE_RATIO")</f>
        <v>#NAME?</v>
      </c>
      <c r="U16" s="39" t="e">
        <f ca="1">_xll.BDP(B16,"TRACKING_ERROR")</f>
        <v>#NAME?</v>
      </c>
      <c r="V16" s="25"/>
      <c r="W16" s="25"/>
    </row>
    <row r="17" spans="2:23" ht="38.1" customHeight="1" x14ac:dyDescent="0.5">
      <c r="B17" s="23" t="s">
        <v>65</v>
      </c>
      <c r="C17" s="23" t="s">
        <v>156</v>
      </c>
      <c r="D17" s="23" t="s">
        <v>155</v>
      </c>
      <c r="E17" s="23" t="e">
        <f ca="1">_xll.BDP(B17,"FUND_INCEPT_DT")</f>
        <v>#NAME?</v>
      </c>
      <c r="F17" s="23" t="e">
        <f ca="1">_xll.BDP(B17,"CRNCY")</f>
        <v>#NAME?</v>
      </c>
      <c r="G17" s="35" t="e">
        <f ca="1">_xll.BDP(B17,"LAST_PRICE")</f>
        <v>#NAME?</v>
      </c>
      <c r="H17" s="36" t="e">
        <f ca="1">_xll.BDP(B17,"30_DAY_AVERAGE_VOLUME_AT_TIME_RT")</f>
        <v>#NAME?</v>
      </c>
      <c r="I17" s="37" t="e">
        <f ca="1">_xll.BDP(B17,"AVERAGE_BID_ASK_SPREAD_%")</f>
        <v>#NAME?</v>
      </c>
      <c r="J17" s="38" t="e">
        <f ca="1">_xll.BDP(B17,"RT_PX_CHG_NET_1D")</f>
        <v>#NAME?</v>
      </c>
      <c r="K17" s="38" t="e">
        <f ca="1">_xll.BDP(B17,"RT_PX_CHG_PCT_1D")</f>
        <v>#NAME?</v>
      </c>
      <c r="L17" s="38" t="e">
        <f ca="1">_xll.BDP(B17,"CHG_PCT_WTD")</f>
        <v>#NAME?</v>
      </c>
      <c r="M17" s="38" t="e">
        <f ca="1">_xll.BDP(B17,"CHG_PCT_1M_RT")</f>
        <v>#NAME?</v>
      </c>
      <c r="N17" s="38" t="e">
        <f ca="1">_xll.BDP(B17,"CHG_PCT_3M_RT")</f>
        <v>#NAME?</v>
      </c>
      <c r="O17" s="38" t="e">
        <f ca="1">_xll.BDP(B17,"CHG_PCT_6M")</f>
        <v>#NAME?</v>
      </c>
      <c r="P17" s="38" t="e">
        <f ca="1">_xll.BDP(B17,"CHG_PCT_YTD")</f>
        <v>#NAME?</v>
      </c>
      <c r="Q17" s="38" t="e">
        <f ca="1">_xll.BDP(B17,"PRICE_CHANGE_1Y_PCT_RT")</f>
        <v>#NAME?</v>
      </c>
      <c r="R17" s="37" t="e">
        <f ca="1">_xll.BDP(B17,"STANDARD_DEVIATION_3YR")</f>
        <v>#NAME?</v>
      </c>
      <c r="S17" s="37" t="e">
        <f ca="1">_xll.BDP(B17,"EQY_SHARPE_RATIO_3YR")</f>
        <v>#NAME?</v>
      </c>
      <c r="T17" s="37" t="e">
        <f ca="1">_xll.BDP(B17,"FUND_EXPENSE_RATIO")</f>
        <v>#NAME?</v>
      </c>
      <c r="U17" s="39" t="e">
        <f ca="1">_xll.BDP(B17,"TRACKING_ERROR")</f>
        <v>#NAME?</v>
      </c>
      <c r="V17" s="25"/>
      <c r="W17" s="25"/>
    </row>
    <row r="18" spans="2:23" s="25" customFormat="1" ht="38.1" customHeight="1" x14ac:dyDescent="0.5">
      <c r="B18" s="23" t="s">
        <v>66</v>
      </c>
      <c r="C18" s="23" t="s">
        <v>157</v>
      </c>
      <c r="D18" s="23" t="s">
        <v>158</v>
      </c>
      <c r="E18" s="23" t="e">
        <f ca="1">_xll.BDP(B18,"FUND_INCEPT_DT")</f>
        <v>#NAME?</v>
      </c>
      <c r="F18" s="23" t="e">
        <f ca="1">_xll.BDP(B18,"CRNCY")</f>
        <v>#NAME?</v>
      </c>
      <c r="G18" s="35" t="e">
        <f ca="1">_xll.BDP(B18,"LAST_PRICE")</f>
        <v>#NAME?</v>
      </c>
      <c r="H18" s="36" t="e">
        <f ca="1">_xll.BDP(B18,"30_DAY_AVERAGE_VOLUME_AT_TIME_RT")</f>
        <v>#NAME?</v>
      </c>
      <c r="I18" s="37" t="e">
        <f ca="1">_xll.BDP(B18,"AVERAGE_BID_ASK_SPREAD_%")</f>
        <v>#NAME?</v>
      </c>
      <c r="J18" s="38" t="e">
        <f ca="1">_xll.BDP(B18,"RT_PX_CHG_NET_1D")</f>
        <v>#NAME?</v>
      </c>
      <c r="K18" s="38" t="e">
        <f ca="1">_xll.BDP(B18,"RT_PX_CHG_PCT_1D")</f>
        <v>#NAME?</v>
      </c>
      <c r="L18" s="38" t="e">
        <f ca="1">_xll.BDP(B18,"CHG_PCT_WTD")</f>
        <v>#NAME?</v>
      </c>
      <c r="M18" s="38" t="e">
        <f ca="1">_xll.BDP(B18,"CHG_PCT_1M_RT")</f>
        <v>#NAME?</v>
      </c>
      <c r="N18" s="38" t="e">
        <f ca="1">_xll.BDP(B18,"CHG_PCT_3M_RT")</f>
        <v>#NAME?</v>
      </c>
      <c r="O18" s="38" t="e">
        <f ca="1">_xll.BDP(B18,"CHG_PCT_6M")</f>
        <v>#NAME?</v>
      </c>
      <c r="P18" s="38" t="e">
        <f ca="1">_xll.BDP(B18,"CHG_PCT_YTD")</f>
        <v>#NAME?</v>
      </c>
      <c r="Q18" s="38" t="e">
        <f ca="1">_xll.BDP(B18,"PRICE_CHANGE_1Y_PCT_RT")</f>
        <v>#NAME?</v>
      </c>
      <c r="R18" s="37" t="e">
        <f ca="1">_xll.BDP(B18,"STANDARD_DEVIATION_3YR")</f>
        <v>#NAME?</v>
      </c>
      <c r="S18" s="37" t="e">
        <f ca="1">_xll.BDP(B18,"EQY_SHARPE_RATIO_3YR")</f>
        <v>#NAME?</v>
      </c>
      <c r="T18" s="37" t="e">
        <f ca="1">_xll.BDP(B18,"FUND_EXPENSE_RATIO")</f>
        <v>#NAME?</v>
      </c>
      <c r="U18" s="39" t="e">
        <f ca="1">_xll.BDP(B18,"TRACKING_ERROR")</f>
        <v>#NAME?</v>
      </c>
    </row>
    <row r="19" spans="2:23" s="25" customFormat="1" ht="38.1" customHeight="1" x14ac:dyDescent="0.5">
      <c r="B19" s="27" t="s">
        <v>159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4"/>
    </row>
    <row r="20" spans="2:23" s="25" customFormat="1" ht="38.1" customHeight="1" x14ac:dyDescent="0.5">
      <c r="B20" s="23" t="s">
        <v>67</v>
      </c>
      <c r="C20" s="23" t="s">
        <v>160</v>
      </c>
      <c r="D20" s="23" t="s">
        <v>161</v>
      </c>
      <c r="E20" s="23" t="e">
        <f ca="1">_xll.BDP(B20,"FUND_INCEPT_DT")</f>
        <v>#NAME?</v>
      </c>
      <c r="F20" s="23" t="e">
        <f ca="1">_xll.BDP(B20,"CRNCY")</f>
        <v>#NAME?</v>
      </c>
      <c r="G20" s="35" t="e">
        <f ca="1">_xll.BDP(B20,"LAST_PRICE")</f>
        <v>#NAME?</v>
      </c>
      <c r="H20" s="36" t="e">
        <f ca="1">_xll.BDP(B20,"30_DAY_AVERAGE_VOLUME_AT_TIME_RT")</f>
        <v>#NAME?</v>
      </c>
      <c r="I20" s="37" t="e">
        <f ca="1">_xll.BDP(B20,"AVERAGE_BID_ASK_SPREAD_%")</f>
        <v>#NAME?</v>
      </c>
      <c r="J20" s="38" t="e">
        <f ca="1">_xll.BDP(B20,"RT_PX_CHG_NET_1D")</f>
        <v>#NAME?</v>
      </c>
      <c r="K20" s="38" t="e">
        <f ca="1">_xll.BDP(B20,"RT_PX_CHG_PCT_1D")</f>
        <v>#NAME?</v>
      </c>
      <c r="L20" s="38" t="e">
        <f ca="1">_xll.BDP(B20,"CHG_PCT_WTD")</f>
        <v>#NAME?</v>
      </c>
      <c r="M20" s="38" t="e">
        <f ca="1">_xll.BDP(B20,"CHG_PCT_1M_RT")</f>
        <v>#NAME?</v>
      </c>
      <c r="N20" s="38" t="e">
        <f ca="1">_xll.BDP(B20,"CHG_PCT_3M_RT")</f>
        <v>#NAME?</v>
      </c>
      <c r="O20" s="38" t="e">
        <f ca="1">_xll.BDP(B20,"CHG_PCT_6M")</f>
        <v>#NAME?</v>
      </c>
      <c r="P20" s="38" t="e">
        <f ca="1">_xll.BDP(B20,"CHG_PCT_YTD")</f>
        <v>#NAME?</v>
      </c>
      <c r="Q20" s="38" t="e">
        <f ca="1">_xll.BDP(B20,"PRICE_CHANGE_1Y_PCT_RT")</f>
        <v>#NAME?</v>
      </c>
      <c r="R20" s="37" t="e">
        <f ca="1">_xll.BDP(B20,"STANDARD_DEVIATION_3YR")</f>
        <v>#NAME?</v>
      </c>
      <c r="S20" s="37" t="e">
        <f ca="1">_xll.BDP(B20,"EQY_SHARPE_RATIO_3YR")</f>
        <v>#NAME?</v>
      </c>
      <c r="T20" s="37" t="e">
        <f ca="1">_xll.BDP(B20,"FUND_EXPENSE_RATIO")</f>
        <v>#NAME?</v>
      </c>
      <c r="U20" s="39" t="e">
        <f ca="1">_xll.BDP(B20,"TRACKING_ERROR")</f>
        <v>#NAME?</v>
      </c>
    </row>
    <row r="21" spans="2:23" s="25" customFormat="1" ht="38.1" customHeight="1" x14ac:dyDescent="0.5">
      <c r="B21" s="23" t="s">
        <v>68</v>
      </c>
      <c r="C21" s="23" t="s">
        <v>162</v>
      </c>
      <c r="D21" s="23" t="s">
        <v>163</v>
      </c>
      <c r="E21" s="23" t="e">
        <f ca="1">_xll.BDP(B21,"FUND_INCEPT_DT")</f>
        <v>#NAME?</v>
      </c>
      <c r="F21" s="23" t="e">
        <f ca="1">_xll.BDP(B21,"CRNCY")</f>
        <v>#NAME?</v>
      </c>
      <c r="G21" s="35" t="e">
        <f ca="1">_xll.BDP(B21,"LAST_PRICE")</f>
        <v>#NAME?</v>
      </c>
      <c r="H21" s="36" t="e">
        <f ca="1">_xll.BDP(B21,"30_DAY_AVERAGE_VOLUME_AT_TIME_RT")</f>
        <v>#NAME?</v>
      </c>
      <c r="I21" s="37" t="e">
        <f ca="1">_xll.BDP(B21,"AVERAGE_BID_ASK_SPREAD_%")</f>
        <v>#NAME?</v>
      </c>
      <c r="J21" s="38" t="e">
        <f ca="1">_xll.BDP(B21,"RT_PX_CHG_NET_1D")</f>
        <v>#NAME?</v>
      </c>
      <c r="K21" s="38" t="e">
        <f ca="1">_xll.BDP(B21,"RT_PX_CHG_PCT_1D")</f>
        <v>#NAME?</v>
      </c>
      <c r="L21" s="38" t="e">
        <f ca="1">_xll.BDP(B21,"CHG_PCT_WTD")</f>
        <v>#NAME?</v>
      </c>
      <c r="M21" s="38" t="e">
        <f ca="1">_xll.BDP(B21,"CHG_PCT_1M_RT")</f>
        <v>#NAME?</v>
      </c>
      <c r="N21" s="38" t="e">
        <f ca="1">_xll.BDP(B21,"CHG_PCT_3M_RT")</f>
        <v>#NAME?</v>
      </c>
      <c r="O21" s="38" t="e">
        <f ca="1">_xll.BDP(B21,"CHG_PCT_6M")</f>
        <v>#NAME?</v>
      </c>
      <c r="P21" s="38" t="e">
        <f ca="1">_xll.BDP(B21,"CHG_PCT_YTD")</f>
        <v>#NAME?</v>
      </c>
      <c r="Q21" s="38" t="e">
        <f ca="1">_xll.BDP(B21,"PRICE_CHANGE_1Y_PCT_RT")</f>
        <v>#NAME?</v>
      </c>
      <c r="R21" s="37" t="e">
        <f ca="1">_xll.BDP(B21,"STANDARD_DEVIATION_3YR")</f>
        <v>#NAME?</v>
      </c>
      <c r="S21" s="37" t="e">
        <f ca="1">_xll.BDP(B21,"EQY_SHARPE_RATIO_3YR")</f>
        <v>#NAME?</v>
      </c>
      <c r="T21" s="37" t="e">
        <f ca="1">_xll.BDP(B21,"FUND_EXPENSE_RATIO")</f>
        <v>#NAME?</v>
      </c>
      <c r="U21" s="39" t="e">
        <f ca="1">_xll.BDP(B21,"TRACKING_ERROR")</f>
        <v>#NAME?</v>
      </c>
    </row>
    <row r="22" spans="2:23" s="25" customFormat="1" ht="38.1" customHeight="1" x14ac:dyDescent="0.5">
      <c r="B22" s="23" t="s">
        <v>69</v>
      </c>
      <c r="C22" s="23" t="s">
        <v>164</v>
      </c>
      <c r="D22" s="23" t="s">
        <v>165</v>
      </c>
      <c r="E22" s="23" t="e">
        <f ca="1">_xll.BDP(B22,"FUND_INCEPT_DT")</f>
        <v>#NAME?</v>
      </c>
      <c r="F22" s="23" t="e">
        <f ca="1">_xll.BDP(B22,"CRNCY")</f>
        <v>#NAME?</v>
      </c>
      <c r="G22" s="35" t="e">
        <f ca="1">_xll.BDP(B22,"LAST_PRICE")</f>
        <v>#NAME?</v>
      </c>
      <c r="H22" s="36" t="e">
        <f ca="1">_xll.BDP(B22,"30_DAY_AVERAGE_VOLUME_AT_TIME_RT")</f>
        <v>#NAME?</v>
      </c>
      <c r="I22" s="37" t="e">
        <f ca="1">_xll.BDP(B22,"AVERAGE_BID_ASK_SPREAD_%")</f>
        <v>#NAME?</v>
      </c>
      <c r="J22" s="38" t="e">
        <f ca="1">_xll.BDP(B22,"RT_PX_CHG_NET_1D")</f>
        <v>#NAME?</v>
      </c>
      <c r="K22" s="38" t="e">
        <f ca="1">_xll.BDP(B22,"RT_PX_CHG_PCT_1D")</f>
        <v>#NAME?</v>
      </c>
      <c r="L22" s="38" t="e">
        <f ca="1">_xll.BDP(B22,"CHG_PCT_WTD")</f>
        <v>#NAME?</v>
      </c>
      <c r="M22" s="38" t="e">
        <f ca="1">_xll.BDP(B22,"CHG_PCT_1M_RT")</f>
        <v>#NAME?</v>
      </c>
      <c r="N22" s="38" t="e">
        <f ca="1">_xll.BDP(B22,"CHG_PCT_3M_RT")</f>
        <v>#NAME?</v>
      </c>
      <c r="O22" s="38" t="e">
        <f ca="1">_xll.BDP(B22,"CHG_PCT_6M")</f>
        <v>#NAME?</v>
      </c>
      <c r="P22" s="38" t="e">
        <f ca="1">_xll.BDP(B22,"CHG_PCT_YTD")</f>
        <v>#NAME?</v>
      </c>
      <c r="Q22" s="38" t="e">
        <f ca="1">_xll.BDP(B22,"PRICE_CHANGE_1Y_PCT_RT")</f>
        <v>#NAME?</v>
      </c>
      <c r="R22" s="37" t="e">
        <f ca="1">_xll.BDP(B22,"STANDARD_DEVIATION_3YR")</f>
        <v>#NAME?</v>
      </c>
      <c r="S22" s="37" t="e">
        <f ca="1">_xll.BDP(B22,"EQY_SHARPE_RATIO_3YR")</f>
        <v>#NAME?</v>
      </c>
      <c r="T22" s="37" t="e">
        <f ca="1">_xll.BDP(B22,"FUND_EXPENSE_RATIO")</f>
        <v>#NAME?</v>
      </c>
      <c r="U22" s="39" t="e">
        <f ca="1">_xll.BDP(B22,"TRACKING_ERROR")</f>
        <v>#NAME?</v>
      </c>
    </row>
    <row r="23" spans="2:23" s="25" customFormat="1" ht="38.1" customHeight="1" x14ac:dyDescent="0.5">
      <c r="B23" s="27" t="s">
        <v>166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4"/>
    </row>
    <row r="24" spans="2:23" s="25" customFormat="1" ht="38.1" customHeight="1" x14ac:dyDescent="0.5">
      <c r="B24" s="23" t="s">
        <v>70</v>
      </c>
      <c r="C24" s="23" t="s">
        <v>167</v>
      </c>
      <c r="D24" s="23" t="s">
        <v>168</v>
      </c>
      <c r="E24" s="23" t="e">
        <f ca="1">_xll.BDP(B24,"FUND_INCEPT_DT")</f>
        <v>#NAME?</v>
      </c>
      <c r="F24" s="23" t="e">
        <f ca="1">_xll.BDP(B24,"CRNCY")</f>
        <v>#NAME?</v>
      </c>
      <c r="G24" s="35" t="e">
        <f ca="1">_xll.BDP(B24,"LAST_PRICE")</f>
        <v>#NAME?</v>
      </c>
      <c r="H24" s="36" t="e">
        <f ca="1">_xll.BDP(B24,"30_DAY_AVERAGE_VOLUME_AT_TIME_RT")</f>
        <v>#NAME?</v>
      </c>
      <c r="I24" s="37" t="e">
        <f ca="1">_xll.BDP(B24,"AVERAGE_BID_ASK_SPREAD_%")</f>
        <v>#NAME?</v>
      </c>
      <c r="J24" s="38" t="e">
        <f ca="1">_xll.BDP(B24,"RT_PX_CHG_NET_1D")</f>
        <v>#NAME?</v>
      </c>
      <c r="K24" s="38" t="e">
        <f ca="1">_xll.BDP(B24,"RT_PX_CHG_PCT_1D")</f>
        <v>#NAME?</v>
      </c>
      <c r="L24" s="38" t="e">
        <f ca="1">_xll.BDP(B24,"CHG_PCT_WTD")</f>
        <v>#NAME?</v>
      </c>
      <c r="M24" s="38" t="e">
        <f ca="1">_xll.BDP(B24,"CHG_PCT_1M_RT")</f>
        <v>#NAME?</v>
      </c>
      <c r="N24" s="38" t="e">
        <f ca="1">_xll.BDP(B24,"CHG_PCT_3M_RT")</f>
        <v>#NAME?</v>
      </c>
      <c r="O24" s="38" t="e">
        <f ca="1">_xll.BDP(B24,"CHG_PCT_6M")</f>
        <v>#NAME?</v>
      </c>
      <c r="P24" s="38" t="e">
        <f ca="1">_xll.BDP(B24,"CHG_PCT_YTD")</f>
        <v>#NAME?</v>
      </c>
      <c r="Q24" s="38" t="e">
        <f ca="1">_xll.BDP(B24,"PRICE_CHANGE_1Y_PCT_RT")</f>
        <v>#NAME?</v>
      </c>
      <c r="R24" s="37" t="e">
        <f ca="1">_xll.BDP(B24,"STANDARD_DEVIATION_3YR")</f>
        <v>#NAME?</v>
      </c>
      <c r="S24" s="37" t="e">
        <f ca="1">_xll.BDP(B24,"EQY_SHARPE_RATIO_3YR")</f>
        <v>#NAME?</v>
      </c>
      <c r="T24" s="37" t="e">
        <f ca="1">_xll.BDP(B24,"FUND_EXPENSE_RATIO")</f>
        <v>#NAME?</v>
      </c>
      <c r="U24" s="39" t="e">
        <f ca="1">_xll.BDP(B24,"TRACKING_ERROR")</f>
        <v>#NAME?</v>
      </c>
    </row>
    <row r="25" spans="2:23" s="25" customFormat="1" ht="38.1" customHeight="1" x14ac:dyDescent="0.5">
      <c r="B25" s="23" t="s">
        <v>71</v>
      </c>
      <c r="C25" s="23" t="s">
        <v>169</v>
      </c>
      <c r="D25" s="23" t="s">
        <v>170</v>
      </c>
      <c r="E25" s="23" t="e">
        <f ca="1">_xll.BDP(B25,"FUND_INCEPT_DT")</f>
        <v>#NAME?</v>
      </c>
      <c r="F25" s="23" t="e">
        <f ca="1">_xll.BDP(B25,"CRNCY")</f>
        <v>#NAME?</v>
      </c>
      <c r="G25" s="35" t="e">
        <f ca="1">_xll.BDP(B25,"LAST_PRICE")</f>
        <v>#NAME?</v>
      </c>
      <c r="H25" s="36" t="e">
        <f ca="1">_xll.BDP(B25,"30_DAY_AVERAGE_VOLUME_AT_TIME_RT")</f>
        <v>#NAME?</v>
      </c>
      <c r="I25" s="37" t="e">
        <f ca="1">_xll.BDP(B25,"AVERAGE_BID_ASK_SPREAD_%")</f>
        <v>#NAME?</v>
      </c>
      <c r="J25" s="38" t="e">
        <f ca="1">_xll.BDP(B25,"RT_PX_CHG_NET_1D")</f>
        <v>#NAME?</v>
      </c>
      <c r="K25" s="38" t="e">
        <f ca="1">_xll.BDP(B25,"RT_PX_CHG_PCT_1D")</f>
        <v>#NAME?</v>
      </c>
      <c r="L25" s="38" t="e">
        <f ca="1">_xll.BDP(B25,"CHG_PCT_WTD")</f>
        <v>#NAME?</v>
      </c>
      <c r="M25" s="38" t="e">
        <f ca="1">_xll.BDP(B25,"CHG_PCT_1M_RT")</f>
        <v>#NAME?</v>
      </c>
      <c r="N25" s="38" t="e">
        <f ca="1">_xll.BDP(B25,"CHG_PCT_3M_RT")</f>
        <v>#NAME?</v>
      </c>
      <c r="O25" s="38" t="e">
        <f ca="1">_xll.BDP(B25,"CHG_PCT_6M")</f>
        <v>#NAME?</v>
      </c>
      <c r="P25" s="38" t="e">
        <f ca="1">_xll.BDP(B25,"CHG_PCT_YTD")</f>
        <v>#NAME?</v>
      </c>
      <c r="Q25" s="38" t="e">
        <f ca="1">_xll.BDP(B25,"PRICE_CHANGE_1Y_PCT_RT")</f>
        <v>#NAME?</v>
      </c>
      <c r="R25" s="37" t="e">
        <f ca="1">_xll.BDP(B25,"STANDARD_DEVIATION_3YR")</f>
        <v>#NAME?</v>
      </c>
      <c r="S25" s="37" t="e">
        <f ca="1">_xll.BDP(B25,"EQY_SHARPE_RATIO_3YR")</f>
        <v>#NAME?</v>
      </c>
      <c r="T25" s="37" t="e">
        <f ca="1">_xll.BDP(B25,"FUND_EXPENSE_RATIO")</f>
        <v>#NAME?</v>
      </c>
      <c r="U25" s="39" t="e">
        <f ca="1">_xll.BDP(B25,"TRACKING_ERROR")</f>
        <v>#NAME?</v>
      </c>
    </row>
    <row r="26" spans="2:23" s="25" customFormat="1" ht="38.1" customHeight="1" x14ac:dyDescent="0.5">
      <c r="B26" s="23" t="s">
        <v>72</v>
      </c>
      <c r="C26" s="23" t="s">
        <v>171</v>
      </c>
      <c r="D26" s="23" t="s">
        <v>172</v>
      </c>
      <c r="E26" s="23" t="e">
        <f ca="1">_xll.BDP(B26,"FUND_INCEPT_DT")</f>
        <v>#NAME?</v>
      </c>
      <c r="F26" s="23" t="e">
        <f ca="1">_xll.BDP(B26,"CRNCY")</f>
        <v>#NAME?</v>
      </c>
      <c r="G26" s="35" t="e">
        <f ca="1">_xll.BDP(B26,"LAST_PRICE")</f>
        <v>#NAME?</v>
      </c>
      <c r="H26" s="36" t="e">
        <f ca="1">_xll.BDP(B26,"30_DAY_AVERAGE_VOLUME_AT_TIME_RT")</f>
        <v>#NAME?</v>
      </c>
      <c r="I26" s="37" t="e">
        <f ca="1">_xll.BDP(B26,"AVERAGE_BID_ASK_SPREAD_%")</f>
        <v>#NAME?</v>
      </c>
      <c r="J26" s="38" t="e">
        <f ca="1">_xll.BDP(B26,"RT_PX_CHG_NET_1D")</f>
        <v>#NAME?</v>
      </c>
      <c r="K26" s="38" t="e">
        <f ca="1">_xll.BDP(B26,"RT_PX_CHG_PCT_1D")</f>
        <v>#NAME?</v>
      </c>
      <c r="L26" s="38" t="e">
        <f ca="1">_xll.BDP(B26,"CHG_PCT_WTD")</f>
        <v>#NAME?</v>
      </c>
      <c r="M26" s="38" t="e">
        <f ca="1">_xll.BDP(B26,"CHG_PCT_1M_RT")</f>
        <v>#NAME?</v>
      </c>
      <c r="N26" s="38" t="e">
        <f ca="1">_xll.BDP(B26,"CHG_PCT_3M_RT")</f>
        <v>#NAME?</v>
      </c>
      <c r="O26" s="38" t="e">
        <f ca="1">_xll.BDP(B26,"CHG_PCT_6M")</f>
        <v>#NAME?</v>
      </c>
      <c r="P26" s="38" t="e">
        <f ca="1">_xll.BDP(B26,"CHG_PCT_YTD")</f>
        <v>#NAME?</v>
      </c>
      <c r="Q26" s="38" t="e">
        <f ca="1">_xll.BDP(B26,"PRICE_CHANGE_1Y_PCT_RT")</f>
        <v>#NAME?</v>
      </c>
      <c r="R26" s="37" t="e">
        <f ca="1">_xll.BDP(B26,"STANDARD_DEVIATION_3YR")</f>
        <v>#NAME?</v>
      </c>
      <c r="S26" s="37" t="e">
        <f ca="1">_xll.BDP(B26,"EQY_SHARPE_RATIO_3YR")</f>
        <v>#NAME?</v>
      </c>
      <c r="T26" s="37" t="e">
        <f ca="1">_xll.BDP(B26,"FUND_EXPENSE_RATIO")</f>
        <v>#NAME?</v>
      </c>
      <c r="U26" s="39" t="e">
        <f ca="1">_xll.BDP(B26,"TRACKING_ERROR")</f>
        <v>#NAME?</v>
      </c>
    </row>
    <row r="27" spans="2:23" s="25" customFormat="1" ht="38.1" customHeight="1" x14ac:dyDescent="0.5">
      <c r="B27" s="27" t="s">
        <v>173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4"/>
    </row>
    <row r="28" spans="2:23" s="25" customFormat="1" ht="38.1" customHeight="1" x14ac:dyDescent="0.5">
      <c r="B28" s="23" t="s">
        <v>73</v>
      </c>
      <c r="C28" s="23" t="s">
        <v>174</v>
      </c>
      <c r="D28" s="23" t="s">
        <v>175</v>
      </c>
      <c r="E28" s="23" t="e">
        <f ca="1">_xll.BDP(B28,"FUND_INCEPT_DT")</f>
        <v>#NAME?</v>
      </c>
      <c r="F28" s="23" t="e">
        <f ca="1">_xll.BDP(B28,"CRNCY")</f>
        <v>#NAME?</v>
      </c>
      <c r="G28" s="35" t="e">
        <f ca="1">_xll.BDP(B28,"LAST_PRICE")</f>
        <v>#NAME?</v>
      </c>
      <c r="H28" s="36" t="e">
        <f ca="1">_xll.BDP(B28,"30_DAY_AVERAGE_VOLUME_AT_TIME_RT")</f>
        <v>#NAME?</v>
      </c>
      <c r="I28" s="37" t="e">
        <f ca="1">_xll.BDP(B28,"AVERAGE_BID_ASK_SPREAD_%")</f>
        <v>#NAME?</v>
      </c>
      <c r="J28" s="38" t="e">
        <f ca="1">_xll.BDP(B28,"RT_PX_CHG_NET_1D")</f>
        <v>#NAME?</v>
      </c>
      <c r="K28" s="38" t="e">
        <f ca="1">_xll.BDP(B28,"RT_PX_CHG_PCT_1D")</f>
        <v>#NAME?</v>
      </c>
      <c r="L28" s="38" t="e">
        <f ca="1">_xll.BDP(B28,"CHG_PCT_WTD")</f>
        <v>#NAME?</v>
      </c>
      <c r="M28" s="38" t="e">
        <f ca="1">_xll.BDP(B28,"CHG_PCT_1M_RT")</f>
        <v>#NAME?</v>
      </c>
      <c r="N28" s="38" t="e">
        <f ca="1">_xll.BDP(B28,"CHG_PCT_3M_RT")</f>
        <v>#NAME?</v>
      </c>
      <c r="O28" s="38" t="e">
        <f ca="1">_xll.BDP(B28,"CHG_PCT_6M")</f>
        <v>#NAME?</v>
      </c>
      <c r="P28" s="38" t="e">
        <f ca="1">_xll.BDP(B28,"CHG_PCT_YTD")</f>
        <v>#NAME?</v>
      </c>
      <c r="Q28" s="38" t="e">
        <f ca="1">_xll.BDP(B28,"PRICE_CHANGE_1Y_PCT_RT")</f>
        <v>#NAME?</v>
      </c>
      <c r="R28" s="37" t="e">
        <f ca="1">_xll.BDP(B28,"STANDARD_DEVIATION_3YR")</f>
        <v>#NAME?</v>
      </c>
      <c r="S28" s="37" t="e">
        <f ca="1">_xll.BDP(B28,"EQY_SHARPE_RATIO_3YR")</f>
        <v>#NAME?</v>
      </c>
      <c r="T28" s="37" t="e">
        <f ca="1">_xll.BDP(B28,"FUND_EXPENSE_RATIO")</f>
        <v>#NAME?</v>
      </c>
      <c r="U28" s="39" t="e">
        <f ca="1">_xll.BDP(B28,"TRACKING_ERROR")</f>
        <v>#NAME?</v>
      </c>
    </row>
    <row r="29" spans="2:23" s="25" customFormat="1" ht="38.1" customHeight="1" x14ac:dyDescent="0.5">
      <c r="B29" s="23" t="s">
        <v>74</v>
      </c>
      <c r="C29" s="23" t="s">
        <v>176</v>
      </c>
      <c r="D29" s="23" t="s">
        <v>177</v>
      </c>
      <c r="E29" s="23" t="e">
        <f ca="1">_xll.BDP(B29,"FUND_INCEPT_DT")</f>
        <v>#NAME?</v>
      </c>
      <c r="F29" s="23" t="e">
        <f ca="1">_xll.BDP(B29,"CRNCY")</f>
        <v>#NAME?</v>
      </c>
      <c r="G29" s="35" t="e">
        <f ca="1">_xll.BDP(B29,"LAST_PRICE")</f>
        <v>#NAME?</v>
      </c>
      <c r="H29" s="36" t="e">
        <f ca="1">_xll.BDP(B29,"30_DAY_AVERAGE_VOLUME_AT_TIME_RT")</f>
        <v>#NAME?</v>
      </c>
      <c r="I29" s="37" t="e">
        <f ca="1">_xll.BDP(B29,"AVERAGE_BID_ASK_SPREAD_%")</f>
        <v>#NAME?</v>
      </c>
      <c r="J29" s="38" t="e">
        <f ca="1">_xll.BDP(B29,"RT_PX_CHG_NET_1D")</f>
        <v>#NAME?</v>
      </c>
      <c r="K29" s="38" t="e">
        <f ca="1">_xll.BDP(B29,"RT_PX_CHG_PCT_1D")</f>
        <v>#NAME?</v>
      </c>
      <c r="L29" s="38" t="e">
        <f ca="1">_xll.BDP(B29,"CHG_PCT_WTD")</f>
        <v>#NAME?</v>
      </c>
      <c r="M29" s="38" t="e">
        <f ca="1">_xll.BDP(B29,"CHG_PCT_1M_RT")</f>
        <v>#NAME?</v>
      </c>
      <c r="N29" s="38" t="e">
        <f ca="1">_xll.BDP(B29,"CHG_PCT_3M_RT")</f>
        <v>#NAME?</v>
      </c>
      <c r="O29" s="38" t="e">
        <f ca="1">_xll.BDP(B29,"CHG_PCT_6M")</f>
        <v>#NAME?</v>
      </c>
      <c r="P29" s="38" t="e">
        <f ca="1">_xll.BDP(B29,"CHG_PCT_YTD")</f>
        <v>#NAME?</v>
      </c>
      <c r="Q29" s="38" t="e">
        <f ca="1">_xll.BDP(B29,"PRICE_CHANGE_1Y_PCT_RT")</f>
        <v>#NAME?</v>
      </c>
      <c r="R29" s="37" t="e">
        <f ca="1">_xll.BDP(B29,"STANDARD_DEVIATION_3YR")</f>
        <v>#NAME?</v>
      </c>
      <c r="S29" s="37" t="e">
        <f ca="1">_xll.BDP(B29,"EQY_SHARPE_RATIO_3YR")</f>
        <v>#NAME?</v>
      </c>
      <c r="T29" s="37" t="e">
        <f ca="1">_xll.BDP(B29,"FUND_EXPENSE_RATIO")</f>
        <v>#NAME?</v>
      </c>
      <c r="U29" s="39" t="e">
        <f ca="1">_xll.BDP(B29,"TRACKING_ERROR")</f>
        <v>#NAME?</v>
      </c>
    </row>
    <row r="30" spans="2:23" s="25" customFormat="1" ht="38.1" customHeight="1" x14ac:dyDescent="0.5">
      <c r="B30" s="23" t="s">
        <v>75</v>
      </c>
      <c r="C30" s="23" t="s">
        <v>178</v>
      </c>
      <c r="D30" s="23" t="s">
        <v>179</v>
      </c>
      <c r="E30" s="23" t="e">
        <f ca="1">_xll.BDP(B30,"FUND_INCEPT_DT")</f>
        <v>#NAME?</v>
      </c>
      <c r="F30" s="23" t="e">
        <f ca="1">_xll.BDP(B30,"CRNCY")</f>
        <v>#NAME?</v>
      </c>
      <c r="G30" s="35" t="e">
        <f ca="1">_xll.BDP(B30,"LAST_PRICE")</f>
        <v>#NAME?</v>
      </c>
      <c r="H30" s="36" t="e">
        <f ca="1">_xll.BDP(B30,"30_DAY_AVERAGE_VOLUME_AT_TIME_RT")</f>
        <v>#NAME?</v>
      </c>
      <c r="I30" s="37" t="e">
        <f ca="1">_xll.BDP(B30,"AVERAGE_BID_ASK_SPREAD_%")</f>
        <v>#NAME?</v>
      </c>
      <c r="J30" s="38" t="e">
        <f ca="1">_xll.BDP(B30,"RT_PX_CHG_NET_1D")</f>
        <v>#NAME?</v>
      </c>
      <c r="K30" s="38" t="e">
        <f ca="1">_xll.BDP(B30,"RT_PX_CHG_PCT_1D")</f>
        <v>#NAME?</v>
      </c>
      <c r="L30" s="38" t="e">
        <f ca="1">_xll.BDP(B30,"CHG_PCT_WTD")</f>
        <v>#NAME?</v>
      </c>
      <c r="M30" s="38" t="e">
        <f ca="1">_xll.BDP(B30,"CHG_PCT_1M_RT")</f>
        <v>#NAME?</v>
      </c>
      <c r="N30" s="38" t="e">
        <f ca="1">_xll.BDP(B30,"CHG_PCT_3M_RT")</f>
        <v>#NAME?</v>
      </c>
      <c r="O30" s="38" t="e">
        <f ca="1">_xll.BDP(B30,"CHG_PCT_6M")</f>
        <v>#NAME?</v>
      </c>
      <c r="P30" s="38" t="e">
        <f ca="1">_xll.BDP(B30,"CHG_PCT_YTD")</f>
        <v>#NAME?</v>
      </c>
      <c r="Q30" s="38" t="e">
        <f ca="1">_xll.BDP(B30,"PRICE_CHANGE_1Y_PCT_RT")</f>
        <v>#NAME?</v>
      </c>
      <c r="R30" s="37" t="e">
        <f ca="1">_xll.BDP(B30,"STANDARD_DEVIATION_3YR")</f>
        <v>#NAME?</v>
      </c>
      <c r="S30" s="37" t="e">
        <f ca="1">_xll.BDP(B30,"EQY_SHARPE_RATIO_3YR")</f>
        <v>#NAME?</v>
      </c>
      <c r="T30" s="37" t="e">
        <f ca="1">_xll.BDP(B30,"FUND_EXPENSE_RATIO")</f>
        <v>#NAME?</v>
      </c>
      <c r="U30" s="39" t="e">
        <f ca="1">_xll.BDP(B30,"TRACKING_ERROR")</f>
        <v>#NAME?</v>
      </c>
    </row>
    <row r="31" spans="2:23" s="25" customFormat="1" ht="38.1" customHeight="1" x14ac:dyDescent="0.5">
      <c r="B31" s="40" t="s">
        <v>180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4"/>
    </row>
    <row r="32" spans="2:23" s="25" customFormat="1" ht="38.1" customHeight="1" x14ac:dyDescent="0.5">
      <c r="B32" s="23" t="s">
        <v>76</v>
      </c>
      <c r="C32" s="23" t="s">
        <v>181</v>
      </c>
      <c r="D32" s="23" t="s">
        <v>182</v>
      </c>
      <c r="E32" s="23" t="e">
        <f ca="1">_xll.BDP(B32,"FUND_INCEPT_DT")</f>
        <v>#NAME?</v>
      </c>
      <c r="F32" s="23" t="e">
        <f ca="1">_xll.BDP(B32,"CRNCY")</f>
        <v>#NAME?</v>
      </c>
      <c r="G32" s="35" t="e">
        <f ca="1">_xll.BDP(B32,"LAST_PRICE")</f>
        <v>#NAME?</v>
      </c>
      <c r="H32" s="36" t="e">
        <f ca="1">_xll.BDP(B32,"30_DAY_AVERAGE_VOLUME_AT_TIME_RT")</f>
        <v>#NAME?</v>
      </c>
      <c r="I32" s="37" t="e">
        <f ca="1">_xll.BDP(B32,"AVERAGE_BID_ASK_SPREAD_%")</f>
        <v>#NAME?</v>
      </c>
      <c r="J32" s="38" t="e">
        <f ca="1">_xll.BDP(B32,"RT_PX_CHG_NET_1D")</f>
        <v>#NAME?</v>
      </c>
      <c r="K32" s="38" t="e">
        <f ca="1">_xll.BDP(B32,"RT_PX_CHG_PCT_1D")</f>
        <v>#NAME?</v>
      </c>
      <c r="L32" s="38" t="e">
        <f ca="1">_xll.BDP(B32,"CHG_PCT_WTD")</f>
        <v>#NAME?</v>
      </c>
      <c r="M32" s="38" t="e">
        <f ca="1">_xll.BDP(B32,"CHG_PCT_1M_RT")</f>
        <v>#NAME?</v>
      </c>
      <c r="N32" s="38" t="e">
        <f ca="1">_xll.BDP(B32,"CHG_PCT_3M_RT")</f>
        <v>#NAME?</v>
      </c>
      <c r="O32" s="38" t="e">
        <f ca="1">_xll.BDP(B32,"CHG_PCT_6M")</f>
        <v>#NAME?</v>
      </c>
      <c r="P32" s="38" t="e">
        <f ca="1">_xll.BDP(B32,"CHG_PCT_YTD")</f>
        <v>#NAME?</v>
      </c>
      <c r="Q32" s="38" t="e">
        <f ca="1">_xll.BDP(B32,"PRICE_CHANGE_1Y_PCT_RT")</f>
        <v>#NAME?</v>
      </c>
      <c r="R32" s="37" t="e">
        <f ca="1">_xll.BDP(B32,"STANDARD_DEVIATION_3YR")</f>
        <v>#NAME?</v>
      </c>
      <c r="S32" s="37" t="e">
        <f ca="1">_xll.BDP(B32,"EQY_SHARPE_RATIO_3YR")</f>
        <v>#NAME?</v>
      </c>
      <c r="T32" s="37" t="e">
        <f ca="1">_xll.BDP(B32,"FUND_EXPENSE_RATIO")</f>
        <v>#NAME?</v>
      </c>
      <c r="U32" s="39" t="e">
        <f ca="1">_xll.BDP(B32,"TRACKING_ERROR")</f>
        <v>#NAME?</v>
      </c>
    </row>
    <row r="33" spans="2:21" s="25" customFormat="1" ht="38.1" customHeight="1" x14ac:dyDescent="0.5">
      <c r="B33" s="23" t="s">
        <v>77</v>
      </c>
      <c r="C33" s="23" t="s">
        <v>183</v>
      </c>
      <c r="D33" s="23" t="s">
        <v>184</v>
      </c>
      <c r="E33" s="23" t="e">
        <f ca="1">_xll.BDP(B33,"FUND_INCEPT_DT")</f>
        <v>#NAME?</v>
      </c>
      <c r="F33" s="23" t="e">
        <f ca="1">_xll.BDP(B33,"CRNCY")</f>
        <v>#NAME?</v>
      </c>
      <c r="G33" s="35" t="e">
        <f ca="1">_xll.BDP(B33,"LAST_PRICE")</f>
        <v>#NAME?</v>
      </c>
      <c r="H33" s="36" t="e">
        <f ca="1">_xll.BDP(B33,"30_DAY_AVERAGE_VOLUME_AT_TIME_RT")</f>
        <v>#NAME?</v>
      </c>
      <c r="I33" s="37" t="e">
        <f ca="1">_xll.BDP(B33,"AVERAGE_BID_ASK_SPREAD_%")</f>
        <v>#NAME?</v>
      </c>
      <c r="J33" s="38" t="e">
        <f ca="1">_xll.BDP(B33,"RT_PX_CHG_NET_1D")</f>
        <v>#NAME?</v>
      </c>
      <c r="K33" s="38" t="e">
        <f ca="1">_xll.BDP(B33,"RT_PX_CHG_PCT_1D")</f>
        <v>#NAME?</v>
      </c>
      <c r="L33" s="38" t="e">
        <f ca="1">_xll.BDP(B33,"CHG_PCT_WTD")</f>
        <v>#NAME?</v>
      </c>
      <c r="M33" s="38" t="e">
        <f ca="1">_xll.BDP(B33,"CHG_PCT_1M_RT")</f>
        <v>#NAME?</v>
      </c>
      <c r="N33" s="38" t="e">
        <f ca="1">_xll.BDP(B33,"CHG_PCT_3M_RT")</f>
        <v>#NAME?</v>
      </c>
      <c r="O33" s="38" t="e">
        <f ca="1">_xll.BDP(B33,"CHG_PCT_6M")</f>
        <v>#NAME?</v>
      </c>
      <c r="P33" s="38" t="e">
        <f ca="1">_xll.BDP(B33,"CHG_PCT_YTD")</f>
        <v>#NAME?</v>
      </c>
      <c r="Q33" s="38" t="e">
        <f ca="1">_xll.BDP(B33,"PRICE_CHANGE_1Y_PCT_RT")</f>
        <v>#NAME?</v>
      </c>
      <c r="R33" s="37" t="e">
        <f ca="1">_xll.BDP(B33,"STANDARD_DEVIATION_3YR")</f>
        <v>#NAME?</v>
      </c>
      <c r="S33" s="37" t="e">
        <f ca="1">_xll.BDP(B33,"EQY_SHARPE_RATIO_3YR")</f>
        <v>#NAME?</v>
      </c>
      <c r="T33" s="37" t="e">
        <f ca="1">_xll.BDP(B33,"FUND_EXPENSE_RATIO")</f>
        <v>#NAME?</v>
      </c>
      <c r="U33" s="39" t="e">
        <f ca="1">_xll.BDP(B33,"TRACKING_ERROR")</f>
        <v>#NAME?</v>
      </c>
    </row>
    <row r="34" spans="2:21" s="25" customFormat="1" ht="38.1" customHeight="1" x14ac:dyDescent="0.5">
      <c r="B34" s="27" t="s">
        <v>185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4"/>
    </row>
    <row r="35" spans="2:21" s="25" customFormat="1" ht="38.1" customHeight="1" x14ac:dyDescent="0.5">
      <c r="B35" s="23" t="s">
        <v>78</v>
      </c>
      <c r="C35" s="23" t="s">
        <v>186</v>
      </c>
      <c r="D35" s="23" t="s">
        <v>187</v>
      </c>
      <c r="E35" s="23" t="e">
        <f ca="1">_xll.BDP(B35,"FUND_INCEPT_DT")</f>
        <v>#NAME?</v>
      </c>
      <c r="F35" s="23" t="e">
        <f ca="1">_xll.BDP(B35,"CRNCY")</f>
        <v>#NAME?</v>
      </c>
      <c r="G35" s="35" t="e">
        <f ca="1">_xll.BDP(B35,"LAST_PRICE")</f>
        <v>#NAME?</v>
      </c>
      <c r="H35" s="36" t="e">
        <f ca="1">_xll.BDP(B35,"30_DAY_AVERAGE_VOLUME_AT_TIME_RT")</f>
        <v>#NAME?</v>
      </c>
      <c r="I35" s="37" t="e">
        <f ca="1">_xll.BDP(B35,"AVERAGE_BID_ASK_SPREAD_%")</f>
        <v>#NAME?</v>
      </c>
      <c r="J35" s="38" t="e">
        <f ca="1">_xll.BDP(B35,"RT_PX_CHG_NET_1D")</f>
        <v>#NAME?</v>
      </c>
      <c r="K35" s="38" t="e">
        <f ca="1">_xll.BDP(B35,"RT_PX_CHG_PCT_1D")</f>
        <v>#NAME?</v>
      </c>
      <c r="L35" s="38" t="e">
        <f ca="1">_xll.BDP(B35,"CHG_PCT_WTD")</f>
        <v>#NAME?</v>
      </c>
      <c r="M35" s="38" t="e">
        <f ca="1">_xll.BDP(B35,"CHG_PCT_1M_RT")</f>
        <v>#NAME?</v>
      </c>
      <c r="N35" s="38" t="e">
        <f ca="1">_xll.BDP(B35,"CHG_PCT_3M_RT")</f>
        <v>#NAME?</v>
      </c>
      <c r="O35" s="38" t="e">
        <f ca="1">_xll.BDP(B35,"CHG_PCT_6M")</f>
        <v>#NAME?</v>
      </c>
      <c r="P35" s="38" t="e">
        <f ca="1">_xll.BDP(B35,"CHG_PCT_YTD")</f>
        <v>#NAME?</v>
      </c>
      <c r="Q35" s="38" t="e">
        <f ca="1">_xll.BDP(B35,"PRICE_CHANGE_1Y_PCT_RT")</f>
        <v>#NAME?</v>
      </c>
      <c r="R35" s="37" t="e">
        <f ca="1">_xll.BDP(B35,"STANDARD_DEVIATION_3YR")</f>
        <v>#NAME?</v>
      </c>
      <c r="S35" s="37" t="e">
        <f ca="1">_xll.BDP(B35,"EQY_SHARPE_RATIO_3YR")</f>
        <v>#NAME?</v>
      </c>
      <c r="T35" s="37" t="e">
        <f ca="1">_xll.BDP(B35,"FUND_EXPENSE_RATIO")</f>
        <v>#NAME?</v>
      </c>
      <c r="U35" s="39" t="e">
        <f ca="1">_xll.BDP(B35,"TRACKING_ERROR")</f>
        <v>#NAME?</v>
      </c>
    </row>
    <row r="36" spans="2:21" s="25" customFormat="1" ht="38.1" customHeight="1" x14ac:dyDescent="0.5">
      <c r="B36" s="23" t="s">
        <v>79</v>
      </c>
      <c r="C36" s="23" t="s">
        <v>188</v>
      </c>
      <c r="D36" s="23" t="s">
        <v>189</v>
      </c>
      <c r="E36" s="23" t="e">
        <f ca="1">_xll.BDP(B36,"FUND_INCEPT_DT")</f>
        <v>#NAME?</v>
      </c>
      <c r="F36" s="23" t="e">
        <f ca="1">_xll.BDP(B36,"CRNCY")</f>
        <v>#NAME?</v>
      </c>
      <c r="G36" s="35" t="e">
        <f ca="1">_xll.BDP(B36,"LAST_PRICE")</f>
        <v>#NAME?</v>
      </c>
      <c r="H36" s="36" t="e">
        <f ca="1">_xll.BDP(B36,"30_DAY_AVERAGE_VOLUME_AT_TIME_RT")</f>
        <v>#NAME?</v>
      </c>
      <c r="I36" s="37" t="e">
        <f ca="1">_xll.BDP(B36,"AVERAGE_BID_ASK_SPREAD_%")</f>
        <v>#NAME?</v>
      </c>
      <c r="J36" s="38" t="e">
        <f ca="1">_xll.BDP(B36,"RT_PX_CHG_NET_1D")</f>
        <v>#NAME?</v>
      </c>
      <c r="K36" s="38" t="e">
        <f ca="1">_xll.BDP(B36,"RT_PX_CHG_PCT_1D")</f>
        <v>#NAME?</v>
      </c>
      <c r="L36" s="38" t="e">
        <f ca="1">_xll.BDP(B36,"CHG_PCT_WTD")</f>
        <v>#NAME?</v>
      </c>
      <c r="M36" s="38" t="e">
        <f ca="1">_xll.BDP(B36,"CHG_PCT_1M_RT")</f>
        <v>#NAME?</v>
      </c>
      <c r="N36" s="38" t="e">
        <f ca="1">_xll.BDP(B36,"CHG_PCT_3M_RT")</f>
        <v>#NAME?</v>
      </c>
      <c r="O36" s="38" t="e">
        <f ca="1">_xll.BDP(B36,"CHG_PCT_6M")</f>
        <v>#NAME?</v>
      </c>
      <c r="P36" s="38" t="e">
        <f ca="1">_xll.BDP(B36,"CHG_PCT_YTD")</f>
        <v>#NAME?</v>
      </c>
      <c r="Q36" s="38" t="e">
        <f ca="1">_xll.BDP(B36,"PRICE_CHANGE_1Y_PCT_RT")</f>
        <v>#NAME?</v>
      </c>
      <c r="R36" s="37" t="e">
        <f ca="1">_xll.BDP(B36,"STANDARD_DEVIATION_3YR")</f>
        <v>#NAME?</v>
      </c>
      <c r="S36" s="37" t="e">
        <f ca="1">_xll.BDP(B36,"EQY_SHARPE_RATIO_3YR")</f>
        <v>#NAME?</v>
      </c>
      <c r="T36" s="37" t="e">
        <f ca="1">_xll.BDP(B36,"FUND_EXPENSE_RATIO")</f>
        <v>#NAME?</v>
      </c>
      <c r="U36" s="39" t="e">
        <f ca="1">_xll.BDP(B36,"TRACKING_ERROR")</f>
        <v>#NAME?</v>
      </c>
    </row>
    <row r="37" spans="2:21" s="25" customFormat="1" ht="38.1" customHeight="1" x14ac:dyDescent="0.5">
      <c r="B37" s="23" t="s">
        <v>80</v>
      </c>
      <c r="C37" s="23" t="s">
        <v>190</v>
      </c>
      <c r="D37" s="23" t="s">
        <v>155</v>
      </c>
      <c r="E37" s="23" t="e">
        <f ca="1">_xll.BDP(B37,"FUND_INCEPT_DT")</f>
        <v>#NAME?</v>
      </c>
      <c r="F37" s="23" t="e">
        <f ca="1">_xll.BDP(B37,"CRNCY")</f>
        <v>#NAME?</v>
      </c>
      <c r="G37" s="35" t="e">
        <f ca="1">_xll.BDP(B37,"LAST_PRICE")</f>
        <v>#NAME?</v>
      </c>
      <c r="H37" s="36" t="e">
        <f ca="1">_xll.BDP(B37,"30_DAY_AVERAGE_VOLUME_AT_TIME_RT")</f>
        <v>#NAME?</v>
      </c>
      <c r="I37" s="37" t="e">
        <f ca="1">_xll.BDP(B37,"AVERAGE_BID_ASK_SPREAD_%")</f>
        <v>#NAME?</v>
      </c>
      <c r="J37" s="38" t="e">
        <f ca="1">_xll.BDP(B37,"RT_PX_CHG_NET_1D")</f>
        <v>#NAME?</v>
      </c>
      <c r="K37" s="38" t="e">
        <f ca="1">_xll.BDP(B37,"RT_PX_CHG_PCT_1D")</f>
        <v>#NAME?</v>
      </c>
      <c r="L37" s="38" t="e">
        <f ca="1">_xll.BDP(B37,"CHG_PCT_WTD")</f>
        <v>#NAME?</v>
      </c>
      <c r="M37" s="38" t="e">
        <f ca="1">_xll.BDP(B37,"CHG_PCT_1M_RT")</f>
        <v>#NAME?</v>
      </c>
      <c r="N37" s="38" t="e">
        <f ca="1">_xll.BDP(B37,"CHG_PCT_3M_RT")</f>
        <v>#NAME?</v>
      </c>
      <c r="O37" s="38" t="e">
        <f ca="1">_xll.BDP(B37,"CHG_PCT_6M")</f>
        <v>#NAME?</v>
      </c>
      <c r="P37" s="38" t="e">
        <f ca="1">_xll.BDP(B37,"CHG_PCT_YTD")</f>
        <v>#NAME?</v>
      </c>
      <c r="Q37" s="38" t="e">
        <f ca="1">_xll.BDP(B37,"PRICE_CHANGE_1Y_PCT_RT")</f>
        <v>#NAME?</v>
      </c>
      <c r="R37" s="37" t="e">
        <f ca="1">_xll.BDP(B37,"STANDARD_DEVIATION_3YR")</f>
        <v>#NAME?</v>
      </c>
      <c r="S37" s="37" t="e">
        <f ca="1">_xll.BDP(B37,"EQY_SHARPE_RATIO_3YR")</f>
        <v>#NAME?</v>
      </c>
      <c r="T37" s="37" t="e">
        <f ca="1">_xll.BDP(B37,"FUND_EXPENSE_RATIO")</f>
        <v>#NAME?</v>
      </c>
      <c r="U37" s="39" t="e">
        <f ca="1">_xll.BDP(B37,"TRACKING_ERROR")</f>
        <v>#NAME?</v>
      </c>
    </row>
    <row r="38" spans="2:21" s="25" customFormat="1" ht="38.1" customHeight="1" x14ac:dyDescent="0.5">
      <c r="B38" s="23" t="s">
        <v>81</v>
      </c>
      <c r="C38" s="23" t="s">
        <v>191</v>
      </c>
      <c r="D38" s="23" t="s">
        <v>166</v>
      </c>
      <c r="E38" s="23" t="e">
        <f ca="1">_xll.BDP(B38,"FUND_INCEPT_DT")</f>
        <v>#NAME?</v>
      </c>
      <c r="F38" s="23" t="e">
        <f ca="1">_xll.BDP(B38,"CRNCY")</f>
        <v>#NAME?</v>
      </c>
      <c r="G38" s="35" t="e">
        <f ca="1">_xll.BDP(B38,"LAST_PRICE")</f>
        <v>#NAME?</v>
      </c>
      <c r="H38" s="36" t="e">
        <f ca="1">_xll.BDP(B38,"30_DAY_AVERAGE_VOLUME_AT_TIME_RT")</f>
        <v>#NAME?</v>
      </c>
      <c r="I38" s="37" t="e">
        <f ca="1">_xll.BDP(B38,"AVERAGE_BID_ASK_SPREAD_%")</f>
        <v>#NAME?</v>
      </c>
      <c r="J38" s="38" t="e">
        <f ca="1">_xll.BDP(B38,"RT_PX_CHG_NET_1D")</f>
        <v>#NAME?</v>
      </c>
      <c r="K38" s="38" t="e">
        <f ca="1">_xll.BDP(B38,"RT_PX_CHG_PCT_1D")</f>
        <v>#NAME?</v>
      </c>
      <c r="L38" s="38" t="e">
        <f ca="1">_xll.BDP(B38,"CHG_PCT_WTD")</f>
        <v>#NAME?</v>
      </c>
      <c r="M38" s="38" t="e">
        <f ca="1">_xll.BDP(B38,"CHG_PCT_1M_RT")</f>
        <v>#NAME?</v>
      </c>
      <c r="N38" s="38" t="e">
        <f ca="1">_xll.BDP(B38,"CHG_PCT_3M_RT")</f>
        <v>#NAME?</v>
      </c>
      <c r="O38" s="38" t="e">
        <f ca="1">_xll.BDP(B38,"CHG_PCT_6M")</f>
        <v>#NAME?</v>
      </c>
      <c r="P38" s="38" t="e">
        <f ca="1">_xll.BDP(B38,"CHG_PCT_YTD")</f>
        <v>#NAME?</v>
      </c>
      <c r="Q38" s="38" t="e">
        <f ca="1">_xll.BDP(B38,"PRICE_CHANGE_1Y_PCT_RT")</f>
        <v>#NAME?</v>
      </c>
      <c r="R38" s="37" t="e">
        <f ca="1">_xll.BDP(B38,"STANDARD_DEVIATION_3YR")</f>
        <v>#NAME?</v>
      </c>
      <c r="S38" s="37" t="e">
        <f ca="1">_xll.BDP(B38,"EQY_SHARPE_RATIO_3YR")</f>
        <v>#NAME?</v>
      </c>
      <c r="T38" s="37" t="e">
        <f ca="1">_xll.BDP(B38,"FUND_EXPENSE_RATIO")</f>
        <v>#NAME?</v>
      </c>
      <c r="U38" s="39" t="e">
        <f ca="1">_xll.BDP(B38,"TRACKING_ERROR")</f>
        <v>#NAME?</v>
      </c>
    </row>
    <row r="39" spans="2:21" s="25" customFormat="1" ht="38.1" customHeight="1" x14ac:dyDescent="0.5">
      <c r="B39" s="27" t="s">
        <v>192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4"/>
    </row>
    <row r="40" spans="2:21" s="25" customFormat="1" ht="38.1" customHeight="1" x14ac:dyDescent="0.5">
      <c r="B40" s="27" t="s">
        <v>193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4"/>
    </row>
    <row r="41" spans="2:21" s="25" customFormat="1" ht="38.1" customHeight="1" x14ac:dyDescent="0.5">
      <c r="B41" s="23" t="s">
        <v>82</v>
      </c>
      <c r="C41" s="23" t="s">
        <v>194</v>
      </c>
      <c r="D41" s="23" t="s">
        <v>195</v>
      </c>
      <c r="E41" s="23" t="e">
        <f ca="1">_xll.BDP(B41,"FUND_INCEPT_DT")</f>
        <v>#NAME?</v>
      </c>
      <c r="F41" s="23" t="e">
        <f ca="1">_xll.BDP(B41,"CRNCY")</f>
        <v>#NAME?</v>
      </c>
      <c r="G41" s="35" t="e">
        <f ca="1">_xll.BDP(B41,"LAST_PRICE")</f>
        <v>#NAME?</v>
      </c>
      <c r="H41" s="36" t="e">
        <f ca="1">_xll.BDP(B41,"30_DAY_AVERAGE_VOLUME_AT_TIME_RT")</f>
        <v>#NAME?</v>
      </c>
      <c r="I41" s="37" t="e">
        <f ca="1">_xll.BDP(B41,"AVERAGE_BID_ASK_SPREAD_%")</f>
        <v>#NAME?</v>
      </c>
      <c r="J41" s="38" t="e">
        <f ca="1">_xll.BDP(B41,"RT_PX_CHG_NET_1D")</f>
        <v>#NAME?</v>
      </c>
      <c r="K41" s="38" t="e">
        <f ca="1">_xll.BDP(B41,"RT_PX_CHG_PCT_1D")</f>
        <v>#NAME?</v>
      </c>
      <c r="L41" s="38" t="e">
        <f ca="1">_xll.BDP(B41,"CHG_PCT_WTD")</f>
        <v>#NAME?</v>
      </c>
      <c r="M41" s="38" t="e">
        <f ca="1">_xll.BDP(B41,"CHG_PCT_1M_RT")</f>
        <v>#NAME?</v>
      </c>
      <c r="N41" s="38" t="e">
        <f ca="1">_xll.BDP(B41,"CHG_PCT_3M_RT")</f>
        <v>#NAME?</v>
      </c>
      <c r="O41" s="38" t="e">
        <f ca="1">_xll.BDP(B41,"CHG_PCT_6M")</f>
        <v>#NAME?</v>
      </c>
      <c r="P41" s="38" t="e">
        <f ca="1">_xll.BDP(B41,"CHG_PCT_YTD")</f>
        <v>#NAME?</v>
      </c>
      <c r="Q41" s="38" t="e">
        <f ca="1">_xll.BDP(B41,"PRICE_CHANGE_1Y_PCT_RT")</f>
        <v>#NAME?</v>
      </c>
      <c r="R41" s="37" t="e">
        <f ca="1">_xll.BDP(B41,"STANDARD_DEVIATION_3YR")</f>
        <v>#NAME?</v>
      </c>
      <c r="S41" s="37" t="e">
        <f ca="1">_xll.BDP(B41,"EQY_SHARPE_RATIO_3YR")</f>
        <v>#NAME?</v>
      </c>
      <c r="T41" s="37" t="e">
        <f ca="1">_xll.BDP(B41,"FUND_EXPENSE_RATIO")</f>
        <v>#NAME?</v>
      </c>
      <c r="U41" s="39" t="e">
        <f ca="1">_xll.BDP(B41,"TRACKING_ERROR")</f>
        <v>#NAME?</v>
      </c>
    </row>
    <row r="42" spans="2:21" s="25" customFormat="1" ht="38.1" customHeight="1" x14ac:dyDescent="0.5">
      <c r="B42" s="23" t="s">
        <v>83</v>
      </c>
      <c r="C42" s="23" t="s">
        <v>196</v>
      </c>
      <c r="D42" s="23" t="s">
        <v>197</v>
      </c>
      <c r="E42" s="23" t="e">
        <f ca="1">_xll.BDP(B42,"FUND_INCEPT_DT")</f>
        <v>#NAME?</v>
      </c>
      <c r="F42" s="23" t="e">
        <f ca="1">_xll.BDP(B42,"CRNCY")</f>
        <v>#NAME?</v>
      </c>
      <c r="G42" s="35" t="e">
        <f ca="1">_xll.BDP(B42,"LAST_PRICE")</f>
        <v>#NAME?</v>
      </c>
      <c r="H42" s="36" t="e">
        <f ca="1">_xll.BDP(B42,"30_DAY_AVERAGE_VOLUME_AT_TIME_RT")</f>
        <v>#NAME?</v>
      </c>
      <c r="I42" s="37" t="e">
        <f ca="1">_xll.BDP(B42,"AVERAGE_BID_ASK_SPREAD_%")</f>
        <v>#NAME?</v>
      </c>
      <c r="J42" s="38" t="e">
        <f ca="1">_xll.BDP(B42,"RT_PX_CHG_NET_1D")</f>
        <v>#NAME?</v>
      </c>
      <c r="K42" s="38" t="e">
        <f ca="1">_xll.BDP(B42,"RT_PX_CHG_PCT_1D")</f>
        <v>#NAME?</v>
      </c>
      <c r="L42" s="38" t="e">
        <f ca="1">_xll.BDP(B42,"CHG_PCT_WTD")</f>
        <v>#NAME?</v>
      </c>
      <c r="M42" s="38" t="e">
        <f ca="1">_xll.BDP(B42,"CHG_PCT_1M_RT")</f>
        <v>#NAME?</v>
      </c>
      <c r="N42" s="38" t="e">
        <f ca="1">_xll.BDP(B42,"CHG_PCT_3M_RT")</f>
        <v>#NAME?</v>
      </c>
      <c r="O42" s="38" t="e">
        <f ca="1">_xll.BDP(B42,"CHG_PCT_6M")</f>
        <v>#NAME?</v>
      </c>
      <c r="P42" s="38" t="e">
        <f ca="1">_xll.BDP(B42,"CHG_PCT_YTD")</f>
        <v>#NAME?</v>
      </c>
      <c r="Q42" s="38" t="e">
        <f ca="1">_xll.BDP(B42,"PRICE_CHANGE_1Y_PCT_RT")</f>
        <v>#NAME?</v>
      </c>
      <c r="R42" s="37" t="e">
        <f ca="1">_xll.BDP(B42,"STANDARD_DEVIATION_3YR")</f>
        <v>#NAME?</v>
      </c>
      <c r="S42" s="37" t="e">
        <f ca="1">_xll.BDP(B42,"EQY_SHARPE_RATIO_3YR")</f>
        <v>#NAME?</v>
      </c>
      <c r="T42" s="37" t="e">
        <f ca="1">_xll.BDP(B42,"FUND_EXPENSE_RATIO")</f>
        <v>#NAME?</v>
      </c>
      <c r="U42" s="39" t="e">
        <f ca="1">_xll.BDP(B42,"TRACKING_ERROR")</f>
        <v>#NAME?</v>
      </c>
    </row>
    <row r="43" spans="2:21" s="25" customFormat="1" ht="38.1" customHeight="1" x14ac:dyDescent="0.5">
      <c r="B43" s="27" t="s">
        <v>198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4"/>
    </row>
    <row r="44" spans="2:21" s="25" customFormat="1" ht="38.1" customHeight="1" x14ac:dyDescent="0.5">
      <c r="B44" s="23" t="s">
        <v>84</v>
      </c>
      <c r="C44" s="23" t="s">
        <v>199</v>
      </c>
      <c r="D44" s="23" t="s">
        <v>200</v>
      </c>
      <c r="E44" s="23" t="e">
        <f ca="1">_xll.BDP(B44,"FUND_INCEPT_DT")</f>
        <v>#NAME?</v>
      </c>
      <c r="F44" s="23" t="e">
        <f ca="1">_xll.BDP(B44,"CRNCY")</f>
        <v>#NAME?</v>
      </c>
      <c r="G44" s="35" t="e">
        <f ca="1">_xll.BDP(B44,"LAST_PRICE")</f>
        <v>#NAME?</v>
      </c>
      <c r="H44" s="36" t="e">
        <f ca="1">_xll.BDP(B44,"30_DAY_AVERAGE_VOLUME_AT_TIME_RT")</f>
        <v>#NAME?</v>
      </c>
      <c r="I44" s="37" t="e">
        <f ca="1">_xll.BDP(B44,"AVERAGE_BID_ASK_SPREAD_%")</f>
        <v>#NAME?</v>
      </c>
      <c r="J44" s="38" t="e">
        <f ca="1">_xll.BDP(B44,"RT_PX_CHG_NET_1D")</f>
        <v>#NAME?</v>
      </c>
      <c r="K44" s="38" t="e">
        <f ca="1">_xll.BDP(B44,"RT_PX_CHG_PCT_1D")</f>
        <v>#NAME?</v>
      </c>
      <c r="L44" s="38" t="e">
        <f ca="1">_xll.BDP(B44,"CHG_PCT_WTD")</f>
        <v>#NAME?</v>
      </c>
      <c r="M44" s="38" t="e">
        <f ca="1">_xll.BDP(B44,"CHG_PCT_1M_RT")</f>
        <v>#NAME?</v>
      </c>
      <c r="N44" s="38" t="e">
        <f ca="1">_xll.BDP(B44,"CHG_PCT_3M_RT")</f>
        <v>#NAME?</v>
      </c>
      <c r="O44" s="38" t="e">
        <f ca="1">_xll.BDP(B44,"CHG_PCT_6M")</f>
        <v>#NAME?</v>
      </c>
      <c r="P44" s="38" t="e">
        <f ca="1">_xll.BDP(B44,"CHG_PCT_YTD")</f>
        <v>#NAME?</v>
      </c>
      <c r="Q44" s="38" t="e">
        <f ca="1">_xll.BDP(B44,"PRICE_CHANGE_1Y_PCT_RT")</f>
        <v>#NAME?</v>
      </c>
      <c r="R44" s="37" t="e">
        <f ca="1">_xll.BDP(B44,"STANDARD_DEVIATION_3YR")</f>
        <v>#NAME?</v>
      </c>
      <c r="S44" s="37" t="e">
        <f ca="1">_xll.BDP(B44,"EQY_SHARPE_RATIO_3YR")</f>
        <v>#NAME?</v>
      </c>
      <c r="T44" s="37" t="e">
        <f ca="1">_xll.BDP(B44,"FUND_EXPENSE_RATIO")</f>
        <v>#NAME?</v>
      </c>
      <c r="U44" s="39" t="e">
        <f ca="1">_xll.BDP(B44,"TRACKING_ERROR")</f>
        <v>#NAME?</v>
      </c>
    </row>
    <row r="45" spans="2:21" s="25" customFormat="1" ht="38.1" customHeight="1" x14ac:dyDescent="0.5">
      <c r="B45" s="23" t="s">
        <v>85</v>
      </c>
      <c r="C45" s="23" t="s">
        <v>201</v>
      </c>
      <c r="D45" s="23" t="s">
        <v>200</v>
      </c>
      <c r="E45" s="23" t="e">
        <f ca="1">_xll.BDP(B45,"FUND_INCEPT_DT")</f>
        <v>#NAME?</v>
      </c>
      <c r="F45" s="23" t="e">
        <f ca="1">_xll.BDP(B45,"CRNCY")</f>
        <v>#NAME?</v>
      </c>
      <c r="G45" s="35" t="e">
        <f ca="1">_xll.BDP(B45,"LAST_PRICE")</f>
        <v>#NAME?</v>
      </c>
      <c r="H45" s="36" t="e">
        <f ca="1">_xll.BDP(B45,"30_DAY_AVERAGE_VOLUME_AT_TIME_RT")</f>
        <v>#NAME?</v>
      </c>
      <c r="I45" s="37" t="e">
        <f ca="1">_xll.BDP(B45,"AVERAGE_BID_ASK_SPREAD_%")</f>
        <v>#NAME?</v>
      </c>
      <c r="J45" s="38" t="e">
        <f ca="1">_xll.BDP(B45,"RT_PX_CHG_NET_1D")</f>
        <v>#NAME?</v>
      </c>
      <c r="K45" s="38" t="e">
        <f ca="1">_xll.BDP(B45,"RT_PX_CHG_PCT_1D")</f>
        <v>#NAME?</v>
      </c>
      <c r="L45" s="38" t="e">
        <f ca="1">_xll.BDP(B45,"CHG_PCT_WTD")</f>
        <v>#NAME?</v>
      </c>
      <c r="M45" s="38" t="e">
        <f ca="1">_xll.BDP(B45,"CHG_PCT_1M_RT")</f>
        <v>#NAME?</v>
      </c>
      <c r="N45" s="38" t="e">
        <f ca="1">_xll.BDP(B45,"CHG_PCT_3M_RT")</f>
        <v>#NAME?</v>
      </c>
      <c r="O45" s="38" t="e">
        <f ca="1">_xll.BDP(B45,"CHG_PCT_6M")</f>
        <v>#NAME?</v>
      </c>
      <c r="P45" s="38" t="e">
        <f ca="1">_xll.BDP(B45,"CHG_PCT_YTD")</f>
        <v>#NAME?</v>
      </c>
      <c r="Q45" s="38" t="e">
        <f ca="1">_xll.BDP(B45,"PRICE_CHANGE_1Y_PCT_RT")</f>
        <v>#NAME?</v>
      </c>
      <c r="R45" s="37" t="e">
        <f ca="1">_xll.BDP(B45,"STANDARD_DEVIATION_3YR")</f>
        <v>#NAME?</v>
      </c>
      <c r="S45" s="37" t="e">
        <f ca="1">_xll.BDP(B45,"EQY_SHARPE_RATIO_3YR")</f>
        <v>#NAME?</v>
      </c>
      <c r="T45" s="37" t="e">
        <f ca="1">_xll.BDP(B45,"FUND_EXPENSE_RATIO")</f>
        <v>#NAME?</v>
      </c>
      <c r="U45" s="39" t="e">
        <f ca="1">_xll.BDP(B45,"TRACKING_ERROR")</f>
        <v>#NAME?</v>
      </c>
    </row>
    <row r="46" spans="2:21" s="25" customFormat="1" ht="38.1" customHeight="1" x14ac:dyDescent="0.5">
      <c r="B46" s="23" t="s">
        <v>86</v>
      </c>
      <c r="C46" s="23" t="s">
        <v>202</v>
      </c>
      <c r="D46" s="23" t="s">
        <v>200</v>
      </c>
      <c r="E46" s="23" t="e">
        <f ca="1">_xll.BDP(B46,"FUND_INCEPT_DT")</f>
        <v>#NAME?</v>
      </c>
      <c r="F46" s="23" t="e">
        <f ca="1">_xll.BDP(B46,"CRNCY")</f>
        <v>#NAME?</v>
      </c>
      <c r="G46" s="35" t="e">
        <f ca="1">_xll.BDP(B46,"LAST_PRICE")</f>
        <v>#NAME?</v>
      </c>
      <c r="H46" s="36" t="e">
        <f ca="1">_xll.BDP(B46,"30_DAY_AVERAGE_VOLUME_AT_TIME_RT")</f>
        <v>#NAME?</v>
      </c>
      <c r="I46" s="37" t="e">
        <f ca="1">_xll.BDP(B46,"AVERAGE_BID_ASK_SPREAD_%")</f>
        <v>#NAME?</v>
      </c>
      <c r="J46" s="38" t="e">
        <f ca="1">_xll.BDP(B46,"RT_PX_CHG_NET_1D")</f>
        <v>#NAME?</v>
      </c>
      <c r="K46" s="38" t="e">
        <f ca="1">_xll.BDP(B46,"RT_PX_CHG_PCT_1D")</f>
        <v>#NAME?</v>
      </c>
      <c r="L46" s="38" t="e">
        <f ca="1">_xll.BDP(B46,"CHG_PCT_WTD")</f>
        <v>#NAME?</v>
      </c>
      <c r="M46" s="38" t="e">
        <f ca="1">_xll.BDP(B46,"CHG_PCT_1M_RT")</f>
        <v>#NAME?</v>
      </c>
      <c r="N46" s="38" t="e">
        <f ca="1">_xll.BDP(B46,"CHG_PCT_3M_RT")</f>
        <v>#NAME?</v>
      </c>
      <c r="O46" s="38" t="e">
        <f ca="1">_xll.BDP(B46,"CHG_PCT_6M")</f>
        <v>#NAME?</v>
      </c>
      <c r="P46" s="38" t="e">
        <f ca="1">_xll.BDP(B46,"CHG_PCT_YTD")</f>
        <v>#NAME?</v>
      </c>
      <c r="Q46" s="38" t="e">
        <f ca="1">_xll.BDP(B46,"PRICE_CHANGE_1Y_PCT_RT")</f>
        <v>#NAME?</v>
      </c>
      <c r="R46" s="37" t="e">
        <f ca="1">_xll.BDP(B46,"STANDARD_DEVIATION_3YR")</f>
        <v>#NAME?</v>
      </c>
      <c r="S46" s="37" t="e">
        <f ca="1">_xll.BDP(B46,"EQY_SHARPE_RATIO_3YR")</f>
        <v>#NAME?</v>
      </c>
      <c r="T46" s="37" t="e">
        <f ca="1">_xll.BDP(B46,"FUND_EXPENSE_RATIO")</f>
        <v>#NAME?</v>
      </c>
      <c r="U46" s="39" t="e">
        <f ca="1">_xll.BDP(B46,"TRACKING_ERROR")</f>
        <v>#NAME?</v>
      </c>
    </row>
    <row r="47" spans="2:21" s="25" customFormat="1" ht="38.1" customHeight="1" x14ac:dyDescent="0.5">
      <c r="B47" s="23" t="s">
        <v>87</v>
      </c>
      <c r="C47" s="23" t="s">
        <v>203</v>
      </c>
      <c r="D47" s="23" t="s">
        <v>200</v>
      </c>
      <c r="E47" s="23" t="e">
        <f ca="1">_xll.BDP(B47,"FUND_INCEPT_DT")</f>
        <v>#NAME?</v>
      </c>
      <c r="F47" s="23" t="e">
        <f ca="1">_xll.BDP(B47,"CRNCY")</f>
        <v>#NAME?</v>
      </c>
      <c r="G47" s="35" t="e">
        <f ca="1">_xll.BDP(B47,"LAST_PRICE")</f>
        <v>#NAME?</v>
      </c>
      <c r="H47" s="36" t="e">
        <f ca="1">_xll.BDP(B47,"30_DAY_AVERAGE_VOLUME_AT_TIME_RT")</f>
        <v>#NAME?</v>
      </c>
      <c r="I47" s="37" t="e">
        <f ca="1">_xll.BDP(B47,"AVERAGE_BID_ASK_SPREAD_%")</f>
        <v>#NAME?</v>
      </c>
      <c r="J47" s="38" t="e">
        <f ca="1">_xll.BDP(B47,"RT_PX_CHG_NET_1D")</f>
        <v>#NAME?</v>
      </c>
      <c r="K47" s="38" t="e">
        <f ca="1">_xll.BDP(B47,"RT_PX_CHG_PCT_1D")</f>
        <v>#NAME?</v>
      </c>
      <c r="L47" s="38" t="e">
        <f ca="1">_xll.BDP(B47,"CHG_PCT_WTD")</f>
        <v>#NAME?</v>
      </c>
      <c r="M47" s="38" t="e">
        <f ca="1">_xll.BDP(B47,"CHG_PCT_1M_RT")</f>
        <v>#NAME?</v>
      </c>
      <c r="N47" s="38" t="e">
        <f ca="1">_xll.BDP(B47,"CHG_PCT_3M_RT")</f>
        <v>#NAME?</v>
      </c>
      <c r="O47" s="38" t="e">
        <f ca="1">_xll.BDP(B47,"CHG_PCT_6M")</f>
        <v>#NAME?</v>
      </c>
      <c r="P47" s="38" t="e">
        <f ca="1">_xll.BDP(B47,"CHG_PCT_YTD")</f>
        <v>#NAME?</v>
      </c>
      <c r="Q47" s="38" t="e">
        <f ca="1">_xll.BDP(B47,"PRICE_CHANGE_1Y_PCT_RT")</f>
        <v>#NAME?</v>
      </c>
      <c r="R47" s="37" t="e">
        <f ca="1">_xll.BDP(B47,"STANDARD_DEVIATION_3YR")</f>
        <v>#NAME?</v>
      </c>
      <c r="S47" s="37" t="e">
        <f ca="1">_xll.BDP(B47,"EQY_SHARPE_RATIO_3YR")</f>
        <v>#NAME?</v>
      </c>
      <c r="T47" s="37" t="e">
        <f ca="1">_xll.BDP(B47,"FUND_EXPENSE_RATIO")</f>
        <v>#NAME?</v>
      </c>
      <c r="U47" s="39" t="e">
        <f ca="1">_xll.BDP(B47,"TRACKING_ERROR")</f>
        <v>#NAME?</v>
      </c>
    </row>
    <row r="48" spans="2:21" s="25" customFormat="1" ht="38.1" customHeight="1" x14ac:dyDescent="0.5">
      <c r="B48" s="23" t="s">
        <v>88</v>
      </c>
      <c r="C48" s="23" t="s">
        <v>204</v>
      </c>
      <c r="D48" s="23" t="s">
        <v>205</v>
      </c>
      <c r="E48" s="23" t="e">
        <f ca="1">_xll.BDP(B48,"FUND_INCEPT_DT")</f>
        <v>#NAME?</v>
      </c>
      <c r="F48" s="23" t="e">
        <f ca="1">_xll.BDP(B48,"CRNCY")</f>
        <v>#NAME?</v>
      </c>
      <c r="G48" s="35" t="e">
        <f ca="1">_xll.BDP(B48,"LAST_PRICE")</f>
        <v>#NAME?</v>
      </c>
      <c r="H48" s="36" t="e">
        <f ca="1">_xll.BDP(B48,"30_DAY_AVERAGE_VOLUME_AT_TIME_RT")</f>
        <v>#NAME?</v>
      </c>
      <c r="I48" s="37" t="e">
        <f ca="1">_xll.BDP(B48,"AVERAGE_BID_ASK_SPREAD_%")</f>
        <v>#NAME?</v>
      </c>
      <c r="J48" s="38" t="e">
        <f ca="1">_xll.BDP(B48,"RT_PX_CHG_NET_1D")</f>
        <v>#NAME?</v>
      </c>
      <c r="K48" s="38" t="e">
        <f ca="1">_xll.BDP(B48,"RT_PX_CHG_PCT_1D")</f>
        <v>#NAME?</v>
      </c>
      <c r="L48" s="38" t="e">
        <f ca="1">_xll.BDP(B48,"CHG_PCT_WTD")</f>
        <v>#NAME?</v>
      </c>
      <c r="M48" s="38" t="e">
        <f ca="1">_xll.BDP(B48,"CHG_PCT_1M_RT")</f>
        <v>#NAME?</v>
      </c>
      <c r="N48" s="38" t="e">
        <f ca="1">_xll.BDP(B48,"CHG_PCT_3M_RT")</f>
        <v>#NAME?</v>
      </c>
      <c r="O48" s="38" t="e">
        <f ca="1">_xll.BDP(B48,"CHG_PCT_6M")</f>
        <v>#NAME?</v>
      </c>
      <c r="P48" s="38" t="e">
        <f ca="1">_xll.BDP(B48,"CHG_PCT_YTD")</f>
        <v>#NAME?</v>
      </c>
      <c r="Q48" s="38" t="e">
        <f ca="1">_xll.BDP(B48,"PRICE_CHANGE_1Y_PCT_RT")</f>
        <v>#NAME?</v>
      </c>
      <c r="R48" s="37" t="e">
        <f ca="1">_xll.BDP(B48,"STANDARD_DEVIATION_3YR")</f>
        <v>#NAME?</v>
      </c>
      <c r="S48" s="37" t="e">
        <f ca="1">_xll.BDP(B48,"EQY_SHARPE_RATIO_3YR")</f>
        <v>#NAME?</v>
      </c>
      <c r="T48" s="37" t="e">
        <f ca="1">_xll.BDP(B48,"FUND_EXPENSE_RATIO")</f>
        <v>#NAME?</v>
      </c>
      <c r="U48" s="39" t="e">
        <f ca="1">_xll.BDP(B48,"TRACKING_ERROR")</f>
        <v>#NAME?</v>
      </c>
    </row>
    <row r="49" spans="2:21" s="25" customFormat="1" ht="38.1" customHeight="1" x14ac:dyDescent="0.5">
      <c r="B49" s="23" t="s">
        <v>89</v>
      </c>
      <c r="C49" s="23" t="s">
        <v>206</v>
      </c>
      <c r="D49" s="23" t="s">
        <v>207</v>
      </c>
      <c r="E49" s="23" t="e">
        <f ca="1">_xll.BDP(B49,"FUND_INCEPT_DT")</f>
        <v>#NAME?</v>
      </c>
      <c r="F49" s="23" t="e">
        <f ca="1">_xll.BDP(B49,"CRNCY")</f>
        <v>#NAME?</v>
      </c>
      <c r="G49" s="35" t="e">
        <f ca="1">_xll.BDP(B49,"LAST_PRICE")</f>
        <v>#NAME?</v>
      </c>
      <c r="H49" s="36" t="e">
        <f ca="1">_xll.BDP(B49,"30_DAY_AVERAGE_VOLUME_AT_TIME_RT")</f>
        <v>#NAME?</v>
      </c>
      <c r="I49" s="37" t="e">
        <f ca="1">_xll.BDP(B49,"AVERAGE_BID_ASK_SPREAD_%")</f>
        <v>#NAME?</v>
      </c>
      <c r="J49" s="38" t="e">
        <f ca="1">_xll.BDP(B49,"RT_PX_CHG_NET_1D")</f>
        <v>#NAME?</v>
      </c>
      <c r="K49" s="38" t="e">
        <f ca="1">_xll.BDP(B49,"RT_PX_CHG_PCT_1D")</f>
        <v>#NAME?</v>
      </c>
      <c r="L49" s="38" t="e">
        <f ca="1">_xll.BDP(B49,"CHG_PCT_WTD")</f>
        <v>#NAME?</v>
      </c>
      <c r="M49" s="38" t="e">
        <f ca="1">_xll.BDP(B49,"CHG_PCT_1M_RT")</f>
        <v>#NAME?</v>
      </c>
      <c r="N49" s="38" t="e">
        <f ca="1">_xll.BDP(B49,"CHG_PCT_3M_RT")</f>
        <v>#NAME?</v>
      </c>
      <c r="O49" s="38" t="e">
        <f ca="1">_xll.BDP(B49,"CHG_PCT_6M")</f>
        <v>#NAME?</v>
      </c>
      <c r="P49" s="38" t="e">
        <f ca="1">_xll.BDP(B49,"CHG_PCT_YTD")</f>
        <v>#NAME?</v>
      </c>
      <c r="Q49" s="38" t="e">
        <f ca="1">_xll.BDP(B49,"PRICE_CHANGE_1Y_PCT_RT")</f>
        <v>#NAME?</v>
      </c>
      <c r="R49" s="37" t="e">
        <f ca="1">_xll.BDP(B49,"STANDARD_DEVIATION_3YR")</f>
        <v>#NAME?</v>
      </c>
      <c r="S49" s="37" t="e">
        <f ca="1">_xll.BDP(B49,"EQY_SHARPE_RATIO_3YR")</f>
        <v>#NAME?</v>
      </c>
      <c r="T49" s="37" t="e">
        <f ca="1">_xll.BDP(B49,"FUND_EXPENSE_RATIO")</f>
        <v>#NAME?</v>
      </c>
      <c r="U49" s="39" t="e">
        <f ca="1">_xll.BDP(B49,"TRACKING_ERROR")</f>
        <v>#NAME?</v>
      </c>
    </row>
    <row r="50" spans="2:21" s="25" customFormat="1" ht="38.1" customHeight="1" x14ac:dyDescent="0.5">
      <c r="B50" s="23" t="s">
        <v>90</v>
      </c>
      <c r="C50" s="23" t="s">
        <v>208</v>
      </c>
      <c r="D50" s="23" t="s">
        <v>209</v>
      </c>
      <c r="E50" s="23" t="e">
        <f ca="1">_xll.BDP(B50,"FUND_INCEPT_DT")</f>
        <v>#NAME?</v>
      </c>
      <c r="F50" s="23" t="e">
        <f ca="1">_xll.BDP(B50,"CRNCY")</f>
        <v>#NAME?</v>
      </c>
      <c r="G50" s="35" t="e">
        <f ca="1">_xll.BDP(B50,"LAST_PRICE")</f>
        <v>#NAME?</v>
      </c>
      <c r="H50" s="36" t="e">
        <f ca="1">_xll.BDP(B50,"30_DAY_AVERAGE_VOLUME_AT_TIME_RT")</f>
        <v>#NAME?</v>
      </c>
      <c r="I50" s="37" t="e">
        <f ca="1">_xll.BDP(B50,"AVERAGE_BID_ASK_SPREAD_%")</f>
        <v>#NAME?</v>
      </c>
      <c r="J50" s="38" t="e">
        <f ca="1">_xll.BDP(B50,"RT_PX_CHG_NET_1D")</f>
        <v>#NAME?</v>
      </c>
      <c r="K50" s="38" t="e">
        <f ca="1">_xll.BDP(B50,"RT_PX_CHG_PCT_1D")</f>
        <v>#NAME?</v>
      </c>
      <c r="L50" s="38" t="e">
        <f ca="1">_xll.BDP(B50,"CHG_PCT_WTD")</f>
        <v>#NAME?</v>
      </c>
      <c r="M50" s="38" t="e">
        <f ca="1">_xll.BDP(B50,"CHG_PCT_1M_RT")</f>
        <v>#NAME?</v>
      </c>
      <c r="N50" s="38" t="e">
        <f ca="1">_xll.BDP(B50,"CHG_PCT_3M_RT")</f>
        <v>#NAME?</v>
      </c>
      <c r="O50" s="38" t="e">
        <f ca="1">_xll.BDP(B50,"CHG_PCT_6M")</f>
        <v>#NAME?</v>
      </c>
      <c r="P50" s="38" t="e">
        <f ca="1">_xll.BDP(B50,"CHG_PCT_YTD")</f>
        <v>#NAME?</v>
      </c>
      <c r="Q50" s="38" t="e">
        <f ca="1">_xll.BDP(B50,"PRICE_CHANGE_1Y_PCT_RT")</f>
        <v>#NAME?</v>
      </c>
      <c r="R50" s="37" t="e">
        <f ca="1">_xll.BDP(B50,"STANDARD_DEVIATION_3YR")</f>
        <v>#NAME?</v>
      </c>
      <c r="S50" s="37" t="e">
        <f ca="1">_xll.BDP(B50,"EQY_SHARPE_RATIO_3YR")</f>
        <v>#NAME?</v>
      </c>
      <c r="T50" s="37" t="e">
        <f ca="1">_xll.BDP(B50,"FUND_EXPENSE_RATIO")</f>
        <v>#NAME?</v>
      </c>
      <c r="U50" s="39" t="e">
        <f ca="1">_xll.BDP(B50,"TRACKING_ERROR")</f>
        <v>#NAME?</v>
      </c>
    </row>
    <row r="51" spans="2:21" s="25" customFormat="1" ht="38.1" customHeight="1" x14ac:dyDescent="0.5">
      <c r="B51" s="23" t="s">
        <v>91</v>
      </c>
      <c r="C51" s="23" t="s">
        <v>210</v>
      </c>
      <c r="D51" s="23" t="s">
        <v>200</v>
      </c>
      <c r="E51" s="23" t="e">
        <f ca="1">_xll.BDP(B51,"FUND_INCEPT_DT")</f>
        <v>#NAME?</v>
      </c>
      <c r="F51" s="23" t="e">
        <f ca="1">_xll.BDP(B51,"CRNCY")</f>
        <v>#NAME?</v>
      </c>
      <c r="G51" s="35" t="e">
        <f ca="1">_xll.BDP(B51,"LAST_PRICE")</f>
        <v>#NAME?</v>
      </c>
      <c r="H51" s="36" t="e">
        <f ca="1">_xll.BDP(B51,"30_DAY_AVERAGE_VOLUME_AT_TIME_RT")</f>
        <v>#NAME?</v>
      </c>
      <c r="I51" s="37" t="e">
        <f ca="1">_xll.BDP(B51,"AVERAGE_BID_ASK_SPREAD_%")</f>
        <v>#NAME?</v>
      </c>
      <c r="J51" s="38" t="e">
        <f ca="1">_xll.BDP(B51,"RT_PX_CHG_NET_1D")</f>
        <v>#NAME?</v>
      </c>
      <c r="K51" s="38" t="e">
        <f ca="1">_xll.BDP(B51,"RT_PX_CHG_PCT_1D")</f>
        <v>#NAME?</v>
      </c>
      <c r="L51" s="38" t="e">
        <f ca="1">_xll.BDP(B51,"CHG_PCT_WTD")</f>
        <v>#NAME?</v>
      </c>
      <c r="M51" s="38" t="e">
        <f ca="1">_xll.BDP(B51,"CHG_PCT_1M_RT")</f>
        <v>#NAME?</v>
      </c>
      <c r="N51" s="38" t="e">
        <f ca="1">_xll.BDP(B51,"CHG_PCT_3M_RT")</f>
        <v>#NAME?</v>
      </c>
      <c r="O51" s="38" t="e">
        <f ca="1">_xll.BDP(B51,"CHG_PCT_6M")</f>
        <v>#NAME?</v>
      </c>
      <c r="P51" s="38" t="e">
        <f ca="1">_xll.BDP(B51,"CHG_PCT_YTD")</f>
        <v>#NAME?</v>
      </c>
      <c r="Q51" s="38" t="e">
        <f ca="1">_xll.BDP(B51,"PRICE_CHANGE_1Y_PCT_RT")</f>
        <v>#NAME?</v>
      </c>
      <c r="R51" s="37" t="e">
        <f ca="1">_xll.BDP(B51,"STANDARD_DEVIATION_3YR")</f>
        <v>#NAME?</v>
      </c>
      <c r="S51" s="37" t="e">
        <f ca="1">_xll.BDP(B51,"EQY_SHARPE_RATIO_3YR")</f>
        <v>#NAME?</v>
      </c>
      <c r="T51" s="37" t="e">
        <f ca="1">_xll.BDP(B51,"FUND_EXPENSE_RATIO")</f>
        <v>#NAME?</v>
      </c>
      <c r="U51" s="39" t="e">
        <f ca="1">_xll.BDP(B51,"TRACKING_ERROR")</f>
        <v>#NAME?</v>
      </c>
    </row>
    <row r="52" spans="2:21" s="25" customFormat="1" ht="38.1" customHeight="1" x14ac:dyDescent="0.5">
      <c r="B52" s="23" t="s">
        <v>92</v>
      </c>
      <c r="C52" s="23" t="s">
        <v>211</v>
      </c>
      <c r="D52" s="23" t="s">
        <v>212</v>
      </c>
      <c r="E52" s="23" t="e">
        <f ca="1">_xll.BDP(B52,"FUND_INCEPT_DT")</f>
        <v>#NAME?</v>
      </c>
      <c r="F52" s="23" t="e">
        <f ca="1">_xll.BDP(B52,"CRNCY")</f>
        <v>#NAME?</v>
      </c>
      <c r="G52" s="35" t="e">
        <f ca="1">_xll.BDP(B52,"LAST_PRICE")</f>
        <v>#NAME?</v>
      </c>
      <c r="H52" s="36" t="e">
        <f ca="1">_xll.BDP(B52,"30_DAY_AVERAGE_VOLUME_AT_TIME_RT")</f>
        <v>#NAME?</v>
      </c>
      <c r="I52" s="37" t="e">
        <f ca="1">_xll.BDP(B52,"AVERAGE_BID_ASK_SPREAD_%")</f>
        <v>#NAME?</v>
      </c>
      <c r="J52" s="38" t="e">
        <f ca="1">_xll.BDP(B52,"RT_PX_CHG_NET_1D")</f>
        <v>#NAME?</v>
      </c>
      <c r="K52" s="38" t="e">
        <f ca="1">_xll.BDP(B52,"RT_PX_CHG_PCT_1D")</f>
        <v>#NAME?</v>
      </c>
      <c r="L52" s="38" t="e">
        <f ca="1">_xll.BDP(B52,"CHG_PCT_WTD")</f>
        <v>#NAME?</v>
      </c>
      <c r="M52" s="38" t="e">
        <f ca="1">_xll.BDP(B52,"CHG_PCT_1M_RT")</f>
        <v>#NAME?</v>
      </c>
      <c r="N52" s="38" t="e">
        <f ca="1">_xll.BDP(B52,"CHG_PCT_3M_RT")</f>
        <v>#NAME?</v>
      </c>
      <c r="O52" s="38" t="e">
        <f ca="1">_xll.BDP(B52,"CHG_PCT_6M")</f>
        <v>#NAME?</v>
      </c>
      <c r="P52" s="38" t="e">
        <f ca="1">_xll.BDP(B52,"CHG_PCT_YTD")</f>
        <v>#NAME?</v>
      </c>
      <c r="Q52" s="38" t="e">
        <f ca="1">_xll.BDP(B52,"PRICE_CHANGE_1Y_PCT_RT")</f>
        <v>#NAME?</v>
      </c>
      <c r="R52" s="37" t="e">
        <f ca="1">_xll.BDP(B52,"STANDARD_DEVIATION_3YR")</f>
        <v>#NAME?</v>
      </c>
      <c r="S52" s="37" t="e">
        <f ca="1">_xll.BDP(B52,"EQY_SHARPE_RATIO_3YR")</f>
        <v>#NAME?</v>
      </c>
      <c r="T52" s="37" t="e">
        <f ca="1">_xll.BDP(B52,"FUND_EXPENSE_RATIO")</f>
        <v>#NAME?</v>
      </c>
      <c r="U52" s="39" t="e">
        <f ca="1">_xll.BDP(B52,"TRACKING_ERROR")</f>
        <v>#NAME?</v>
      </c>
    </row>
    <row r="53" spans="2:21" s="25" customFormat="1" ht="38.1" customHeight="1" x14ac:dyDescent="0.5">
      <c r="B53" s="23" t="s">
        <v>93</v>
      </c>
      <c r="C53" s="23" t="s">
        <v>213</v>
      </c>
      <c r="D53" s="23" t="s">
        <v>214</v>
      </c>
      <c r="E53" s="23" t="e">
        <f ca="1">_xll.BDP(B53,"FUND_INCEPT_DT")</f>
        <v>#NAME?</v>
      </c>
      <c r="F53" s="23" t="e">
        <f ca="1">_xll.BDP(B53,"CRNCY")</f>
        <v>#NAME?</v>
      </c>
      <c r="G53" s="35" t="e">
        <f ca="1">_xll.BDP(B53,"LAST_PRICE")</f>
        <v>#NAME?</v>
      </c>
      <c r="H53" s="36" t="e">
        <f ca="1">_xll.BDP(B53,"30_DAY_AVERAGE_VOLUME_AT_TIME_RT")</f>
        <v>#NAME?</v>
      </c>
      <c r="I53" s="37" t="e">
        <f ca="1">_xll.BDP(B53,"AVERAGE_BID_ASK_SPREAD_%")</f>
        <v>#NAME?</v>
      </c>
      <c r="J53" s="38" t="e">
        <f ca="1">_xll.BDP(B53,"RT_PX_CHG_NET_1D")</f>
        <v>#NAME?</v>
      </c>
      <c r="K53" s="38" t="e">
        <f ca="1">_xll.BDP(B53,"RT_PX_CHG_PCT_1D")</f>
        <v>#NAME?</v>
      </c>
      <c r="L53" s="38" t="e">
        <f ca="1">_xll.BDP(B53,"CHG_PCT_WTD")</f>
        <v>#NAME?</v>
      </c>
      <c r="M53" s="38" t="e">
        <f ca="1">_xll.BDP(B53,"CHG_PCT_1M_RT")</f>
        <v>#NAME?</v>
      </c>
      <c r="N53" s="38" t="e">
        <f ca="1">_xll.BDP(B53,"CHG_PCT_3M_RT")</f>
        <v>#NAME?</v>
      </c>
      <c r="O53" s="38" t="e">
        <f ca="1">_xll.BDP(B53,"CHG_PCT_6M")</f>
        <v>#NAME?</v>
      </c>
      <c r="P53" s="38" t="e">
        <f ca="1">_xll.BDP(B53,"CHG_PCT_YTD")</f>
        <v>#NAME?</v>
      </c>
      <c r="Q53" s="38" t="e">
        <f ca="1">_xll.BDP(B53,"PRICE_CHANGE_1Y_PCT_RT")</f>
        <v>#NAME?</v>
      </c>
      <c r="R53" s="37" t="e">
        <f ca="1">_xll.BDP(B53,"STANDARD_DEVIATION_3YR")</f>
        <v>#NAME?</v>
      </c>
      <c r="S53" s="37" t="e">
        <f ca="1">_xll.BDP(B53,"EQY_SHARPE_RATIO_3YR")</f>
        <v>#NAME?</v>
      </c>
      <c r="T53" s="37" t="e">
        <f ca="1">_xll.BDP(B53,"FUND_EXPENSE_RATIO")</f>
        <v>#NAME?</v>
      </c>
      <c r="U53" s="39" t="e">
        <f ca="1">_xll.BDP(B53,"TRACKING_ERROR")</f>
        <v>#NAME?</v>
      </c>
    </row>
    <row r="54" spans="2:21" s="25" customFormat="1" ht="38.1" customHeight="1" x14ac:dyDescent="0.5">
      <c r="B54" s="23" t="s">
        <v>94</v>
      </c>
      <c r="C54" s="23" t="s">
        <v>215</v>
      </c>
      <c r="D54" s="23" t="s">
        <v>216</v>
      </c>
      <c r="E54" s="23" t="e">
        <f ca="1">_xll.BDP(B54,"FUND_INCEPT_DT")</f>
        <v>#NAME?</v>
      </c>
      <c r="F54" s="23" t="e">
        <f ca="1">_xll.BDP(B54,"CRNCY")</f>
        <v>#NAME?</v>
      </c>
      <c r="G54" s="35" t="e">
        <f ca="1">_xll.BDP(B54,"LAST_PRICE")</f>
        <v>#NAME?</v>
      </c>
      <c r="H54" s="36" t="e">
        <f ca="1">_xll.BDP(B54,"30_DAY_AVERAGE_VOLUME_AT_TIME_RT")</f>
        <v>#NAME?</v>
      </c>
      <c r="I54" s="37" t="e">
        <f ca="1">_xll.BDP(B54,"AVERAGE_BID_ASK_SPREAD_%")</f>
        <v>#NAME?</v>
      </c>
      <c r="J54" s="38" t="e">
        <f ca="1">_xll.BDP(B54,"RT_PX_CHG_NET_1D")</f>
        <v>#NAME?</v>
      </c>
      <c r="K54" s="38" t="e">
        <f ca="1">_xll.BDP(B54,"RT_PX_CHG_PCT_1D")</f>
        <v>#NAME?</v>
      </c>
      <c r="L54" s="38" t="e">
        <f ca="1">_xll.BDP(B54,"CHG_PCT_WTD")</f>
        <v>#NAME?</v>
      </c>
      <c r="M54" s="38" t="e">
        <f ca="1">_xll.BDP(B54,"CHG_PCT_1M_RT")</f>
        <v>#NAME?</v>
      </c>
      <c r="N54" s="38" t="e">
        <f ca="1">_xll.BDP(B54,"CHG_PCT_3M_RT")</f>
        <v>#NAME?</v>
      </c>
      <c r="O54" s="38" t="e">
        <f ca="1">_xll.BDP(B54,"CHG_PCT_6M")</f>
        <v>#NAME?</v>
      </c>
      <c r="P54" s="38" t="e">
        <f ca="1">_xll.BDP(B54,"CHG_PCT_YTD")</f>
        <v>#NAME?</v>
      </c>
      <c r="Q54" s="38" t="e">
        <f ca="1">_xll.BDP(B54,"PRICE_CHANGE_1Y_PCT_RT")</f>
        <v>#NAME?</v>
      </c>
      <c r="R54" s="37" t="e">
        <f ca="1">_xll.BDP(B54,"STANDARD_DEVIATION_3YR")</f>
        <v>#NAME?</v>
      </c>
      <c r="S54" s="37" t="e">
        <f ca="1">_xll.BDP(B54,"EQY_SHARPE_RATIO_3YR")</f>
        <v>#NAME?</v>
      </c>
      <c r="T54" s="37" t="e">
        <f ca="1">_xll.BDP(B54,"FUND_EXPENSE_RATIO")</f>
        <v>#NAME?</v>
      </c>
      <c r="U54" s="39" t="e">
        <f ca="1">_xll.BDP(B54,"TRACKING_ERROR")</f>
        <v>#NAME?</v>
      </c>
    </row>
    <row r="55" spans="2:21" s="25" customFormat="1" ht="38.1" customHeight="1" x14ac:dyDescent="0.5">
      <c r="B55" s="23" t="s">
        <v>95</v>
      </c>
      <c r="C55" s="23" t="s">
        <v>217</v>
      </c>
      <c r="D55" s="23" t="s">
        <v>218</v>
      </c>
      <c r="E55" s="23" t="e">
        <f ca="1">_xll.BDP(B55,"FUND_INCEPT_DT")</f>
        <v>#NAME?</v>
      </c>
      <c r="F55" s="23" t="e">
        <f ca="1">_xll.BDP(B55,"CRNCY")</f>
        <v>#NAME?</v>
      </c>
      <c r="G55" s="35" t="e">
        <f ca="1">_xll.BDP(B55,"LAST_PRICE")</f>
        <v>#NAME?</v>
      </c>
      <c r="H55" s="36" t="e">
        <f ca="1">_xll.BDP(B55,"30_DAY_AVERAGE_VOLUME_AT_TIME_RT")</f>
        <v>#NAME?</v>
      </c>
      <c r="I55" s="37" t="e">
        <f ca="1">_xll.BDP(B55,"AVERAGE_BID_ASK_SPREAD_%")</f>
        <v>#NAME?</v>
      </c>
      <c r="J55" s="38" t="e">
        <f ca="1">_xll.BDP(B55,"RT_PX_CHG_NET_1D")</f>
        <v>#NAME?</v>
      </c>
      <c r="K55" s="38" t="e">
        <f ca="1">_xll.BDP(B55,"RT_PX_CHG_PCT_1D")</f>
        <v>#NAME?</v>
      </c>
      <c r="L55" s="38" t="e">
        <f ca="1">_xll.BDP(B55,"CHG_PCT_WTD")</f>
        <v>#NAME?</v>
      </c>
      <c r="M55" s="38" t="e">
        <f ca="1">_xll.BDP(B55,"CHG_PCT_1M_RT")</f>
        <v>#NAME?</v>
      </c>
      <c r="N55" s="38" t="e">
        <f ca="1">_xll.BDP(B55,"CHG_PCT_3M_RT")</f>
        <v>#NAME?</v>
      </c>
      <c r="O55" s="38" t="e">
        <f ca="1">_xll.BDP(B55,"CHG_PCT_6M")</f>
        <v>#NAME?</v>
      </c>
      <c r="P55" s="38" t="e">
        <f ca="1">_xll.BDP(B55,"CHG_PCT_YTD")</f>
        <v>#NAME?</v>
      </c>
      <c r="Q55" s="38" t="e">
        <f ca="1">_xll.BDP(B55,"PRICE_CHANGE_1Y_PCT_RT")</f>
        <v>#NAME?</v>
      </c>
      <c r="R55" s="37" t="e">
        <f ca="1">_xll.BDP(B55,"STANDARD_DEVIATION_3YR")</f>
        <v>#NAME?</v>
      </c>
      <c r="S55" s="37" t="e">
        <f ca="1">_xll.BDP(B55,"EQY_SHARPE_RATIO_3YR")</f>
        <v>#NAME?</v>
      </c>
      <c r="T55" s="37" t="e">
        <f ca="1">_xll.BDP(B55,"FUND_EXPENSE_RATIO")</f>
        <v>#NAME?</v>
      </c>
      <c r="U55" s="39" t="e">
        <f ca="1">_xll.BDP(B55,"TRACKING_ERROR")</f>
        <v>#NAME?</v>
      </c>
    </row>
    <row r="56" spans="2:21" s="25" customFormat="1" ht="38.1" customHeight="1" x14ac:dyDescent="0.5">
      <c r="B56" s="23" t="s">
        <v>96</v>
      </c>
      <c r="C56" s="23" t="s">
        <v>219</v>
      </c>
      <c r="D56" s="23" t="s">
        <v>218</v>
      </c>
      <c r="E56" s="23" t="e">
        <f ca="1">_xll.BDP(B56,"FUND_INCEPT_DT")</f>
        <v>#NAME?</v>
      </c>
      <c r="F56" s="23" t="e">
        <f ca="1">_xll.BDP(B56,"CRNCY")</f>
        <v>#NAME?</v>
      </c>
      <c r="G56" s="35" t="e">
        <f ca="1">_xll.BDP(B56,"LAST_PRICE")</f>
        <v>#NAME?</v>
      </c>
      <c r="H56" s="36" t="e">
        <f ca="1">_xll.BDP(B56,"30_DAY_AVERAGE_VOLUME_AT_TIME_RT")</f>
        <v>#NAME?</v>
      </c>
      <c r="I56" s="37" t="e">
        <f ca="1">_xll.BDP(B56,"AVERAGE_BID_ASK_SPREAD_%")</f>
        <v>#NAME?</v>
      </c>
      <c r="J56" s="38" t="e">
        <f ca="1">_xll.BDP(B56,"RT_PX_CHG_NET_1D")</f>
        <v>#NAME?</v>
      </c>
      <c r="K56" s="38" t="e">
        <f ca="1">_xll.BDP(B56,"RT_PX_CHG_PCT_1D")</f>
        <v>#NAME?</v>
      </c>
      <c r="L56" s="38" t="e">
        <f ca="1">_xll.BDP(B56,"CHG_PCT_WTD")</f>
        <v>#NAME?</v>
      </c>
      <c r="M56" s="38" t="e">
        <f ca="1">_xll.BDP(B56,"CHG_PCT_1M_RT")</f>
        <v>#NAME?</v>
      </c>
      <c r="N56" s="38" t="e">
        <f ca="1">_xll.BDP(B56,"CHG_PCT_3M_RT")</f>
        <v>#NAME?</v>
      </c>
      <c r="O56" s="38" t="e">
        <f ca="1">_xll.BDP(B56,"CHG_PCT_6M")</f>
        <v>#NAME?</v>
      </c>
      <c r="P56" s="38" t="e">
        <f ca="1">_xll.BDP(B56,"CHG_PCT_YTD")</f>
        <v>#NAME?</v>
      </c>
      <c r="Q56" s="38" t="e">
        <f ca="1">_xll.BDP(B56,"PRICE_CHANGE_1Y_PCT_RT")</f>
        <v>#NAME?</v>
      </c>
      <c r="R56" s="37" t="e">
        <f ca="1">_xll.BDP(B56,"STANDARD_DEVIATION_3YR")</f>
        <v>#NAME?</v>
      </c>
      <c r="S56" s="37" t="e">
        <f ca="1">_xll.BDP(B56,"EQY_SHARPE_RATIO_3YR")</f>
        <v>#NAME?</v>
      </c>
      <c r="T56" s="37" t="e">
        <f ca="1">_xll.BDP(B56,"FUND_EXPENSE_RATIO")</f>
        <v>#NAME?</v>
      </c>
      <c r="U56" s="39" t="e">
        <f ca="1">_xll.BDP(B56,"TRACKING_ERROR")</f>
        <v>#NAME?</v>
      </c>
    </row>
    <row r="57" spans="2:21" s="25" customFormat="1" ht="38.1" customHeight="1" x14ac:dyDescent="0.5">
      <c r="B57" s="27" t="s">
        <v>220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4"/>
    </row>
    <row r="58" spans="2:21" s="25" customFormat="1" ht="38.1" customHeight="1" x14ac:dyDescent="0.5">
      <c r="B58" s="23" t="s">
        <v>97</v>
      </c>
      <c r="C58" s="23" t="s">
        <v>221</v>
      </c>
      <c r="D58" s="23" t="s">
        <v>222</v>
      </c>
      <c r="E58" s="23" t="e">
        <f ca="1">_xll.BDP(B58,"FUND_INCEPT_DT")</f>
        <v>#NAME?</v>
      </c>
      <c r="F58" s="23" t="e">
        <f ca="1">_xll.BDP(B58,"CRNCY")</f>
        <v>#NAME?</v>
      </c>
      <c r="G58" s="35" t="e">
        <f ca="1">_xll.BDP(B58,"LAST_PRICE")</f>
        <v>#NAME?</v>
      </c>
      <c r="H58" s="36" t="e">
        <f ca="1">_xll.BDP(B58,"30_DAY_AVERAGE_VOLUME_AT_TIME_RT")</f>
        <v>#NAME?</v>
      </c>
      <c r="I58" s="37" t="e">
        <f ca="1">_xll.BDP(B58,"AVERAGE_BID_ASK_SPREAD_%")</f>
        <v>#NAME?</v>
      </c>
      <c r="J58" s="38" t="e">
        <f ca="1">_xll.BDP(B58,"RT_PX_CHG_NET_1D")</f>
        <v>#NAME?</v>
      </c>
      <c r="K58" s="38" t="e">
        <f ca="1">_xll.BDP(B58,"RT_PX_CHG_PCT_1D")</f>
        <v>#NAME?</v>
      </c>
      <c r="L58" s="38" t="e">
        <f ca="1">_xll.BDP(B58,"CHG_PCT_WTD")</f>
        <v>#NAME?</v>
      </c>
      <c r="M58" s="38" t="e">
        <f ca="1">_xll.BDP(B58,"CHG_PCT_1M_RT")</f>
        <v>#NAME?</v>
      </c>
      <c r="N58" s="38" t="e">
        <f ca="1">_xll.BDP(B58,"CHG_PCT_3M_RT")</f>
        <v>#NAME?</v>
      </c>
      <c r="O58" s="38" t="e">
        <f ca="1">_xll.BDP(B58,"CHG_PCT_6M")</f>
        <v>#NAME?</v>
      </c>
      <c r="P58" s="38" t="e">
        <f ca="1">_xll.BDP(B58,"CHG_PCT_YTD")</f>
        <v>#NAME?</v>
      </c>
      <c r="Q58" s="38" t="e">
        <f ca="1">_xll.BDP(B58,"PRICE_CHANGE_1Y_PCT_RT")</f>
        <v>#NAME?</v>
      </c>
      <c r="R58" s="37" t="e">
        <f ca="1">_xll.BDP(B58,"STANDARD_DEVIATION_3YR")</f>
        <v>#NAME?</v>
      </c>
      <c r="S58" s="37" t="e">
        <f ca="1">_xll.BDP(B58,"EQY_SHARPE_RATIO_3YR")</f>
        <v>#NAME?</v>
      </c>
      <c r="T58" s="37" t="e">
        <f ca="1">_xll.BDP(B58,"FUND_EXPENSE_RATIO")</f>
        <v>#NAME?</v>
      </c>
      <c r="U58" s="39" t="e">
        <f ca="1">_xll.BDP(B58,"TRACKING_ERROR")</f>
        <v>#NAME?</v>
      </c>
    </row>
    <row r="59" spans="2:21" s="25" customFormat="1" ht="38.1" customHeight="1" x14ac:dyDescent="0.5">
      <c r="B59" s="23" t="s">
        <v>98</v>
      </c>
      <c r="C59" s="23" t="s">
        <v>223</v>
      </c>
      <c r="D59" s="23" t="s">
        <v>224</v>
      </c>
      <c r="E59" s="23" t="e">
        <f ca="1">_xll.BDP(B59,"FUND_INCEPT_DT")</f>
        <v>#NAME?</v>
      </c>
      <c r="F59" s="23" t="e">
        <f ca="1">_xll.BDP(B59,"CRNCY")</f>
        <v>#NAME?</v>
      </c>
      <c r="G59" s="35" t="e">
        <f ca="1">_xll.BDP(B59,"LAST_PRICE")</f>
        <v>#NAME?</v>
      </c>
      <c r="H59" s="36" t="e">
        <f ca="1">_xll.BDP(B59,"30_DAY_AVERAGE_VOLUME_AT_TIME_RT")</f>
        <v>#NAME?</v>
      </c>
      <c r="I59" s="37" t="e">
        <f ca="1">_xll.BDP(B59,"AVERAGE_BID_ASK_SPREAD_%")</f>
        <v>#NAME?</v>
      </c>
      <c r="J59" s="38" t="e">
        <f ca="1">_xll.BDP(B59,"RT_PX_CHG_NET_1D")</f>
        <v>#NAME?</v>
      </c>
      <c r="K59" s="38" t="e">
        <f ca="1">_xll.BDP(B59,"RT_PX_CHG_PCT_1D")</f>
        <v>#NAME?</v>
      </c>
      <c r="L59" s="38" t="e">
        <f ca="1">_xll.BDP(B59,"CHG_PCT_WTD")</f>
        <v>#NAME?</v>
      </c>
      <c r="M59" s="38" t="e">
        <f ca="1">_xll.BDP(B59,"CHG_PCT_1M_RT")</f>
        <v>#NAME?</v>
      </c>
      <c r="N59" s="38" t="e">
        <f ca="1">_xll.BDP(B59,"CHG_PCT_3M_RT")</f>
        <v>#NAME?</v>
      </c>
      <c r="O59" s="38" t="e">
        <f ca="1">_xll.BDP(B59,"CHG_PCT_6M")</f>
        <v>#NAME?</v>
      </c>
      <c r="P59" s="38" t="e">
        <f ca="1">_xll.BDP(B59,"CHG_PCT_YTD")</f>
        <v>#NAME?</v>
      </c>
      <c r="Q59" s="38" t="e">
        <f ca="1">_xll.BDP(B59,"PRICE_CHANGE_1Y_PCT_RT")</f>
        <v>#NAME?</v>
      </c>
      <c r="R59" s="37" t="e">
        <f ca="1">_xll.BDP(B59,"STANDARD_DEVIATION_3YR")</f>
        <v>#NAME?</v>
      </c>
      <c r="S59" s="37" t="e">
        <f ca="1">_xll.BDP(B59,"EQY_SHARPE_RATIO_3YR")</f>
        <v>#NAME?</v>
      </c>
      <c r="T59" s="37" t="e">
        <f ca="1">_xll.BDP(B59,"FUND_EXPENSE_RATIO")</f>
        <v>#NAME?</v>
      </c>
      <c r="U59" s="39" t="e">
        <f ca="1">_xll.BDP(B59,"TRACKING_ERROR")</f>
        <v>#NAME?</v>
      </c>
    </row>
    <row r="60" spans="2:21" s="25" customFormat="1" ht="38.1" customHeight="1" x14ac:dyDescent="0.5">
      <c r="B60" s="23" t="s">
        <v>99</v>
      </c>
      <c r="C60" s="23" t="s">
        <v>225</v>
      </c>
      <c r="D60" s="23" t="s">
        <v>226</v>
      </c>
      <c r="E60" s="23" t="e">
        <f ca="1">_xll.BDP(B60,"FUND_INCEPT_DT")</f>
        <v>#NAME?</v>
      </c>
      <c r="F60" s="23" t="e">
        <f ca="1">_xll.BDP(B60,"CRNCY")</f>
        <v>#NAME?</v>
      </c>
      <c r="G60" s="35" t="e">
        <f ca="1">_xll.BDP(B60,"LAST_PRICE")</f>
        <v>#NAME?</v>
      </c>
      <c r="H60" s="36" t="e">
        <f ca="1">_xll.BDP(B60,"30_DAY_AVERAGE_VOLUME_AT_TIME_RT")</f>
        <v>#NAME?</v>
      </c>
      <c r="I60" s="37" t="e">
        <f ca="1">_xll.BDP(B60,"AVERAGE_BID_ASK_SPREAD_%")</f>
        <v>#NAME?</v>
      </c>
      <c r="J60" s="38" t="e">
        <f ca="1">_xll.BDP(B60,"RT_PX_CHG_NET_1D")</f>
        <v>#NAME?</v>
      </c>
      <c r="K60" s="38" t="e">
        <f ca="1">_xll.BDP(B60,"RT_PX_CHG_PCT_1D")</f>
        <v>#NAME?</v>
      </c>
      <c r="L60" s="38" t="e">
        <f ca="1">_xll.BDP(B60,"CHG_PCT_WTD")</f>
        <v>#NAME?</v>
      </c>
      <c r="M60" s="38" t="e">
        <f ca="1">_xll.BDP(B60,"CHG_PCT_1M_RT")</f>
        <v>#NAME?</v>
      </c>
      <c r="N60" s="38" t="e">
        <f ca="1">_xll.BDP(B60,"CHG_PCT_3M_RT")</f>
        <v>#NAME?</v>
      </c>
      <c r="O60" s="38" t="e">
        <f ca="1">_xll.BDP(B60,"CHG_PCT_6M")</f>
        <v>#NAME?</v>
      </c>
      <c r="P60" s="38" t="e">
        <f ca="1">_xll.BDP(B60,"CHG_PCT_YTD")</f>
        <v>#NAME?</v>
      </c>
      <c r="Q60" s="38" t="e">
        <f ca="1">_xll.BDP(B60,"PRICE_CHANGE_1Y_PCT_RT")</f>
        <v>#NAME?</v>
      </c>
      <c r="R60" s="37" t="e">
        <f ca="1">_xll.BDP(B60,"STANDARD_DEVIATION_3YR")</f>
        <v>#NAME?</v>
      </c>
      <c r="S60" s="37" t="e">
        <f ca="1">_xll.BDP(B60,"EQY_SHARPE_RATIO_3YR")</f>
        <v>#NAME?</v>
      </c>
      <c r="T60" s="37" t="e">
        <f ca="1">_xll.BDP(B60,"FUND_EXPENSE_RATIO")</f>
        <v>#NAME?</v>
      </c>
      <c r="U60" s="39" t="e">
        <f ca="1">_xll.BDP(B60,"TRACKING_ERROR")</f>
        <v>#NAME?</v>
      </c>
    </row>
    <row r="61" spans="2:21" s="25" customFormat="1" ht="38.1" customHeight="1" x14ac:dyDescent="0.5">
      <c r="B61" s="23" t="s">
        <v>100</v>
      </c>
      <c r="C61" s="23" t="s">
        <v>227</v>
      </c>
      <c r="D61" s="23" t="s">
        <v>228</v>
      </c>
      <c r="E61" s="23" t="e">
        <f ca="1">_xll.BDP(B61,"FUND_INCEPT_DT")</f>
        <v>#NAME?</v>
      </c>
      <c r="F61" s="23" t="e">
        <f ca="1">_xll.BDP(B61,"CRNCY")</f>
        <v>#NAME?</v>
      </c>
      <c r="G61" s="35" t="e">
        <f ca="1">_xll.BDP(B61,"LAST_PRICE")</f>
        <v>#NAME?</v>
      </c>
      <c r="H61" s="36" t="e">
        <f ca="1">_xll.BDP(B61,"30_DAY_AVERAGE_VOLUME_AT_TIME_RT")</f>
        <v>#NAME?</v>
      </c>
      <c r="I61" s="37" t="e">
        <f ca="1">_xll.BDP(B61,"AVERAGE_BID_ASK_SPREAD_%")</f>
        <v>#NAME?</v>
      </c>
      <c r="J61" s="38" t="e">
        <f ca="1">_xll.BDP(B61,"RT_PX_CHG_NET_1D")</f>
        <v>#NAME?</v>
      </c>
      <c r="K61" s="38" t="e">
        <f ca="1">_xll.BDP(B61,"RT_PX_CHG_PCT_1D")</f>
        <v>#NAME?</v>
      </c>
      <c r="L61" s="38" t="e">
        <f ca="1">_xll.BDP(B61,"CHG_PCT_WTD")</f>
        <v>#NAME?</v>
      </c>
      <c r="M61" s="38" t="e">
        <f ca="1">_xll.BDP(B61,"CHG_PCT_1M_RT")</f>
        <v>#NAME?</v>
      </c>
      <c r="N61" s="38" t="e">
        <f ca="1">_xll.BDP(B61,"CHG_PCT_3M_RT")</f>
        <v>#NAME?</v>
      </c>
      <c r="O61" s="38" t="e">
        <f ca="1">_xll.BDP(B61,"CHG_PCT_6M")</f>
        <v>#NAME?</v>
      </c>
      <c r="P61" s="38" t="e">
        <f ca="1">_xll.BDP(B61,"CHG_PCT_YTD")</f>
        <v>#NAME?</v>
      </c>
      <c r="Q61" s="38" t="e">
        <f ca="1">_xll.BDP(B61,"PRICE_CHANGE_1Y_PCT_RT")</f>
        <v>#NAME?</v>
      </c>
      <c r="R61" s="37" t="e">
        <f ca="1">_xll.BDP(B61,"STANDARD_DEVIATION_3YR")</f>
        <v>#NAME?</v>
      </c>
      <c r="S61" s="37" t="e">
        <f ca="1">_xll.BDP(B61,"EQY_SHARPE_RATIO_3YR")</f>
        <v>#NAME?</v>
      </c>
      <c r="T61" s="37" t="e">
        <f ca="1">_xll.BDP(B61,"FUND_EXPENSE_RATIO")</f>
        <v>#NAME?</v>
      </c>
      <c r="U61" s="39" t="e">
        <f ca="1">_xll.BDP(B61,"TRACKING_ERROR")</f>
        <v>#NAME?</v>
      </c>
    </row>
    <row r="62" spans="2:21" s="25" customFormat="1" ht="38.1" customHeight="1" x14ac:dyDescent="0.5">
      <c r="B62" s="23" t="s">
        <v>101</v>
      </c>
      <c r="C62" s="23" t="s">
        <v>229</v>
      </c>
      <c r="D62" s="23" t="s">
        <v>230</v>
      </c>
      <c r="E62" s="23" t="e">
        <f ca="1">_xll.BDP(B62,"FUND_INCEPT_DT")</f>
        <v>#NAME?</v>
      </c>
      <c r="F62" s="23" t="e">
        <f ca="1">_xll.BDP(B62,"CRNCY")</f>
        <v>#NAME?</v>
      </c>
      <c r="G62" s="35" t="e">
        <f ca="1">_xll.BDP(B62,"LAST_PRICE")</f>
        <v>#NAME?</v>
      </c>
      <c r="H62" s="36" t="e">
        <f ca="1">_xll.BDP(B62,"30_DAY_AVERAGE_VOLUME_AT_TIME_RT")</f>
        <v>#NAME?</v>
      </c>
      <c r="I62" s="37" t="e">
        <f ca="1">_xll.BDP(B62,"AVERAGE_BID_ASK_SPREAD_%")</f>
        <v>#NAME?</v>
      </c>
      <c r="J62" s="38" t="e">
        <f ca="1">_xll.BDP(B62,"RT_PX_CHG_NET_1D")</f>
        <v>#NAME?</v>
      </c>
      <c r="K62" s="38" t="e">
        <f ca="1">_xll.BDP(B62,"RT_PX_CHG_PCT_1D")</f>
        <v>#NAME?</v>
      </c>
      <c r="L62" s="38" t="e">
        <f ca="1">_xll.BDP(B62,"CHG_PCT_WTD")</f>
        <v>#NAME?</v>
      </c>
      <c r="M62" s="38" t="e">
        <f ca="1">_xll.BDP(B62,"CHG_PCT_1M_RT")</f>
        <v>#NAME?</v>
      </c>
      <c r="N62" s="38" t="e">
        <f ca="1">_xll.BDP(B62,"CHG_PCT_3M_RT")</f>
        <v>#NAME?</v>
      </c>
      <c r="O62" s="38" t="e">
        <f ca="1">_xll.BDP(B62,"CHG_PCT_6M")</f>
        <v>#NAME?</v>
      </c>
      <c r="P62" s="38" t="e">
        <f ca="1">_xll.BDP(B62,"CHG_PCT_YTD")</f>
        <v>#NAME?</v>
      </c>
      <c r="Q62" s="38" t="e">
        <f ca="1">_xll.BDP(B62,"PRICE_CHANGE_1Y_PCT_RT")</f>
        <v>#NAME?</v>
      </c>
      <c r="R62" s="37" t="e">
        <f ca="1">_xll.BDP(B62,"STANDARD_DEVIATION_3YR")</f>
        <v>#NAME?</v>
      </c>
      <c r="S62" s="37" t="e">
        <f ca="1">_xll.BDP(B62,"EQY_SHARPE_RATIO_3YR")</f>
        <v>#NAME?</v>
      </c>
      <c r="T62" s="37" t="e">
        <f ca="1">_xll.BDP(B62,"FUND_EXPENSE_RATIO")</f>
        <v>#NAME?</v>
      </c>
      <c r="U62" s="39" t="e">
        <f ca="1">_xll.BDP(B62,"TRACKING_ERROR")</f>
        <v>#NAME?</v>
      </c>
    </row>
    <row r="63" spans="2:21" s="25" customFormat="1" ht="38.1" customHeight="1" x14ac:dyDescent="0.5">
      <c r="B63" s="23" t="s">
        <v>102</v>
      </c>
      <c r="C63" s="23" t="s">
        <v>231</v>
      </c>
      <c r="D63" s="23" t="s">
        <v>232</v>
      </c>
      <c r="E63" s="23" t="e">
        <f ca="1">_xll.BDP(B63,"FUND_INCEPT_DT")</f>
        <v>#NAME?</v>
      </c>
      <c r="F63" s="23" t="e">
        <f ca="1">_xll.BDP(B63,"CRNCY")</f>
        <v>#NAME?</v>
      </c>
      <c r="G63" s="35" t="e">
        <f ca="1">_xll.BDP(B63,"LAST_PRICE")</f>
        <v>#NAME?</v>
      </c>
      <c r="H63" s="36" t="e">
        <f ca="1">_xll.BDP(B63,"30_DAY_AVERAGE_VOLUME_AT_TIME_RT")</f>
        <v>#NAME?</v>
      </c>
      <c r="I63" s="37" t="e">
        <f ca="1">_xll.BDP(B63,"AVERAGE_BID_ASK_SPREAD_%")</f>
        <v>#NAME?</v>
      </c>
      <c r="J63" s="38" t="e">
        <f ca="1">_xll.BDP(B63,"RT_PX_CHG_NET_1D")</f>
        <v>#NAME?</v>
      </c>
      <c r="K63" s="38" t="e">
        <f ca="1">_xll.BDP(B63,"RT_PX_CHG_PCT_1D")</f>
        <v>#NAME?</v>
      </c>
      <c r="L63" s="38" t="e">
        <f ca="1">_xll.BDP(B63,"CHG_PCT_WTD")</f>
        <v>#NAME?</v>
      </c>
      <c r="M63" s="38" t="e">
        <f ca="1">_xll.BDP(B63,"CHG_PCT_1M_RT")</f>
        <v>#NAME?</v>
      </c>
      <c r="N63" s="38" t="e">
        <f ca="1">_xll.BDP(B63,"CHG_PCT_3M_RT")</f>
        <v>#NAME?</v>
      </c>
      <c r="O63" s="38" t="e">
        <f ca="1">_xll.BDP(B63,"CHG_PCT_6M")</f>
        <v>#NAME?</v>
      </c>
      <c r="P63" s="38" t="e">
        <f ca="1">_xll.BDP(B63,"CHG_PCT_YTD")</f>
        <v>#NAME?</v>
      </c>
      <c r="Q63" s="38" t="e">
        <f ca="1">_xll.BDP(B63,"PRICE_CHANGE_1Y_PCT_RT")</f>
        <v>#NAME?</v>
      </c>
      <c r="R63" s="37" t="e">
        <f ca="1">_xll.BDP(B63,"STANDARD_DEVIATION_3YR")</f>
        <v>#NAME?</v>
      </c>
      <c r="S63" s="37" t="e">
        <f ca="1">_xll.BDP(B63,"EQY_SHARPE_RATIO_3YR")</f>
        <v>#NAME?</v>
      </c>
      <c r="T63" s="37" t="e">
        <f ca="1">_xll.BDP(B63,"FUND_EXPENSE_RATIO")</f>
        <v>#NAME?</v>
      </c>
      <c r="U63" s="39" t="e">
        <f ca="1">_xll.BDP(B63,"TRACKING_ERROR")</f>
        <v>#NAME?</v>
      </c>
    </row>
    <row r="64" spans="2:21" ht="38.1" customHeight="1" x14ac:dyDescent="0.5">
      <c r="B64" s="23" t="s">
        <v>103</v>
      </c>
      <c r="C64" s="23" t="s">
        <v>233</v>
      </c>
      <c r="D64" s="23" t="s">
        <v>234</v>
      </c>
      <c r="E64" s="23" t="e">
        <f ca="1">_xll.BDP(B64,"FUND_INCEPT_DT")</f>
        <v>#NAME?</v>
      </c>
      <c r="F64" s="23" t="e">
        <f ca="1">_xll.BDP(B64,"CRNCY")</f>
        <v>#NAME?</v>
      </c>
      <c r="G64" s="35" t="e">
        <f ca="1">_xll.BDP(B64,"LAST_PRICE")</f>
        <v>#NAME?</v>
      </c>
      <c r="H64" s="36" t="e">
        <f ca="1">_xll.BDP(B64,"30_DAY_AVERAGE_VOLUME_AT_TIME_RT")</f>
        <v>#NAME?</v>
      </c>
      <c r="I64" s="37" t="e">
        <f ca="1">_xll.BDP(B64,"AVERAGE_BID_ASK_SPREAD_%")</f>
        <v>#NAME?</v>
      </c>
      <c r="J64" s="38" t="e">
        <f ca="1">_xll.BDP(B64,"RT_PX_CHG_NET_1D")</f>
        <v>#NAME?</v>
      </c>
      <c r="K64" s="38" t="e">
        <f ca="1">_xll.BDP(B64,"RT_PX_CHG_PCT_1D")</f>
        <v>#NAME?</v>
      </c>
      <c r="L64" s="38" t="e">
        <f ca="1">_xll.BDP(B64,"CHG_PCT_WTD")</f>
        <v>#NAME?</v>
      </c>
      <c r="M64" s="38" t="e">
        <f ca="1">_xll.BDP(B64,"CHG_PCT_1M_RT")</f>
        <v>#NAME?</v>
      </c>
      <c r="N64" s="38" t="e">
        <f ca="1">_xll.BDP(B64,"CHG_PCT_3M_RT")</f>
        <v>#NAME?</v>
      </c>
      <c r="O64" s="38" t="e">
        <f ca="1">_xll.BDP(B64,"CHG_PCT_6M")</f>
        <v>#NAME?</v>
      </c>
      <c r="P64" s="38" t="e">
        <f ca="1">_xll.BDP(B64,"CHG_PCT_YTD")</f>
        <v>#NAME?</v>
      </c>
      <c r="Q64" s="38" t="e">
        <f ca="1">_xll.BDP(B64,"PRICE_CHANGE_1Y_PCT_RT")</f>
        <v>#NAME?</v>
      </c>
      <c r="R64" s="37" t="e">
        <f ca="1">_xll.BDP(B64,"STANDARD_DEVIATION_3YR")</f>
        <v>#NAME?</v>
      </c>
      <c r="S64" s="37" t="e">
        <f ca="1">_xll.BDP(B64,"EQY_SHARPE_RATIO_3YR")</f>
        <v>#NAME?</v>
      </c>
      <c r="T64" s="37" t="e">
        <f ca="1">_xll.BDP(B64,"FUND_EXPENSE_RATIO")</f>
        <v>#NAME?</v>
      </c>
      <c r="U64" s="39" t="e">
        <f ca="1">_xll.BDP(B64,"TRACKING_ERROR")</f>
        <v>#NAME?</v>
      </c>
    </row>
    <row r="65" spans="2:21" ht="38.1" customHeight="1" x14ac:dyDescent="0.5">
      <c r="B65" s="27" t="s">
        <v>235</v>
      </c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4"/>
    </row>
    <row r="66" spans="2:21" ht="38.1" customHeight="1" x14ac:dyDescent="0.5">
      <c r="B66" s="23" t="s">
        <v>104</v>
      </c>
      <c r="C66" s="23" t="s">
        <v>236</v>
      </c>
      <c r="D66" s="23" t="s">
        <v>237</v>
      </c>
      <c r="E66" s="23" t="e">
        <f ca="1">_xll.BDP(B66,"FUND_INCEPT_DT")</f>
        <v>#NAME?</v>
      </c>
      <c r="F66" s="23" t="e">
        <f ca="1">_xll.BDP(B66,"CRNCY")</f>
        <v>#NAME?</v>
      </c>
      <c r="G66" s="35" t="e">
        <f ca="1">_xll.BDP(B66,"LAST_PRICE")</f>
        <v>#NAME?</v>
      </c>
      <c r="H66" s="36" t="e">
        <f ca="1">_xll.BDP(B66,"30_DAY_AVERAGE_VOLUME_AT_TIME_RT")</f>
        <v>#NAME?</v>
      </c>
      <c r="I66" s="37" t="e">
        <f ca="1">_xll.BDP(B66,"AVERAGE_BID_ASK_SPREAD_%")</f>
        <v>#NAME?</v>
      </c>
      <c r="J66" s="38" t="e">
        <f ca="1">_xll.BDP(B66,"RT_PX_CHG_NET_1D")</f>
        <v>#NAME?</v>
      </c>
      <c r="K66" s="38" t="e">
        <f ca="1">_xll.BDP(B66,"RT_PX_CHG_PCT_1D")</f>
        <v>#NAME?</v>
      </c>
      <c r="L66" s="38" t="e">
        <f ca="1">_xll.BDP(B66,"CHG_PCT_WTD")</f>
        <v>#NAME?</v>
      </c>
      <c r="M66" s="38" t="e">
        <f ca="1">_xll.BDP(B66,"CHG_PCT_1M_RT")</f>
        <v>#NAME?</v>
      </c>
      <c r="N66" s="38" t="e">
        <f ca="1">_xll.BDP(B66,"CHG_PCT_3M_RT")</f>
        <v>#NAME?</v>
      </c>
      <c r="O66" s="38" t="e">
        <f ca="1">_xll.BDP(B66,"CHG_PCT_6M")</f>
        <v>#NAME?</v>
      </c>
      <c r="P66" s="38" t="e">
        <f ca="1">_xll.BDP(B66,"CHG_PCT_YTD")</f>
        <v>#NAME?</v>
      </c>
      <c r="Q66" s="38" t="e">
        <f ca="1">_xll.BDP(B66,"PRICE_CHANGE_1Y_PCT_RT")</f>
        <v>#NAME?</v>
      </c>
      <c r="R66" s="37" t="e">
        <f ca="1">_xll.BDP(B66,"STANDARD_DEVIATION_3YR")</f>
        <v>#NAME?</v>
      </c>
      <c r="S66" s="37" t="e">
        <f ca="1">_xll.BDP(B66,"EQY_SHARPE_RATIO_3YR")</f>
        <v>#NAME?</v>
      </c>
      <c r="T66" s="37" t="e">
        <f ca="1">_xll.BDP(B66,"FUND_EXPENSE_RATIO")</f>
        <v>#NAME?</v>
      </c>
      <c r="U66" s="39" t="e">
        <f ca="1">_xll.BDP(B66,"TRACKING_ERROR")</f>
        <v>#NAME?</v>
      </c>
    </row>
    <row r="67" spans="2:21" ht="38.1" customHeight="1" x14ac:dyDescent="0.5">
      <c r="B67" s="23" t="s">
        <v>105</v>
      </c>
      <c r="C67" s="23" t="s">
        <v>238</v>
      </c>
      <c r="D67" s="23" t="s">
        <v>239</v>
      </c>
      <c r="E67" s="23" t="e">
        <f ca="1">_xll.BDP(B67,"FUND_INCEPT_DT")</f>
        <v>#NAME?</v>
      </c>
      <c r="F67" s="23" t="e">
        <f ca="1">_xll.BDP(B67,"CRNCY")</f>
        <v>#NAME?</v>
      </c>
      <c r="G67" s="35" t="e">
        <f ca="1">_xll.BDP(B67,"LAST_PRICE")</f>
        <v>#NAME?</v>
      </c>
      <c r="H67" s="36" t="e">
        <f ca="1">_xll.BDP(B67,"30_DAY_AVERAGE_VOLUME_AT_TIME_RT")</f>
        <v>#NAME?</v>
      </c>
      <c r="I67" s="37" t="e">
        <f ca="1">_xll.BDP(B67,"AVERAGE_BID_ASK_SPREAD_%")</f>
        <v>#NAME?</v>
      </c>
      <c r="J67" s="38" t="e">
        <f ca="1">_xll.BDP(B67,"RT_PX_CHG_NET_1D")</f>
        <v>#NAME?</v>
      </c>
      <c r="K67" s="38" t="e">
        <f ca="1">_xll.BDP(B67,"RT_PX_CHG_PCT_1D")</f>
        <v>#NAME?</v>
      </c>
      <c r="L67" s="38" t="e">
        <f ca="1">_xll.BDP(B67,"CHG_PCT_WTD")</f>
        <v>#NAME?</v>
      </c>
      <c r="M67" s="38" t="e">
        <f ca="1">_xll.BDP(B67,"CHG_PCT_1M_RT")</f>
        <v>#NAME?</v>
      </c>
      <c r="N67" s="38" t="e">
        <f ca="1">_xll.BDP(B67,"CHG_PCT_3M_RT")</f>
        <v>#NAME?</v>
      </c>
      <c r="O67" s="38" t="e">
        <f ca="1">_xll.BDP(B67,"CHG_PCT_6M")</f>
        <v>#NAME?</v>
      </c>
      <c r="P67" s="38" t="e">
        <f ca="1">_xll.BDP(B67,"CHG_PCT_YTD")</f>
        <v>#NAME?</v>
      </c>
      <c r="Q67" s="38" t="e">
        <f ca="1">_xll.BDP(B67,"PRICE_CHANGE_1Y_PCT_RT")</f>
        <v>#NAME?</v>
      </c>
      <c r="R67" s="37" t="e">
        <f ca="1">_xll.BDP(B67,"STANDARD_DEVIATION_3YR")</f>
        <v>#NAME?</v>
      </c>
      <c r="S67" s="37" t="e">
        <f ca="1">_xll.BDP(B67,"EQY_SHARPE_RATIO_3YR")</f>
        <v>#NAME?</v>
      </c>
      <c r="T67" s="37" t="e">
        <f ca="1">_xll.BDP(B67,"FUND_EXPENSE_RATIO")</f>
        <v>#NAME?</v>
      </c>
      <c r="U67" s="39" t="e">
        <f ca="1">_xll.BDP(B67,"TRACKING_ERROR")</f>
        <v>#NAME?</v>
      </c>
    </row>
    <row r="68" spans="2:21" ht="38.1" customHeight="1" x14ac:dyDescent="0.5">
      <c r="B68" s="23" t="s">
        <v>106</v>
      </c>
      <c r="C68" s="23" t="s">
        <v>240</v>
      </c>
      <c r="D68" s="23" t="s">
        <v>241</v>
      </c>
      <c r="E68" s="23" t="e">
        <f ca="1">_xll.BDP(B68,"FUND_INCEPT_DT")</f>
        <v>#NAME?</v>
      </c>
      <c r="F68" s="23" t="e">
        <f ca="1">_xll.BDP(B68,"CRNCY")</f>
        <v>#NAME?</v>
      </c>
      <c r="G68" s="35" t="e">
        <f ca="1">_xll.BDP(B68,"LAST_PRICE")</f>
        <v>#NAME?</v>
      </c>
      <c r="H68" s="36" t="e">
        <f ca="1">_xll.BDP(B68,"30_DAY_AVERAGE_VOLUME_AT_TIME_RT")</f>
        <v>#NAME?</v>
      </c>
      <c r="I68" s="37" t="e">
        <f ca="1">_xll.BDP(B68,"AVERAGE_BID_ASK_SPREAD_%")</f>
        <v>#NAME?</v>
      </c>
      <c r="J68" s="38" t="e">
        <f ca="1">_xll.BDP(B68,"RT_PX_CHG_NET_1D")</f>
        <v>#NAME?</v>
      </c>
      <c r="K68" s="38" t="e">
        <f ca="1">_xll.BDP(B68,"RT_PX_CHG_PCT_1D")</f>
        <v>#NAME?</v>
      </c>
      <c r="L68" s="38" t="e">
        <f ca="1">_xll.BDP(B68,"CHG_PCT_WTD")</f>
        <v>#NAME?</v>
      </c>
      <c r="M68" s="38" t="e">
        <f ca="1">_xll.BDP(B68,"CHG_PCT_1M_RT")</f>
        <v>#NAME?</v>
      </c>
      <c r="N68" s="38" t="e">
        <f ca="1">_xll.BDP(B68,"CHG_PCT_3M_RT")</f>
        <v>#NAME?</v>
      </c>
      <c r="O68" s="38" t="e">
        <f ca="1">_xll.BDP(B68,"CHG_PCT_6M")</f>
        <v>#NAME?</v>
      </c>
      <c r="P68" s="38" t="e">
        <f ca="1">_xll.BDP(B68,"CHG_PCT_YTD")</f>
        <v>#NAME?</v>
      </c>
      <c r="Q68" s="38" t="e">
        <f ca="1">_xll.BDP(B68,"PRICE_CHANGE_1Y_PCT_RT")</f>
        <v>#NAME?</v>
      </c>
      <c r="R68" s="37" t="e">
        <f ca="1">_xll.BDP(B68,"STANDARD_DEVIATION_3YR")</f>
        <v>#NAME?</v>
      </c>
      <c r="S68" s="37" t="e">
        <f ca="1">_xll.BDP(B68,"EQY_SHARPE_RATIO_3YR")</f>
        <v>#NAME?</v>
      </c>
      <c r="T68" s="37" t="e">
        <f ca="1">_xll.BDP(B68,"FUND_EXPENSE_RATIO")</f>
        <v>#NAME?</v>
      </c>
      <c r="U68" s="39" t="e">
        <f ca="1">_xll.BDP(B68,"TRACKING_ERROR")</f>
        <v>#NAME?</v>
      </c>
    </row>
    <row r="69" spans="2:21" ht="38.1" customHeight="1" x14ac:dyDescent="0.5">
      <c r="B69" s="23" t="s">
        <v>107</v>
      </c>
      <c r="C69" s="23" t="s">
        <v>242</v>
      </c>
      <c r="D69" s="23" t="s">
        <v>243</v>
      </c>
      <c r="E69" s="23" t="e">
        <f ca="1">_xll.BDP(B69,"FUND_INCEPT_DT")</f>
        <v>#NAME?</v>
      </c>
      <c r="F69" s="23" t="e">
        <f ca="1">_xll.BDP(B69,"CRNCY")</f>
        <v>#NAME?</v>
      </c>
      <c r="G69" s="35" t="e">
        <f ca="1">_xll.BDP(B69,"LAST_PRICE")</f>
        <v>#NAME?</v>
      </c>
      <c r="H69" s="36" t="e">
        <f ca="1">_xll.BDP(B69,"30_DAY_AVERAGE_VOLUME_AT_TIME_RT")</f>
        <v>#NAME?</v>
      </c>
      <c r="I69" s="37" t="e">
        <f ca="1">_xll.BDP(B69,"AVERAGE_BID_ASK_SPREAD_%")</f>
        <v>#NAME?</v>
      </c>
      <c r="J69" s="38" t="e">
        <f ca="1">_xll.BDP(B69,"RT_PX_CHG_NET_1D")</f>
        <v>#NAME?</v>
      </c>
      <c r="K69" s="38" t="e">
        <f ca="1">_xll.BDP(B69,"RT_PX_CHG_PCT_1D")</f>
        <v>#NAME?</v>
      </c>
      <c r="L69" s="38" t="e">
        <f ca="1">_xll.BDP(B69,"CHG_PCT_WTD")</f>
        <v>#NAME?</v>
      </c>
      <c r="M69" s="38" t="e">
        <f ca="1">_xll.BDP(B69,"CHG_PCT_1M_RT")</f>
        <v>#NAME?</v>
      </c>
      <c r="N69" s="38" t="e">
        <f ca="1">_xll.BDP(B69,"CHG_PCT_3M_RT")</f>
        <v>#NAME?</v>
      </c>
      <c r="O69" s="38" t="e">
        <f ca="1">_xll.BDP(B69,"CHG_PCT_6M")</f>
        <v>#NAME?</v>
      </c>
      <c r="P69" s="38" t="e">
        <f ca="1">_xll.BDP(B69,"CHG_PCT_YTD")</f>
        <v>#NAME?</v>
      </c>
      <c r="Q69" s="38" t="e">
        <f ca="1">_xll.BDP(B69,"PRICE_CHANGE_1Y_PCT_RT")</f>
        <v>#NAME?</v>
      </c>
      <c r="R69" s="37" t="e">
        <f ca="1">_xll.BDP(B69,"STANDARD_DEVIATION_3YR")</f>
        <v>#NAME?</v>
      </c>
      <c r="S69" s="37" t="e">
        <f ca="1">_xll.BDP(B69,"EQY_SHARPE_RATIO_3YR")</f>
        <v>#NAME?</v>
      </c>
      <c r="T69" s="37" t="e">
        <f ca="1">_xll.BDP(B69,"FUND_EXPENSE_RATIO")</f>
        <v>#NAME?</v>
      </c>
      <c r="U69" s="39" t="e">
        <f ca="1">_xll.BDP(B69,"TRACKING_ERROR")</f>
        <v>#NAME?</v>
      </c>
    </row>
    <row r="70" spans="2:21" ht="38.1" customHeight="1" x14ac:dyDescent="0.5">
      <c r="B70" s="23" t="s">
        <v>108</v>
      </c>
      <c r="C70" s="23" t="s">
        <v>244</v>
      </c>
      <c r="D70" s="23" t="s">
        <v>245</v>
      </c>
      <c r="E70" s="23" t="e">
        <f ca="1">_xll.BDP(B70,"FUND_INCEPT_DT")</f>
        <v>#NAME?</v>
      </c>
      <c r="F70" s="23" t="e">
        <f ca="1">_xll.BDP(B70,"CRNCY")</f>
        <v>#NAME?</v>
      </c>
      <c r="G70" s="35" t="e">
        <f ca="1">_xll.BDP(B70,"LAST_PRICE")</f>
        <v>#NAME?</v>
      </c>
      <c r="H70" s="36" t="e">
        <f ca="1">_xll.BDP(B70,"30_DAY_AVERAGE_VOLUME_AT_TIME_RT")</f>
        <v>#NAME?</v>
      </c>
      <c r="I70" s="37" t="e">
        <f ca="1">_xll.BDP(B70,"AVERAGE_BID_ASK_SPREAD_%")</f>
        <v>#NAME?</v>
      </c>
      <c r="J70" s="38" t="e">
        <f ca="1">_xll.BDP(B70,"RT_PX_CHG_NET_1D")</f>
        <v>#NAME?</v>
      </c>
      <c r="K70" s="38" t="e">
        <f ca="1">_xll.BDP(B70,"RT_PX_CHG_PCT_1D")</f>
        <v>#NAME?</v>
      </c>
      <c r="L70" s="38" t="e">
        <f ca="1">_xll.BDP(B70,"CHG_PCT_WTD")</f>
        <v>#NAME?</v>
      </c>
      <c r="M70" s="38" t="e">
        <f ca="1">_xll.BDP(B70,"CHG_PCT_1M_RT")</f>
        <v>#NAME?</v>
      </c>
      <c r="N70" s="38" t="e">
        <f ca="1">_xll.BDP(B70,"CHG_PCT_3M_RT")</f>
        <v>#NAME?</v>
      </c>
      <c r="O70" s="38" t="e">
        <f ca="1">_xll.BDP(B70,"CHG_PCT_6M")</f>
        <v>#NAME?</v>
      </c>
      <c r="P70" s="38" t="e">
        <f ca="1">_xll.BDP(B70,"CHG_PCT_YTD")</f>
        <v>#NAME?</v>
      </c>
      <c r="Q70" s="38" t="e">
        <f ca="1">_xll.BDP(B70,"PRICE_CHANGE_1Y_PCT_RT")</f>
        <v>#NAME?</v>
      </c>
      <c r="R70" s="37" t="e">
        <f ca="1">_xll.BDP(B70,"STANDARD_DEVIATION_3YR")</f>
        <v>#NAME?</v>
      </c>
      <c r="S70" s="37" t="e">
        <f ca="1">_xll.BDP(B70,"EQY_SHARPE_RATIO_3YR")</f>
        <v>#NAME?</v>
      </c>
      <c r="T70" s="37" t="e">
        <f ca="1">_xll.BDP(B70,"FUND_EXPENSE_RATIO")</f>
        <v>#NAME?</v>
      </c>
      <c r="U70" s="39" t="e">
        <f ca="1">_xll.BDP(B70,"TRACKING_ERROR")</f>
        <v>#NAME?</v>
      </c>
    </row>
    <row r="71" spans="2:21" ht="38.1" customHeight="1" x14ac:dyDescent="0.5">
      <c r="B71" s="23" t="s">
        <v>109</v>
      </c>
      <c r="C71" s="23" t="s">
        <v>246</v>
      </c>
      <c r="D71" s="23" t="s">
        <v>247</v>
      </c>
      <c r="E71" s="23" t="e">
        <f ca="1">_xll.BDP(B71,"FUND_INCEPT_DT")</f>
        <v>#NAME?</v>
      </c>
      <c r="F71" s="23" t="e">
        <f ca="1">_xll.BDP(B71,"CRNCY")</f>
        <v>#NAME?</v>
      </c>
      <c r="G71" s="35" t="e">
        <f ca="1">_xll.BDP(B71,"LAST_PRICE")</f>
        <v>#NAME?</v>
      </c>
      <c r="H71" s="36" t="e">
        <f ca="1">_xll.BDP(B71,"30_DAY_AVERAGE_VOLUME_AT_TIME_RT")</f>
        <v>#NAME?</v>
      </c>
      <c r="I71" s="37" t="e">
        <f ca="1">_xll.BDP(B71,"AVERAGE_BID_ASK_SPREAD_%")</f>
        <v>#NAME?</v>
      </c>
      <c r="J71" s="38" t="e">
        <f ca="1">_xll.BDP(B71,"RT_PX_CHG_NET_1D")</f>
        <v>#NAME?</v>
      </c>
      <c r="K71" s="38" t="e">
        <f ca="1">_xll.BDP(B71,"RT_PX_CHG_PCT_1D")</f>
        <v>#NAME?</v>
      </c>
      <c r="L71" s="38" t="e">
        <f ca="1">_xll.BDP(B71,"CHG_PCT_WTD")</f>
        <v>#NAME?</v>
      </c>
      <c r="M71" s="38" t="e">
        <f ca="1">_xll.BDP(B71,"CHG_PCT_1M_RT")</f>
        <v>#NAME?</v>
      </c>
      <c r="N71" s="38" t="e">
        <f ca="1">_xll.BDP(B71,"CHG_PCT_3M_RT")</f>
        <v>#NAME?</v>
      </c>
      <c r="O71" s="38" t="e">
        <f ca="1">_xll.BDP(B71,"CHG_PCT_6M")</f>
        <v>#NAME?</v>
      </c>
      <c r="P71" s="38" t="e">
        <f ca="1">_xll.BDP(B71,"CHG_PCT_YTD")</f>
        <v>#NAME?</v>
      </c>
      <c r="Q71" s="38" t="e">
        <f ca="1">_xll.BDP(B71,"PRICE_CHANGE_1Y_PCT_RT")</f>
        <v>#NAME?</v>
      </c>
      <c r="R71" s="37" t="e">
        <f ca="1">_xll.BDP(B71,"STANDARD_DEVIATION_3YR")</f>
        <v>#NAME?</v>
      </c>
      <c r="S71" s="37" t="e">
        <f ca="1">_xll.BDP(B71,"EQY_SHARPE_RATIO_3YR")</f>
        <v>#NAME?</v>
      </c>
      <c r="T71" s="37" t="e">
        <f ca="1">_xll.BDP(B71,"FUND_EXPENSE_RATIO")</f>
        <v>#NAME?</v>
      </c>
      <c r="U71" s="39" t="e">
        <f ca="1">_xll.BDP(B71,"TRACKING_ERROR")</f>
        <v>#NAME?</v>
      </c>
    </row>
    <row r="72" spans="2:21" ht="38.1" customHeight="1" x14ac:dyDescent="0.5">
      <c r="B72" s="23" t="s">
        <v>110</v>
      </c>
      <c r="C72" s="23" t="s">
        <v>248</v>
      </c>
      <c r="D72" s="23" t="s">
        <v>214</v>
      </c>
      <c r="E72" s="23" t="e">
        <f ca="1">_xll.BDP(B72,"FUND_INCEPT_DT")</f>
        <v>#NAME?</v>
      </c>
      <c r="F72" s="23" t="e">
        <f ca="1">_xll.BDP(B72,"CRNCY")</f>
        <v>#NAME?</v>
      </c>
      <c r="G72" s="35" t="e">
        <f ca="1">_xll.BDP(B72,"LAST_PRICE")</f>
        <v>#NAME?</v>
      </c>
      <c r="H72" s="36" t="e">
        <f ca="1">_xll.BDP(B72,"30_DAY_AVERAGE_VOLUME_AT_TIME_RT")</f>
        <v>#NAME?</v>
      </c>
      <c r="I72" s="37" t="e">
        <f ca="1">_xll.BDP(B72,"AVERAGE_BID_ASK_SPREAD_%")</f>
        <v>#NAME?</v>
      </c>
      <c r="J72" s="38" t="e">
        <f ca="1">_xll.BDP(B72,"RT_PX_CHG_NET_1D")</f>
        <v>#NAME?</v>
      </c>
      <c r="K72" s="38" t="e">
        <f ca="1">_xll.BDP(B72,"RT_PX_CHG_PCT_1D")</f>
        <v>#NAME?</v>
      </c>
      <c r="L72" s="38" t="e">
        <f ca="1">_xll.BDP(B72,"CHG_PCT_WTD")</f>
        <v>#NAME?</v>
      </c>
      <c r="M72" s="38" t="e">
        <f ca="1">_xll.BDP(B72,"CHG_PCT_1M_RT")</f>
        <v>#NAME?</v>
      </c>
      <c r="N72" s="38" t="e">
        <f ca="1">_xll.BDP(B72,"CHG_PCT_3M_RT")</f>
        <v>#NAME?</v>
      </c>
      <c r="O72" s="38" t="e">
        <f ca="1">_xll.BDP(B72,"CHG_PCT_6M")</f>
        <v>#NAME?</v>
      </c>
      <c r="P72" s="38" t="e">
        <f ca="1">_xll.BDP(B72,"CHG_PCT_YTD")</f>
        <v>#NAME?</v>
      </c>
      <c r="Q72" s="38" t="e">
        <f ca="1">_xll.BDP(B72,"PRICE_CHANGE_1Y_PCT_RT")</f>
        <v>#NAME?</v>
      </c>
      <c r="R72" s="37" t="e">
        <f ca="1">_xll.BDP(B72,"STANDARD_DEVIATION_3YR")</f>
        <v>#NAME?</v>
      </c>
      <c r="S72" s="37" t="e">
        <f ca="1">_xll.BDP(B72,"EQY_SHARPE_RATIO_3YR")</f>
        <v>#NAME?</v>
      </c>
      <c r="T72" s="37" t="e">
        <f ca="1">_xll.BDP(B72,"FUND_EXPENSE_RATIO")</f>
        <v>#NAME?</v>
      </c>
      <c r="U72" s="39" t="e">
        <f ca="1">_xll.BDP(B72,"TRACKING_ERROR")</f>
        <v>#NAME?</v>
      </c>
    </row>
    <row r="73" spans="2:21" ht="38.1" customHeight="1" x14ac:dyDescent="0.5">
      <c r="B73" s="23" t="s">
        <v>111</v>
      </c>
      <c r="C73" s="23" t="s">
        <v>249</v>
      </c>
      <c r="D73" s="23" t="s">
        <v>250</v>
      </c>
      <c r="E73" s="23" t="e">
        <f ca="1">_xll.BDP(B73,"FUND_INCEPT_DT")</f>
        <v>#NAME?</v>
      </c>
      <c r="F73" s="23" t="e">
        <f ca="1">_xll.BDP(B73,"CRNCY")</f>
        <v>#NAME?</v>
      </c>
      <c r="G73" s="35" t="e">
        <f ca="1">_xll.BDP(B73,"LAST_PRICE")</f>
        <v>#NAME?</v>
      </c>
      <c r="H73" s="36" t="e">
        <f ca="1">_xll.BDP(B73,"30_DAY_AVERAGE_VOLUME_AT_TIME_RT")</f>
        <v>#NAME?</v>
      </c>
      <c r="I73" s="37" t="e">
        <f ca="1">_xll.BDP(B73,"AVERAGE_BID_ASK_SPREAD_%")</f>
        <v>#NAME?</v>
      </c>
      <c r="J73" s="38" t="e">
        <f ca="1">_xll.BDP(B73,"RT_PX_CHG_NET_1D")</f>
        <v>#NAME?</v>
      </c>
      <c r="K73" s="38" t="e">
        <f ca="1">_xll.BDP(B73,"RT_PX_CHG_PCT_1D")</f>
        <v>#NAME?</v>
      </c>
      <c r="L73" s="38" t="e">
        <f ca="1">_xll.BDP(B73,"CHG_PCT_WTD")</f>
        <v>#NAME?</v>
      </c>
      <c r="M73" s="38" t="e">
        <f ca="1">_xll.BDP(B73,"CHG_PCT_1M_RT")</f>
        <v>#NAME?</v>
      </c>
      <c r="N73" s="38" t="e">
        <f ca="1">_xll.BDP(B73,"CHG_PCT_3M_RT")</f>
        <v>#NAME?</v>
      </c>
      <c r="O73" s="38" t="e">
        <f ca="1">_xll.BDP(B73,"CHG_PCT_6M")</f>
        <v>#NAME?</v>
      </c>
      <c r="P73" s="38" t="e">
        <f ca="1">_xll.BDP(B73,"CHG_PCT_YTD")</f>
        <v>#NAME?</v>
      </c>
      <c r="Q73" s="38" t="e">
        <f ca="1">_xll.BDP(B73,"PRICE_CHANGE_1Y_PCT_RT")</f>
        <v>#NAME?</v>
      </c>
      <c r="R73" s="37" t="e">
        <f ca="1">_xll.BDP(B73,"STANDARD_DEVIATION_3YR")</f>
        <v>#NAME?</v>
      </c>
      <c r="S73" s="37" t="e">
        <f ca="1">_xll.BDP(B73,"EQY_SHARPE_RATIO_3YR")</f>
        <v>#NAME?</v>
      </c>
      <c r="T73" s="37" t="e">
        <f ca="1">_xll.BDP(B73,"FUND_EXPENSE_RATIO")</f>
        <v>#NAME?</v>
      </c>
      <c r="U73" s="39" t="e">
        <f ca="1">_xll.BDP(B73,"TRACKING_ERROR")</f>
        <v>#NAME?</v>
      </c>
    </row>
    <row r="74" spans="2:21" ht="38.1" customHeight="1" x14ac:dyDescent="0.5">
      <c r="B74" s="23" t="s">
        <v>112</v>
      </c>
      <c r="C74" s="23" t="s">
        <v>251</v>
      </c>
      <c r="D74" s="23" t="s">
        <v>252</v>
      </c>
      <c r="E74" s="23" t="e">
        <f ca="1">_xll.BDP(B74,"FUND_INCEPT_DT")</f>
        <v>#NAME?</v>
      </c>
      <c r="F74" s="23" t="e">
        <f ca="1">_xll.BDP(B74,"CRNCY")</f>
        <v>#NAME?</v>
      </c>
      <c r="G74" s="35" t="e">
        <f ca="1">_xll.BDP(B74,"LAST_PRICE")</f>
        <v>#NAME?</v>
      </c>
      <c r="H74" s="36" t="e">
        <f ca="1">_xll.BDP(B74,"30_DAY_AVERAGE_VOLUME_AT_TIME_RT")</f>
        <v>#NAME?</v>
      </c>
      <c r="I74" s="37" t="e">
        <f ca="1">_xll.BDP(B74,"AVERAGE_BID_ASK_SPREAD_%")</f>
        <v>#NAME?</v>
      </c>
      <c r="J74" s="38" t="e">
        <f ca="1">_xll.BDP(B74,"RT_PX_CHG_NET_1D")</f>
        <v>#NAME?</v>
      </c>
      <c r="K74" s="38" t="e">
        <f ca="1">_xll.BDP(B74,"RT_PX_CHG_PCT_1D")</f>
        <v>#NAME?</v>
      </c>
      <c r="L74" s="38" t="e">
        <f ca="1">_xll.BDP(B74,"CHG_PCT_WTD")</f>
        <v>#NAME?</v>
      </c>
      <c r="M74" s="38" t="e">
        <f ca="1">_xll.BDP(B74,"CHG_PCT_1M_RT")</f>
        <v>#NAME?</v>
      </c>
      <c r="N74" s="38" t="e">
        <f ca="1">_xll.BDP(B74,"CHG_PCT_3M_RT")</f>
        <v>#NAME?</v>
      </c>
      <c r="O74" s="38" t="e">
        <f ca="1">_xll.BDP(B74,"CHG_PCT_6M")</f>
        <v>#NAME?</v>
      </c>
      <c r="P74" s="38" t="e">
        <f ca="1">_xll.BDP(B74,"CHG_PCT_YTD")</f>
        <v>#NAME?</v>
      </c>
      <c r="Q74" s="38" t="e">
        <f ca="1">_xll.BDP(B74,"PRICE_CHANGE_1Y_PCT_RT")</f>
        <v>#NAME?</v>
      </c>
      <c r="R74" s="37" t="e">
        <f ca="1">_xll.BDP(B74,"STANDARD_DEVIATION_3YR")</f>
        <v>#NAME?</v>
      </c>
      <c r="S74" s="37" t="e">
        <f ca="1">_xll.BDP(B74,"EQY_SHARPE_RATIO_3YR")</f>
        <v>#NAME?</v>
      </c>
      <c r="T74" s="37" t="e">
        <f ca="1">_xll.BDP(B74,"FUND_EXPENSE_RATIO")</f>
        <v>#NAME?</v>
      </c>
      <c r="U74" s="39" t="e">
        <f ca="1">_xll.BDP(B74,"TRACKING_ERROR")</f>
        <v>#NAME?</v>
      </c>
    </row>
    <row r="75" spans="2:21" ht="38.1" customHeight="1" x14ac:dyDescent="0.5">
      <c r="B75" s="23" t="s">
        <v>113</v>
      </c>
      <c r="C75" s="23" t="s">
        <v>253</v>
      </c>
      <c r="D75" s="23" t="s">
        <v>254</v>
      </c>
      <c r="E75" s="23" t="e">
        <f ca="1">_xll.BDP(B75,"FUND_INCEPT_DT")</f>
        <v>#NAME?</v>
      </c>
      <c r="F75" s="23" t="e">
        <f ca="1">_xll.BDP(B75,"CRNCY")</f>
        <v>#NAME?</v>
      </c>
      <c r="G75" s="35" t="e">
        <f ca="1">_xll.BDP(B75,"LAST_PRICE")</f>
        <v>#NAME?</v>
      </c>
      <c r="H75" s="36" t="e">
        <f ca="1">_xll.BDP(B75,"30_DAY_AVERAGE_VOLUME_AT_TIME_RT")</f>
        <v>#NAME?</v>
      </c>
      <c r="I75" s="37" t="e">
        <f ca="1">_xll.BDP(B75,"AVERAGE_BID_ASK_SPREAD_%")</f>
        <v>#NAME?</v>
      </c>
      <c r="J75" s="38" t="e">
        <f ca="1">_xll.BDP(B75,"RT_PX_CHG_NET_1D")</f>
        <v>#NAME?</v>
      </c>
      <c r="K75" s="38" t="e">
        <f ca="1">_xll.BDP(B75,"RT_PX_CHG_PCT_1D")</f>
        <v>#NAME?</v>
      </c>
      <c r="L75" s="38" t="e">
        <f ca="1">_xll.BDP(B75,"CHG_PCT_WTD")</f>
        <v>#NAME?</v>
      </c>
      <c r="M75" s="38" t="e">
        <f ca="1">_xll.BDP(B75,"CHG_PCT_1M_RT")</f>
        <v>#NAME?</v>
      </c>
      <c r="N75" s="38" t="e">
        <f ca="1">_xll.BDP(B75,"CHG_PCT_3M_RT")</f>
        <v>#NAME?</v>
      </c>
      <c r="O75" s="38" t="e">
        <f ca="1">_xll.BDP(B75,"CHG_PCT_6M")</f>
        <v>#NAME?</v>
      </c>
      <c r="P75" s="38" t="e">
        <f ca="1">_xll.BDP(B75,"CHG_PCT_YTD")</f>
        <v>#NAME?</v>
      </c>
      <c r="Q75" s="38" t="e">
        <f ca="1">_xll.BDP(B75,"PRICE_CHANGE_1Y_PCT_RT")</f>
        <v>#NAME?</v>
      </c>
      <c r="R75" s="37" t="e">
        <f ca="1">_xll.BDP(B75,"STANDARD_DEVIATION_3YR")</f>
        <v>#NAME?</v>
      </c>
      <c r="S75" s="37" t="e">
        <f ca="1">_xll.BDP(B75,"EQY_SHARPE_RATIO_3YR")</f>
        <v>#NAME?</v>
      </c>
      <c r="T75" s="37" t="e">
        <f ca="1">_xll.BDP(B75,"FUND_EXPENSE_RATIO")</f>
        <v>#NAME?</v>
      </c>
      <c r="U75" s="39" t="e">
        <f ca="1">_xll.BDP(B75,"TRACKING_ERROR")</f>
        <v>#NAME?</v>
      </c>
    </row>
    <row r="76" spans="2:21" ht="38.1" customHeight="1" x14ac:dyDescent="0.5">
      <c r="B76" s="27" t="s">
        <v>255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4"/>
    </row>
    <row r="77" spans="2:21" ht="38.1" customHeight="1" x14ac:dyDescent="0.5">
      <c r="B77" s="23" t="s">
        <v>114</v>
      </c>
      <c r="C77" s="23" t="s">
        <v>256</v>
      </c>
      <c r="D77" s="23" t="s">
        <v>237</v>
      </c>
      <c r="E77" s="23" t="e">
        <f ca="1">_xll.BDP(B77,"FUND_INCEPT_DT")</f>
        <v>#NAME?</v>
      </c>
      <c r="F77" s="23" t="e">
        <f ca="1">_xll.BDP(B77,"CRNCY")</f>
        <v>#NAME?</v>
      </c>
      <c r="G77" s="35" t="e">
        <f ca="1">_xll.BDP(B77,"LAST_PRICE")</f>
        <v>#NAME?</v>
      </c>
      <c r="H77" s="36" t="e">
        <f ca="1">_xll.BDP(B77,"30_DAY_AVERAGE_VOLUME_AT_TIME_RT")</f>
        <v>#NAME?</v>
      </c>
      <c r="I77" s="37" t="e">
        <f ca="1">_xll.BDP(B77,"AVERAGE_BID_ASK_SPREAD_%")</f>
        <v>#NAME?</v>
      </c>
      <c r="J77" s="38" t="e">
        <f ca="1">_xll.BDP(B77,"RT_PX_CHG_NET_1D")</f>
        <v>#NAME?</v>
      </c>
      <c r="K77" s="38" t="e">
        <f ca="1">_xll.BDP(B77,"RT_PX_CHG_PCT_1D")</f>
        <v>#NAME?</v>
      </c>
      <c r="L77" s="38" t="e">
        <f ca="1">_xll.BDP(B77,"CHG_PCT_WTD")</f>
        <v>#NAME?</v>
      </c>
      <c r="M77" s="38" t="e">
        <f ca="1">_xll.BDP(B77,"CHG_PCT_1M_RT")</f>
        <v>#NAME?</v>
      </c>
      <c r="N77" s="38" t="e">
        <f ca="1">_xll.BDP(B77,"CHG_PCT_3M_RT")</f>
        <v>#NAME?</v>
      </c>
      <c r="O77" s="38" t="e">
        <f ca="1">_xll.BDP(B77,"CHG_PCT_6M")</f>
        <v>#NAME?</v>
      </c>
      <c r="P77" s="38" t="e">
        <f ca="1">_xll.BDP(B77,"CHG_PCT_YTD")</f>
        <v>#NAME?</v>
      </c>
      <c r="Q77" s="38" t="e">
        <f ca="1">_xll.BDP(B77,"PRICE_CHANGE_1Y_PCT_RT")</f>
        <v>#NAME?</v>
      </c>
      <c r="R77" s="37" t="e">
        <f ca="1">_xll.BDP(B77,"STANDARD_DEVIATION_3YR")</f>
        <v>#NAME?</v>
      </c>
      <c r="S77" s="37" t="e">
        <f ca="1">_xll.BDP(B77,"EQY_SHARPE_RATIO_3YR")</f>
        <v>#NAME?</v>
      </c>
      <c r="T77" s="37" t="e">
        <f ca="1">_xll.BDP(B77,"FUND_EXPENSE_RATIO")</f>
        <v>#NAME?</v>
      </c>
      <c r="U77" s="39" t="e">
        <f ca="1">_xll.BDP(B77,"TRACKING_ERROR")</f>
        <v>#NAME?</v>
      </c>
    </row>
    <row r="78" spans="2:21" ht="38.1" customHeight="1" x14ac:dyDescent="0.5">
      <c r="B78" s="23" t="s">
        <v>115</v>
      </c>
      <c r="C78" s="23" t="s">
        <v>257</v>
      </c>
      <c r="D78" s="23" t="s">
        <v>237</v>
      </c>
      <c r="E78" s="23" t="e">
        <f ca="1">_xll.BDP(B78,"FUND_INCEPT_DT")</f>
        <v>#NAME?</v>
      </c>
      <c r="F78" s="23" t="e">
        <f ca="1">_xll.BDP(B78,"CRNCY")</f>
        <v>#NAME?</v>
      </c>
      <c r="G78" s="35" t="e">
        <f ca="1">_xll.BDP(B78,"LAST_PRICE")</f>
        <v>#NAME?</v>
      </c>
      <c r="H78" s="36" t="e">
        <f ca="1">_xll.BDP(B78,"30_DAY_AVERAGE_VOLUME_AT_TIME_RT")</f>
        <v>#NAME?</v>
      </c>
      <c r="I78" s="37" t="e">
        <f ca="1">_xll.BDP(B78,"AVERAGE_BID_ASK_SPREAD_%")</f>
        <v>#NAME?</v>
      </c>
      <c r="J78" s="38" t="e">
        <f ca="1">_xll.BDP(B78,"RT_PX_CHG_NET_1D")</f>
        <v>#NAME?</v>
      </c>
      <c r="K78" s="38" t="e">
        <f ca="1">_xll.BDP(B78,"RT_PX_CHG_PCT_1D")</f>
        <v>#NAME?</v>
      </c>
      <c r="L78" s="38" t="e">
        <f ca="1">_xll.BDP(B78,"CHG_PCT_WTD")</f>
        <v>#NAME?</v>
      </c>
      <c r="M78" s="38" t="e">
        <f ca="1">_xll.BDP(B78,"CHG_PCT_1M_RT")</f>
        <v>#NAME?</v>
      </c>
      <c r="N78" s="38" t="e">
        <f ca="1">_xll.BDP(B78,"CHG_PCT_3M_RT")</f>
        <v>#NAME?</v>
      </c>
      <c r="O78" s="38" t="e">
        <f ca="1">_xll.BDP(B78,"CHG_PCT_6M")</f>
        <v>#NAME?</v>
      </c>
      <c r="P78" s="38" t="e">
        <f ca="1">_xll.BDP(B78,"CHG_PCT_YTD")</f>
        <v>#NAME?</v>
      </c>
      <c r="Q78" s="38" t="e">
        <f ca="1">_xll.BDP(B78,"PRICE_CHANGE_1Y_PCT_RT")</f>
        <v>#NAME?</v>
      </c>
      <c r="R78" s="37" t="e">
        <f ca="1">_xll.BDP(B78,"STANDARD_DEVIATION_3YR")</f>
        <v>#NAME?</v>
      </c>
      <c r="S78" s="37" t="e">
        <f ca="1">_xll.BDP(B78,"EQY_SHARPE_RATIO_3YR")</f>
        <v>#NAME?</v>
      </c>
      <c r="T78" s="37" t="e">
        <f ca="1">_xll.BDP(B78,"FUND_EXPENSE_RATIO")</f>
        <v>#NAME?</v>
      </c>
      <c r="U78" s="39" t="e">
        <f ca="1">_xll.BDP(B78,"TRACKING_ERROR")</f>
        <v>#NAME?</v>
      </c>
    </row>
    <row r="79" spans="2:21" ht="38.1" customHeight="1" x14ac:dyDescent="0.5">
      <c r="B79" s="23" t="s">
        <v>116</v>
      </c>
      <c r="C79" s="23" t="s">
        <v>258</v>
      </c>
      <c r="D79" s="23" t="s">
        <v>212</v>
      </c>
      <c r="E79" s="23" t="e">
        <f ca="1">_xll.BDP(B79,"FUND_INCEPT_DT")</f>
        <v>#NAME?</v>
      </c>
      <c r="F79" s="23" t="e">
        <f ca="1">_xll.BDP(B79,"CRNCY")</f>
        <v>#NAME?</v>
      </c>
      <c r="G79" s="35" t="e">
        <f ca="1">_xll.BDP(B79,"LAST_PRICE")</f>
        <v>#NAME?</v>
      </c>
      <c r="H79" s="36" t="e">
        <f ca="1">_xll.BDP(B79,"30_DAY_AVERAGE_VOLUME_AT_TIME_RT")</f>
        <v>#NAME?</v>
      </c>
      <c r="I79" s="37" t="e">
        <f ca="1">_xll.BDP(B79,"AVERAGE_BID_ASK_SPREAD_%")</f>
        <v>#NAME?</v>
      </c>
      <c r="J79" s="38" t="e">
        <f ca="1">_xll.BDP(B79,"RT_PX_CHG_NET_1D")</f>
        <v>#NAME?</v>
      </c>
      <c r="K79" s="38" t="e">
        <f ca="1">_xll.BDP(B79,"RT_PX_CHG_PCT_1D")</f>
        <v>#NAME?</v>
      </c>
      <c r="L79" s="38" t="e">
        <f ca="1">_xll.BDP(B79,"CHG_PCT_WTD")</f>
        <v>#NAME?</v>
      </c>
      <c r="M79" s="38" t="e">
        <f ca="1">_xll.BDP(B79,"CHG_PCT_1M_RT")</f>
        <v>#NAME?</v>
      </c>
      <c r="N79" s="38" t="e">
        <f ca="1">_xll.BDP(B79,"CHG_PCT_3M_RT")</f>
        <v>#NAME?</v>
      </c>
      <c r="O79" s="38" t="e">
        <f ca="1">_xll.BDP(B79,"CHG_PCT_6M")</f>
        <v>#NAME?</v>
      </c>
      <c r="P79" s="38" t="e">
        <f ca="1">_xll.BDP(B79,"CHG_PCT_YTD")</f>
        <v>#NAME?</v>
      </c>
      <c r="Q79" s="38" t="e">
        <f ca="1">_xll.BDP(B79,"PRICE_CHANGE_1Y_PCT_RT")</f>
        <v>#NAME?</v>
      </c>
      <c r="R79" s="37" t="e">
        <f ca="1">_xll.BDP(B79,"STANDARD_DEVIATION_3YR")</f>
        <v>#NAME?</v>
      </c>
      <c r="S79" s="37" t="e">
        <f ca="1">_xll.BDP(B79,"EQY_SHARPE_RATIO_3YR")</f>
        <v>#NAME?</v>
      </c>
      <c r="T79" s="37" t="e">
        <f ca="1">_xll.BDP(B79,"FUND_EXPENSE_RATIO")</f>
        <v>#NAME?</v>
      </c>
      <c r="U79" s="39" t="e">
        <f ca="1">_xll.BDP(B79,"TRACKING_ERROR")</f>
        <v>#NAME?</v>
      </c>
    </row>
    <row r="80" spans="2:21" ht="38.1" customHeight="1" x14ac:dyDescent="0.5">
      <c r="B80" s="23" t="s">
        <v>117</v>
      </c>
      <c r="C80" s="23" t="s">
        <v>259</v>
      </c>
      <c r="D80" s="23" t="s">
        <v>214</v>
      </c>
      <c r="E80" s="23" t="e">
        <f ca="1">_xll.BDP(B80,"FUND_INCEPT_DT")</f>
        <v>#NAME?</v>
      </c>
      <c r="F80" s="23" t="e">
        <f ca="1">_xll.BDP(B80,"CRNCY")</f>
        <v>#NAME?</v>
      </c>
      <c r="G80" s="35" t="e">
        <f ca="1">_xll.BDP(B80,"LAST_PRICE")</f>
        <v>#NAME?</v>
      </c>
      <c r="H80" s="36" t="e">
        <f ca="1">_xll.BDP(B80,"30_DAY_AVERAGE_VOLUME_AT_TIME_RT")</f>
        <v>#NAME?</v>
      </c>
      <c r="I80" s="37" t="e">
        <f ca="1">_xll.BDP(B80,"AVERAGE_BID_ASK_SPREAD_%")</f>
        <v>#NAME?</v>
      </c>
      <c r="J80" s="38" t="e">
        <f ca="1">_xll.BDP(B80,"RT_PX_CHG_NET_1D")</f>
        <v>#NAME?</v>
      </c>
      <c r="K80" s="38" t="e">
        <f ca="1">_xll.BDP(B80,"RT_PX_CHG_PCT_1D")</f>
        <v>#NAME?</v>
      </c>
      <c r="L80" s="38" t="e">
        <f ca="1">_xll.BDP(B80,"CHG_PCT_WTD")</f>
        <v>#NAME?</v>
      </c>
      <c r="M80" s="38" t="e">
        <f ca="1">_xll.BDP(B80,"CHG_PCT_1M_RT")</f>
        <v>#NAME?</v>
      </c>
      <c r="N80" s="38" t="e">
        <f ca="1">_xll.BDP(B80,"CHG_PCT_3M_RT")</f>
        <v>#NAME?</v>
      </c>
      <c r="O80" s="38" t="e">
        <f ca="1">_xll.BDP(B80,"CHG_PCT_6M")</f>
        <v>#NAME?</v>
      </c>
      <c r="P80" s="38" t="e">
        <f ca="1">_xll.BDP(B80,"CHG_PCT_YTD")</f>
        <v>#NAME?</v>
      </c>
      <c r="Q80" s="38" t="e">
        <f ca="1">_xll.BDP(B80,"PRICE_CHANGE_1Y_PCT_RT")</f>
        <v>#NAME?</v>
      </c>
      <c r="R80" s="37" t="e">
        <f ca="1">_xll.BDP(B80,"STANDARD_DEVIATION_3YR")</f>
        <v>#NAME?</v>
      </c>
      <c r="S80" s="37" t="e">
        <f ca="1">_xll.BDP(B80,"EQY_SHARPE_RATIO_3YR")</f>
        <v>#NAME?</v>
      </c>
      <c r="T80" s="37" t="e">
        <f ca="1">_xll.BDP(B80,"FUND_EXPENSE_RATIO")</f>
        <v>#NAME?</v>
      </c>
      <c r="U80" s="39" t="e">
        <f ca="1">_xll.BDP(B80,"TRACKING_ERROR")</f>
        <v>#NAME?</v>
      </c>
    </row>
    <row r="81" spans="2:21" ht="38.1" customHeight="1" x14ac:dyDescent="0.5">
      <c r="B81" s="23" t="s">
        <v>118</v>
      </c>
      <c r="C81" s="23" t="s">
        <v>260</v>
      </c>
      <c r="D81" s="23" t="s">
        <v>261</v>
      </c>
      <c r="E81" s="23" t="e">
        <f ca="1">_xll.BDP(B81,"FUND_INCEPT_DT")</f>
        <v>#NAME?</v>
      </c>
      <c r="F81" s="23" t="e">
        <f ca="1">_xll.BDP(B81,"CRNCY")</f>
        <v>#NAME?</v>
      </c>
      <c r="G81" s="35" t="e">
        <f ca="1">_xll.BDP(B81,"LAST_PRICE")</f>
        <v>#NAME?</v>
      </c>
      <c r="H81" s="36" t="e">
        <f ca="1">_xll.BDP(B81,"30_DAY_AVERAGE_VOLUME_AT_TIME_RT")</f>
        <v>#NAME?</v>
      </c>
      <c r="I81" s="37" t="e">
        <f ca="1">_xll.BDP(B81,"AVERAGE_BID_ASK_SPREAD_%")</f>
        <v>#NAME?</v>
      </c>
      <c r="J81" s="38" t="e">
        <f ca="1">_xll.BDP(B81,"RT_PX_CHG_NET_1D")</f>
        <v>#NAME?</v>
      </c>
      <c r="K81" s="38" t="e">
        <f ca="1">_xll.BDP(B81,"RT_PX_CHG_PCT_1D")</f>
        <v>#NAME?</v>
      </c>
      <c r="L81" s="38" t="e">
        <f ca="1">_xll.BDP(B81,"CHG_PCT_WTD")</f>
        <v>#NAME?</v>
      </c>
      <c r="M81" s="38" t="e">
        <f ca="1">_xll.BDP(B81,"CHG_PCT_1M_RT")</f>
        <v>#NAME?</v>
      </c>
      <c r="N81" s="38" t="e">
        <f ca="1">_xll.BDP(B81,"CHG_PCT_3M_RT")</f>
        <v>#NAME?</v>
      </c>
      <c r="O81" s="38" t="e">
        <f ca="1">_xll.BDP(B81,"CHG_PCT_6M")</f>
        <v>#NAME?</v>
      </c>
      <c r="P81" s="38" t="e">
        <f ca="1">_xll.BDP(B81,"CHG_PCT_YTD")</f>
        <v>#NAME?</v>
      </c>
      <c r="Q81" s="38" t="e">
        <f ca="1">_xll.BDP(B81,"PRICE_CHANGE_1Y_PCT_RT")</f>
        <v>#NAME?</v>
      </c>
      <c r="R81" s="37" t="e">
        <f ca="1">_xll.BDP(B81,"STANDARD_DEVIATION_3YR")</f>
        <v>#NAME?</v>
      </c>
      <c r="S81" s="37" t="e">
        <f ca="1">_xll.BDP(B81,"EQY_SHARPE_RATIO_3YR")</f>
        <v>#NAME?</v>
      </c>
      <c r="T81" s="37" t="e">
        <f ca="1">_xll.BDP(B81,"FUND_EXPENSE_RATIO")</f>
        <v>#NAME?</v>
      </c>
      <c r="U81" s="39" t="e">
        <f ca="1">_xll.BDP(B81,"TRACKING_ERROR")</f>
        <v>#NAME?</v>
      </c>
    </row>
    <row r="82" spans="2:21" ht="38.1" customHeight="1" x14ac:dyDescent="0.5">
      <c r="B82" s="23" t="s">
        <v>119</v>
      </c>
      <c r="C82" s="23" t="s">
        <v>262</v>
      </c>
      <c r="D82" s="23" t="s">
        <v>263</v>
      </c>
      <c r="E82" s="23" t="e">
        <f ca="1">_xll.BDP(B82,"FUND_INCEPT_DT")</f>
        <v>#NAME?</v>
      </c>
      <c r="F82" s="23" t="e">
        <f ca="1">_xll.BDP(B82,"CRNCY")</f>
        <v>#NAME?</v>
      </c>
      <c r="G82" s="35" t="e">
        <f ca="1">_xll.BDP(B82,"LAST_PRICE")</f>
        <v>#NAME?</v>
      </c>
      <c r="H82" s="36" t="e">
        <f ca="1">_xll.BDP(B82,"30_DAY_AVERAGE_VOLUME_AT_TIME_RT")</f>
        <v>#NAME?</v>
      </c>
      <c r="I82" s="37" t="e">
        <f ca="1">_xll.BDP(B82,"AVERAGE_BID_ASK_SPREAD_%")</f>
        <v>#NAME?</v>
      </c>
      <c r="J82" s="38" t="e">
        <f ca="1">_xll.BDP(B82,"RT_PX_CHG_NET_1D")</f>
        <v>#NAME?</v>
      </c>
      <c r="K82" s="38" t="e">
        <f ca="1">_xll.BDP(B82,"RT_PX_CHG_PCT_1D")</f>
        <v>#NAME?</v>
      </c>
      <c r="L82" s="38" t="e">
        <f ca="1">_xll.BDP(B82,"CHG_PCT_WTD")</f>
        <v>#NAME?</v>
      </c>
      <c r="M82" s="38" t="e">
        <f ca="1">_xll.BDP(B82,"CHG_PCT_1M_RT")</f>
        <v>#NAME?</v>
      </c>
      <c r="N82" s="38" t="e">
        <f ca="1">_xll.BDP(B82,"CHG_PCT_3M_RT")</f>
        <v>#NAME?</v>
      </c>
      <c r="O82" s="38" t="e">
        <f ca="1">_xll.BDP(B82,"CHG_PCT_6M")</f>
        <v>#NAME?</v>
      </c>
      <c r="P82" s="38" t="e">
        <f ca="1">_xll.BDP(B82,"CHG_PCT_YTD")</f>
        <v>#NAME?</v>
      </c>
      <c r="Q82" s="38" t="e">
        <f ca="1">_xll.BDP(B82,"PRICE_CHANGE_1Y_PCT_RT")</f>
        <v>#NAME?</v>
      </c>
      <c r="R82" s="37" t="e">
        <f ca="1">_xll.BDP(B82,"STANDARD_DEVIATION_3YR")</f>
        <v>#NAME?</v>
      </c>
      <c r="S82" s="37" t="e">
        <f ca="1">_xll.BDP(B82,"EQY_SHARPE_RATIO_3YR")</f>
        <v>#NAME?</v>
      </c>
      <c r="T82" s="37" t="e">
        <f ca="1">_xll.BDP(B82,"FUND_EXPENSE_RATIO")</f>
        <v>#NAME?</v>
      </c>
      <c r="U82" s="39" t="e">
        <f ca="1">_xll.BDP(B82,"TRACKING_ERROR")</f>
        <v>#NAME?</v>
      </c>
    </row>
    <row r="83" spans="2:21" ht="38.1" customHeight="1" x14ac:dyDescent="0.5">
      <c r="B83" s="23" t="s">
        <v>120</v>
      </c>
      <c r="C83" s="23" t="s">
        <v>264</v>
      </c>
      <c r="D83" s="23" t="s">
        <v>265</v>
      </c>
      <c r="E83" s="23" t="e">
        <f ca="1">_xll.BDP(B83,"FUND_INCEPT_DT")</f>
        <v>#NAME?</v>
      </c>
      <c r="F83" s="23" t="e">
        <f ca="1">_xll.BDP(B83,"CRNCY")</f>
        <v>#NAME?</v>
      </c>
      <c r="G83" s="35" t="e">
        <f ca="1">_xll.BDP(B83,"LAST_PRICE")</f>
        <v>#NAME?</v>
      </c>
      <c r="H83" s="36" t="e">
        <f ca="1">_xll.BDP(B83,"30_DAY_AVERAGE_VOLUME_AT_TIME_RT")</f>
        <v>#NAME?</v>
      </c>
      <c r="I83" s="37" t="e">
        <f ca="1">_xll.BDP(B83,"AVERAGE_BID_ASK_SPREAD_%")</f>
        <v>#NAME?</v>
      </c>
      <c r="J83" s="38" t="e">
        <f ca="1">_xll.BDP(B83,"RT_PX_CHG_NET_1D")</f>
        <v>#NAME?</v>
      </c>
      <c r="K83" s="38" t="e">
        <f ca="1">_xll.BDP(B83,"RT_PX_CHG_PCT_1D")</f>
        <v>#NAME?</v>
      </c>
      <c r="L83" s="38" t="e">
        <f ca="1">_xll.BDP(B83,"CHG_PCT_WTD")</f>
        <v>#NAME?</v>
      </c>
      <c r="M83" s="38" t="e">
        <f ca="1">_xll.BDP(B83,"CHG_PCT_1M_RT")</f>
        <v>#NAME?</v>
      </c>
      <c r="N83" s="38" t="e">
        <f ca="1">_xll.BDP(B83,"CHG_PCT_3M_RT")</f>
        <v>#NAME?</v>
      </c>
      <c r="O83" s="38" t="e">
        <f ca="1">_xll.BDP(B83,"CHG_PCT_6M")</f>
        <v>#NAME?</v>
      </c>
      <c r="P83" s="38" t="e">
        <f ca="1">_xll.BDP(B83,"CHG_PCT_YTD")</f>
        <v>#NAME?</v>
      </c>
      <c r="Q83" s="38" t="e">
        <f ca="1">_xll.BDP(B83,"PRICE_CHANGE_1Y_PCT_RT")</f>
        <v>#NAME?</v>
      </c>
      <c r="R83" s="37" t="e">
        <f ca="1">_xll.BDP(B83,"STANDARD_DEVIATION_3YR")</f>
        <v>#NAME?</v>
      </c>
      <c r="S83" s="37" t="e">
        <f ca="1">_xll.BDP(B83,"EQY_SHARPE_RATIO_3YR")</f>
        <v>#NAME?</v>
      </c>
      <c r="T83" s="37" t="e">
        <f ca="1">_xll.BDP(B83,"FUND_EXPENSE_RATIO")</f>
        <v>#NAME?</v>
      </c>
      <c r="U83" s="39" t="e">
        <f ca="1">_xll.BDP(B83,"TRACKING_ERROR")</f>
        <v>#NAME?</v>
      </c>
    </row>
    <row r="84" spans="2:21" ht="38.1" customHeight="1" x14ac:dyDescent="0.5">
      <c r="B84" s="23" t="s">
        <v>121</v>
      </c>
      <c r="C84" s="23" t="s">
        <v>266</v>
      </c>
      <c r="D84" s="23" t="s">
        <v>267</v>
      </c>
      <c r="E84" s="23" t="e">
        <f ca="1">_xll.BDP(B84,"FUND_INCEPT_DT")</f>
        <v>#NAME?</v>
      </c>
      <c r="F84" s="23" t="e">
        <f ca="1">_xll.BDP(B84,"CRNCY")</f>
        <v>#NAME?</v>
      </c>
      <c r="G84" s="35" t="e">
        <f ca="1">_xll.BDP(B84,"LAST_PRICE")</f>
        <v>#NAME?</v>
      </c>
      <c r="H84" s="36" t="e">
        <f ca="1">_xll.BDP(B84,"30_DAY_AVERAGE_VOLUME_AT_TIME_RT")</f>
        <v>#NAME?</v>
      </c>
      <c r="I84" s="37" t="e">
        <f ca="1">_xll.BDP(B84,"AVERAGE_BID_ASK_SPREAD_%")</f>
        <v>#NAME?</v>
      </c>
      <c r="J84" s="38" t="e">
        <f ca="1">_xll.BDP(B84,"RT_PX_CHG_NET_1D")</f>
        <v>#NAME?</v>
      </c>
      <c r="K84" s="38" t="e">
        <f ca="1">_xll.BDP(B84,"RT_PX_CHG_PCT_1D")</f>
        <v>#NAME?</v>
      </c>
      <c r="L84" s="38" t="e">
        <f ca="1">_xll.BDP(B84,"CHG_PCT_WTD")</f>
        <v>#NAME?</v>
      </c>
      <c r="M84" s="38" t="e">
        <f ca="1">_xll.BDP(B84,"CHG_PCT_1M_RT")</f>
        <v>#NAME?</v>
      </c>
      <c r="N84" s="38" t="e">
        <f ca="1">_xll.BDP(B84,"CHG_PCT_3M_RT")</f>
        <v>#NAME?</v>
      </c>
      <c r="O84" s="38" t="e">
        <f ca="1">_xll.BDP(B84,"CHG_PCT_6M")</f>
        <v>#NAME?</v>
      </c>
      <c r="P84" s="38" t="e">
        <f ca="1">_xll.BDP(B84,"CHG_PCT_YTD")</f>
        <v>#NAME?</v>
      </c>
      <c r="Q84" s="38" t="e">
        <f ca="1">_xll.BDP(B84,"PRICE_CHANGE_1Y_PCT_RT")</f>
        <v>#NAME?</v>
      </c>
      <c r="R84" s="37" t="e">
        <f ca="1">_xll.BDP(B84,"STANDARD_DEVIATION_3YR")</f>
        <v>#NAME?</v>
      </c>
      <c r="S84" s="37" t="e">
        <f ca="1">_xll.BDP(B84,"EQY_SHARPE_RATIO_3YR")</f>
        <v>#NAME?</v>
      </c>
      <c r="T84" s="37" t="e">
        <f ca="1">_xll.BDP(B84,"FUND_EXPENSE_RATIO")</f>
        <v>#NAME?</v>
      </c>
      <c r="U84" s="39" t="e">
        <f ca="1">_xll.BDP(B84,"TRACKING_ERROR")</f>
        <v>#NAME?</v>
      </c>
    </row>
    <row r="85" spans="2:21" ht="38.1" customHeight="1" x14ac:dyDescent="0.5">
      <c r="B85" s="27" t="s">
        <v>268</v>
      </c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4"/>
    </row>
    <row r="86" spans="2:21" ht="38.1" customHeight="1" x14ac:dyDescent="0.5">
      <c r="B86" s="23" t="s">
        <v>122</v>
      </c>
      <c r="C86" s="23" t="s">
        <v>269</v>
      </c>
      <c r="D86" s="23" t="s">
        <v>270</v>
      </c>
      <c r="E86" s="23" t="e">
        <f ca="1">_xll.BDP(B86,"FUND_INCEPT_DT")</f>
        <v>#NAME?</v>
      </c>
      <c r="F86" s="23" t="e">
        <f ca="1">_xll.BDP(B86,"CRNCY")</f>
        <v>#NAME?</v>
      </c>
      <c r="G86" s="35" t="e">
        <f ca="1">_xll.BDP(B86,"LAST_PRICE")</f>
        <v>#NAME?</v>
      </c>
      <c r="H86" s="36" t="e">
        <f ca="1">_xll.BDP(B86,"30_DAY_AVERAGE_VOLUME_AT_TIME_RT")</f>
        <v>#NAME?</v>
      </c>
      <c r="I86" s="37" t="e">
        <f ca="1">_xll.BDP(B86,"AVERAGE_BID_ASK_SPREAD_%")</f>
        <v>#NAME?</v>
      </c>
      <c r="J86" s="38" t="e">
        <f ca="1">_xll.BDP(B86,"RT_PX_CHG_NET_1D")</f>
        <v>#NAME?</v>
      </c>
      <c r="K86" s="38" t="e">
        <f ca="1">_xll.BDP(B86,"RT_PX_CHG_PCT_1D")</f>
        <v>#NAME?</v>
      </c>
      <c r="L86" s="38" t="e">
        <f ca="1">_xll.BDP(B86,"CHG_PCT_WTD")</f>
        <v>#NAME?</v>
      </c>
      <c r="M86" s="38" t="e">
        <f ca="1">_xll.BDP(B86,"CHG_PCT_1M_RT")</f>
        <v>#NAME?</v>
      </c>
      <c r="N86" s="38" t="e">
        <f ca="1">_xll.BDP(B86,"CHG_PCT_3M_RT")</f>
        <v>#NAME?</v>
      </c>
      <c r="O86" s="38" t="e">
        <f ca="1">_xll.BDP(B86,"CHG_PCT_6M")</f>
        <v>#NAME?</v>
      </c>
      <c r="P86" s="38" t="e">
        <f ca="1">_xll.BDP(B86,"CHG_PCT_YTD")</f>
        <v>#NAME?</v>
      </c>
      <c r="Q86" s="38" t="e">
        <f ca="1">_xll.BDP(B86,"PRICE_CHANGE_1Y_PCT_RT")</f>
        <v>#NAME?</v>
      </c>
      <c r="R86" s="37" t="e">
        <f ca="1">_xll.BDP(B86,"STANDARD_DEVIATION_3YR")</f>
        <v>#NAME?</v>
      </c>
      <c r="S86" s="37" t="e">
        <f ca="1">_xll.BDP(B86,"EQY_SHARPE_RATIO_3YR")</f>
        <v>#NAME?</v>
      </c>
      <c r="T86" s="37" t="e">
        <f ca="1">_xll.BDP(B86,"FUND_EXPENSE_RATIO")</f>
        <v>#NAME?</v>
      </c>
      <c r="U86" s="39" t="e">
        <f ca="1">_xll.BDP(B86,"TRACKING_ERROR")</f>
        <v>#NAME?</v>
      </c>
    </row>
    <row r="87" spans="2:21" ht="38.1" customHeight="1" x14ac:dyDescent="0.5">
      <c r="B87" s="23" t="s">
        <v>123</v>
      </c>
      <c r="C87" s="23" t="s">
        <v>271</v>
      </c>
      <c r="D87" s="23" t="s">
        <v>272</v>
      </c>
      <c r="E87" s="23" t="e">
        <f ca="1">_xll.BDP(B87,"FUND_INCEPT_DT")</f>
        <v>#NAME?</v>
      </c>
      <c r="F87" s="23" t="e">
        <f ca="1">_xll.BDP(B87,"CRNCY")</f>
        <v>#NAME?</v>
      </c>
      <c r="G87" s="35" t="e">
        <f ca="1">_xll.BDP(B87,"LAST_PRICE")</f>
        <v>#NAME?</v>
      </c>
      <c r="H87" s="36" t="e">
        <f ca="1">_xll.BDP(B87,"30_DAY_AVERAGE_VOLUME_AT_TIME_RT")</f>
        <v>#NAME?</v>
      </c>
      <c r="I87" s="37" t="e">
        <f ca="1">_xll.BDP(B87,"AVERAGE_BID_ASK_SPREAD_%")</f>
        <v>#NAME?</v>
      </c>
      <c r="J87" s="38" t="e">
        <f ca="1">_xll.BDP(B87,"RT_PX_CHG_NET_1D")</f>
        <v>#NAME?</v>
      </c>
      <c r="K87" s="38" t="e">
        <f ca="1">_xll.BDP(B87,"RT_PX_CHG_PCT_1D")</f>
        <v>#NAME?</v>
      </c>
      <c r="L87" s="38" t="e">
        <f ca="1">_xll.BDP(B87,"CHG_PCT_WTD")</f>
        <v>#NAME?</v>
      </c>
      <c r="M87" s="38" t="e">
        <f ca="1">_xll.BDP(B87,"CHG_PCT_1M_RT")</f>
        <v>#NAME?</v>
      </c>
      <c r="N87" s="38" t="e">
        <f ca="1">_xll.BDP(B87,"CHG_PCT_3M_RT")</f>
        <v>#NAME?</v>
      </c>
      <c r="O87" s="38" t="e">
        <f ca="1">_xll.BDP(B87,"CHG_PCT_6M")</f>
        <v>#NAME?</v>
      </c>
      <c r="P87" s="38" t="e">
        <f ca="1">_xll.BDP(B87,"CHG_PCT_YTD")</f>
        <v>#NAME?</v>
      </c>
      <c r="Q87" s="38" t="e">
        <f ca="1">_xll.BDP(B87,"PRICE_CHANGE_1Y_PCT_RT")</f>
        <v>#NAME?</v>
      </c>
      <c r="R87" s="37" t="e">
        <f ca="1">_xll.BDP(B87,"STANDARD_DEVIATION_3YR")</f>
        <v>#NAME?</v>
      </c>
      <c r="S87" s="37" t="e">
        <f ca="1">_xll.BDP(B87,"EQY_SHARPE_RATIO_3YR")</f>
        <v>#NAME?</v>
      </c>
      <c r="T87" s="37" t="e">
        <f ca="1">_xll.BDP(B87,"FUND_EXPENSE_RATIO")</f>
        <v>#NAME?</v>
      </c>
      <c r="U87" s="39" t="e">
        <f ca="1">_xll.BDP(B87,"TRACKING_ERROR")</f>
        <v>#NAME?</v>
      </c>
    </row>
    <row r="88" spans="2:21" ht="38.1" customHeight="1" x14ac:dyDescent="0.5">
      <c r="B88" s="23" t="s">
        <v>124</v>
      </c>
      <c r="C88" s="23" t="s">
        <v>273</v>
      </c>
      <c r="D88" s="23" t="s">
        <v>274</v>
      </c>
      <c r="E88" s="23" t="e">
        <f ca="1">_xll.BDP(B88,"FUND_INCEPT_DT")</f>
        <v>#NAME?</v>
      </c>
      <c r="F88" s="23" t="e">
        <f ca="1">_xll.BDP(B88,"CRNCY")</f>
        <v>#NAME?</v>
      </c>
      <c r="G88" s="35" t="e">
        <f ca="1">_xll.BDP(B88,"LAST_PRICE")</f>
        <v>#NAME?</v>
      </c>
      <c r="H88" s="36" t="e">
        <f ca="1">_xll.BDP(B88,"30_DAY_AVERAGE_VOLUME_AT_TIME_RT")</f>
        <v>#NAME?</v>
      </c>
      <c r="I88" s="37" t="e">
        <f ca="1">_xll.BDP(B88,"AVERAGE_BID_ASK_SPREAD_%")</f>
        <v>#NAME?</v>
      </c>
      <c r="J88" s="38" t="e">
        <f ca="1">_xll.BDP(B88,"RT_PX_CHG_NET_1D")</f>
        <v>#NAME?</v>
      </c>
      <c r="K88" s="38" t="e">
        <f ca="1">_xll.BDP(B88,"RT_PX_CHG_PCT_1D")</f>
        <v>#NAME?</v>
      </c>
      <c r="L88" s="38" t="e">
        <f ca="1">_xll.BDP(B88,"CHG_PCT_WTD")</f>
        <v>#NAME?</v>
      </c>
      <c r="M88" s="38" t="e">
        <f ca="1">_xll.BDP(B88,"CHG_PCT_1M_RT")</f>
        <v>#NAME?</v>
      </c>
      <c r="N88" s="38" t="e">
        <f ca="1">_xll.BDP(B88,"CHG_PCT_3M_RT")</f>
        <v>#NAME?</v>
      </c>
      <c r="O88" s="38" t="e">
        <f ca="1">_xll.BDP(B88,"CHG_PCT_6M")</f>
        <v>#NAME?</v>
      </c>
      <c r="P88" s="38" t="e">
        <f ca="1">_xll.BDP(B88,"CHG_PCT_YTD")</f>
        <v>#NAME?</v>
      </c>
      <c r="Q88" s="38" t="e">
        <f ca="1">_xll.BDP(B88,"PRICE_CHANGE_1Y_PCT_RT")</f>
        <v>#NAME?</v>
      </c>
      <c r="R88" s="37" t="e">
        <f ca="1">_xll.BDP(B88,"STANDARD_DEVIATION_3YR")</f>
        <v>#NAME?</v>
      </c>
      <c r="S88" s="37" t="e">
        <f ca="1">_xll.BDP(B88,"EQY_SHARPE_RATIO_3YR")</f>
        <v>#NAME?</v>
      </c>
      <c r="T88" s="37" t="e">
        <f ca="1">_xll.BDP(B88,"FUND_EXPENSE_RATIO")</f>
        <v>#NAME?</v>
      </c>
      <c r="U88" s="39" t="e">
        <f ca="1">_xll.BDP(B88,"TRACKING_ERROR")</f>
        <v>#NAME?</v>
      </c>
    </row>
    <row r="89" spans="2:21" ht="38.1" customHeight="1" x14ac:dyDescent="0.5">
      <c r="B89" s="23" t="s">
        <v>125</v>
      </c>
      <c r="C89" s="23" t="s">
        <v>275</v>
      </c>
      <c r="D89" s="23" t="s">
        <v>276</v>
      </c>
      <c r="E89" s="23" t="e">
        <f ca="1">_xll.BDP(B89,"FUND_INCEPT_DT")</f>
        <v>#NAME?</v>
      </c>
      <c r="F89" s="23" t="e">
        <f ca="1">_xll.BDP(B89,"CRNCY")</f>
        <v>#NAME?</v>
      </c>
      <c r="G89" s="35" t="e">
        <f ca="1">_xll.BDP(B89,"LAST_PRICE")</f>
        <v>#NAME?</v>
      </c>
      <c r="H89" s="36" t="e">
        <f ca="1">_xll.BDP(B89,"30_DAY_AVERAGE_VOLUME_AT_TIME_RT")</f>
        <v>#NAME?</v>
      </c>
      <c r="I89" s="37" t="e">
        <f ca="1">_xll.BDP(B89,"AVERAGE_BID_ASK_SPREAD_%")</f>
        <v>#NAME?</v>
      </c>
      <c r="J89" s="38" t="e">
        <f ca="1">_xll.BDP(B89,"RT_PX_CHG_NET_1D")</f>
        <v>#NAME?</v>
      </c>
      <c r="K89" s="38" t="e">
        <f ca="1">_xll.BDP(B89,"RT_PX_CHG_PCT_1D")</f>
        <v>#NAME?</v>
      </c>
      <c r="L89" s="38" t="e">
        <f ca="1">_xll.BDP(B89,"CHG_PCT_WTD")</f>
        <v>#NAME?</v>
      </c>
      <c r="M89" s="38" t="e">
        <f ca="1">_xll.BDP(B89,"CHG_PCT_1M_RT")</f>
        <v>#NAME?</v>
      </c>
      <c r="N89" s="38" t="e">
        <f ca="1">_xll.BDP(B89,"CHG_PCT_3M_RT")</f>
        <v>#NAME?</v>
      </c>
      <c r="O89" s="38" t="e">
        <f ca="1">_xll.BDP(B89,"CHG_PCT_6M")</f>
        <v>#NAME?</v>
      </c>
      <c r="P89" s="38" t="e">
        <f ca="1">_xll.BDP(B89,"CHG_PCT_YTD")</f>
        <v>#NAME?</v>
      </c>
      <c r="Q89" s="38" t="e">
        <f ca="1">_xll.BDP(B89,"PRICE_CHANGE_1Y_PCT_RT")</f>
        <v>#NAME?</v>
      </c>
      <c r="R89" s="37" t="e">
        <f ca="1">_xll.BDP(B89,"STANDARD_DEVIATION_3YR")</f>
        <v>#NAME?</v>
      </c>
      <c r="S89" s="37" t="e">
        <f ca="1">_xll.BDP(B89,"EQY_SHARPE_RATIO_3YR")</f>
        <v>#NAME?</v>
      </c>
      <c r="T89" s="37" t="e">
        <f ca="1">_xll.BDP(B89,"FUND_EXPENSE_RATIO")</f>
        <v>#NAME?</v>
      </c>
      <c r="U89" s="39" t="e">
        <f ca="1">_xll.BDP(B89,"TRACKING_ERROR")</f>
        <v>#NAME?</v>
      </c>
    </row>
    <row r="90" spans="2:21" ht="38.1" customHeight="1" x14ac:dyDescent="0.5">
      <c r="B90" s="27" t="s">
        <v>277</v>
      </c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/>
    </row>
    <row r="91" spans="2:21" ht="38.1" customHeight="1" x14ac:dyDescent="0.5">
      <c r="B91" s="23" t="s">
        <v>126</v>
      </c>
      <c r="C91" s="23" t="s">
        <v>278</v>
      </c>
      <c r="D91" s="23" t="s">
        <v>279</v>
      </c>
      <c r="E91" s="23" t="e">
        <f ca="1">_xll.BDP(B91,"FUND_INCEPT_DT")</f>
        <v>#NAME?</v>
      </c>
      <c r="F91" s="23" t="e">
        <f ca="1">_xll.BDP(B91,"CRNCY")</f>
        <v>#NAME?</v>
      </c>
      <c r="G91" s="35" t="e">
        <f ca="1">_xll.BDP(B91,"LAST_PRICE")</f>
        <v>#NAME?</v>
      </c>
      <c r="H91" s="36" t="e">
        <f ca="1">_xll.BDP(B91,"30_DAY_AVERAGE_VOLUME_AT_TIME_RT")</f>
        <v>#NAME?</v>
      </c>
      <c r="I91" s="37" t="e">
        <f ca="1">_xll.BDP(B91,"AVERAGE_BID_ASK_SPREAD_%")</f>
        <v>#NAME?</v>
      </c>
      <c r="J91" s="38" t="e">
        <f ca="1">_xll.BDP(B91,"RT_PX_CHG_NET_1D")</f>
        <v>#NAME?</v>
      </c>
      <c r="K91" s="38" t="e">
        <f ca="1">_xll.BDP(B91,"RT_PX_CHG_PCT_1D")</f>
        <v>#NAME?</v>
      </c>
      <c r="L91" s="38" t="e">
        <f ca="1">_xll.BDP(B91,"CHG_PCT_WTD")</f>
        <v>#NAME?</v>
      </c>
      <c r="M91" s="38" t="e">
        <f ca="1">_xll.BDP(B91,"CHG_PCT_1M_RT")</f>
        <v>#NAME?</v>
      </c>
      <c r="N91" s="38" t="e">
        <f ca="1">_xll.BDP(B91,"CHG_PCT_3M_RT")</f>
        <v>#NAME?</v>
      </c>
      <c r="O91" s="38" t="e">
        <f ca="1">_xll.BDP(B91,"CHG_PCT_6M")</f>
        <v>#NAME?</v>
      </c>
      <c r="P91" s="38" t="e">
        <f ca="1">_xll.BDP(B91,"CHG_PCT_YTD")</f>
        <v>#NAME?</v>
      </c>
      <c r="Q91" s="38" t="e">
        <f ca="1">_xll.BDP(B91,"PRICE_CHANGE_1Y_PCT_RT")</f>
        <v>#NAME?</v>
      </c>
      <c r="R91" s="37" t="e">
        <f ca="1">_xll.BDP(B91,"STANDARD_DEVIATION_3YR")</f>
        <v>#NAME?</v>
      </c>
      <c r="S91" s="37" t="e">
        <f ca="1">_xll.BDP(B91,"EQY_SHARPE_RATIO_3YR")</f>
        <v>#NAME?</v>
      </c>
      <c r="T91" s="37" t="e">
        <f ca="1">_xll.BDP(B91,"FUND_EXPENSE_RATIO")</f>
        <v>#NAME?</v>
      </c>
      <c r="U91" s="39" t="e">
        <f ca="1">_xll.BDP(B91,"TRACKING_ERROR")</f>
        <v>#NAME?</v>
      </c>
    </row>
    <row r="92" spans="2:21" ht="38.1" customHeight="1" x14ac:dyDescent="0.5">
      <c r="B92" s="23" t="s">
        <v>127</v>
      </c>
      <c r="C92" s="23" t="s">
        <v>280</v>
      </c>
      <c r="D92" s="23" t="s">
        <v>281</v>
      </c>
      <c r="E92" s="23" t="e">
        <f ca="1">_xll.BDP(B92,"FUND_INCEPT_DT")</f>
        <v>#NAME?</v>
      </c>
      <c r="F92" s="23" t="e">
        <f ca="1">_xll.BDP(B92,"CRNCY")</f>
        <v>#NAME?</v>
      </c>
      <c r="G92" s="35" t="e">
        <f ca="1">_xll.BDP(B92,"LAST_PRICE")</f>
        <v>#NAME?</v>
      </c>
      <c r="H92" s="36" t="e">
        <f ca="1">_xll.BDP(B92,"30_DAY_AVERAGE_VOLUME_AT_TIME_RT")</f>
        <v>#NAME?</v>
      </c>
      <c r="I92" s="37" t="e">
        <f ca="1">_xll.BDP(B92,"AVERAGE_BID_ASK_SPREAD_%")</f>
        <v>#NAME?</v>
      </c>
      <c r="J92" s="38" t="e">
        <f ca="1">_xll.BDP(B92,"RT_PX_CHG_NET_1D")</f>
        <v>#NAME?</v>
      </c>
      <c r="K92" s="38" t="e">
        <f ca="1">_xll.BDP(B92,"RT_PX_CHG_PCT_1D")</f>
        <v>#NAME?</v>
      </c>
      <c r="L92" s="38" t="e">
        <f ca="1">_xll.BDP(B92,"CHG_PCT_WTD")</f>
        <v>#NAME?</v>
      </c>
      <c r="M92" s="38" t="e">
        <f ca="1">_xll.BDP(B92,"CHG_PCT_1M_RT")</f>
        <v>#NAME?</v>
      </c>
      <c r="N92" s="38" t="e">
        <f ca="1">_xll.BDP(B92,"CHG_PCT_3M_RT")</f>
        <v>#NAME?</v>
      </c>
      <c r="O92" s="38" t="e">
        <f ca="1">_xll.BDP(B92,"CHG_PCT_6M")</f>
        <v>#NAME?</v>
      </c>
      <c r="P92" s="38" t="e">
        <f ca="1">_xll.BDP(B92,"CHG_PCT_YTD")</f>
        <v>#NAME?</v>
      </c>
      <c r="Q92" s="38" t="e">
        <f ca="1">_xll.BDP(B92,"PRICE_CHANGE_1Y_PCT_RT")</f>
        <v>#NAME?</v>
      </c>
      <c r="R92" s="37" t="e">
        <f ca="1">_xll.BDP(B92,"STANDARD_DEVIATION_3YR")</f>
        <v>#NAME?</v>
      </c>
      <c r="S92" s="37" t="e">
        <f ca="1">_xll.BDP(B92,"EQY_SHARPE_RATIO_3YR")</f>
        <v>#NAME?</v>
      </c>
      <c r="T92" s="37" t="e">
        <f ca="1">_xll.BDP(B92,"FUND_EXPENSE_RATIO")</f>
        <v>#NAME?</v>
      </c>
      <c r="U92" s="39" t="e">
        <f ca="1">_xll.BDP(B92,"TRACKING_ERROR")</f>
        <v>#NAME?</v>
      </c>
    </row>
    <row r="93" spans="2:21" ht="38.1" customHeight="1" x14ac:dyDescent="0.5">
      <c r="B93" s="23" t="s">
        <v>128</v>
      </c>
      <c r="C93" s="23" t="s">
        <v>282</v>
      </c>
      <c r="D93" s="23" t="s">
        <v>283</v>
      </c>
      <c r="E93" s="23" t="e">
        <f ca="1">_xll.BDP(B93,"FUND_INCEPT_DT")</f>
        <v>#NAME?</v>
      </c>
      <c r="F93" s="23" t="e">
        <f ca="1">_xll.BDP(B93,"CRNCY")</f>
        <v>#NAME?</v>
      </c>
      <c r="G93" s="35" t="e">
        <f ca="1">_xll.BDP(B93,"LAST_PRICE")</f>
        <v>#NAME?</v>
      </c>
      <c r="H93" s="36" t="e">
        <f ca="1">_xll.BDP(B93,"30_DAY_AVERAGE_VOLUME_AT_TIME_RT")</f>
        <v>#NAME?</v>
      </c>
      <c r="I93" s="37" t="e">
        <f ca="1">_xll.BDP(B93,"AVERAGE_BID_ASK_SPREAD_%")</f>
        <v>#NAME?</v>
      </c>
      <c r="J93" s="38" t="e">
        <f ca="1">_xll.BDP(B93,"RT_PX_CHG_NET_1D")</f>
        <v>#NAME?</v>
      </c>
      <c r="K93" s="38" t="e">
        <f ca="1">_xll.BDP(B93,"RT_PX_CHG_PCT_1D")</f>
        <v>#NAME?</v>
      </c>
      <c r="L93" s="38" t="e">
        <f ca="1">_xll.BDP(B93,"CHG_PCT_WTD")</f>
        <v>#NAME?</v>
      </c>
      <c r="M93" s="38" t="e">
        <f ca="1">_xll.BDP(B93,"CHG_PCT_1M_RT")</f>
        <v>#NAME?</v>
      </c>
      <c r="N93" s="38" t="e">
        <f ca="1">_xll.BDP(B93,"CHG_PCT_3M_RT")</f>
        <v>#NAME?</v>
      </c>
      <c r="O93" s="38" t="e">
        <f ca="1">_xll.BDP(B93,"CHG_PCT_6M")</f>
        <v>#NAME?</v>
      </c>
      <c r="P93" s="38" t="e">
        <f ca="1">_xll.BDP(B93,"CHG_PCT_YTD")</f>
        <v>#NAME?</v>
      </c>
      <c r="Q93" s="38" t="e">
        <f ca="1">_xll.BDP(B93,"PRICE_CHANGE_1Y_PCT_RT")</f>
        <v>#NAME?</v>
      </c>
      <c r="R93" s="37" t="e">
        <f ca="1">_xll.BDP(B93,"STANDARD_DEVIATION_3YR")</f>
        <v>#NAME?</v>
      </c>
      <c r="S93" s="37" t="e">
        <f ca="1">_xll.BDP(B93,"EQY_SHARPE_RATIO_3YR")</f>
        <v>#NAME?</v>
      </c>
      <c r="T93" s="37" t="e">
        <f ca="1">_xll.BDP(B93,"FUND_EXPENSE_RATIO")</f>
        <v>#NAME?</v>
      </c>
      <c r="U93" s="39" t="e">
        <f ca="1">_xll.BDP(B93,"TRACKING_ERROR")</f>
        <v>#NAME?</v>
      </c>
    </row>
    <row r="94" spans="2:21" ht="38.1" customHeight="1" x14ac:dyDescent="0.5">
      <c r="B94" s="23" t="s">
        <v>129</v>
      </c>
      <c r="C94" s="23" t="s">
        <v>284</v>
      </c>
      <c r="D94" s="23" t="s">
        <v>285</v>
      </c>
      <c r="E94" s="23" t="e">
        <f ca="1">_xll.BDP(B94,"FUND_INCEPT_DT")</f>
        <v>#NAME?</v>
      </c>
      <c r="F94" s="23" t="e">
        <f ca="1">_xll.BDP(B94,"CRNCY")</f>
        <v>#NAME?</v>
      </c>
      <c r="G94" s="35" t="e">
        <f ca="1">_xll.BDP(B94,"LAST_PRICE")</f>
        <v>#NAME?</v>
      </c>
      <c r="H94" s="36" t="e">
        <f ca="1">_xll.BDP(B94,"30_DAY_AVERAGE_VOLUME_AT_TIME_RT")</f>
        <v>#NAME?</v>
      </c>
      <c r="I94" s="37" t="e">
        <f ca="1">_xll.BDP(B94,"AVERAGE_BID_ASK_SPREAD_%")</f>
        <v>#NAME?</v>
      </c>
      <c r="J94" s="38" t="e">
        <f ca="1">_xll.BDP(B94,"RT_PX_CHG_NET_1D")</f>
        <v>#NAME?</v>
      </c>
      <c r="K94" s="38" t="e">
        <f ca="1">_xll.BDP(B94,"RT_PX_CHG_PCT_1D")</f>
        <v>#NAME?</v>
      </c>
      <c r="L94" s="38" t="e">
        <f ca="1">_xll.BDP(B94,"CHG_PCT_WTD")</f>
        <v>#NAME?</v>
      </c>
      <c r="M94" s="38" t="e">
        <f ca="1">_xll.BDP(B94,"CHG_PCT_1M_RT")</f>
        <v>#NAME?</v>
      </c>
      <c r="N94" s="38" t="e">
        <f ca="1">_xll.BDP(B94,"CHG_PCT_3M_RT")</f>
        <v>#NAME?</v>
      </c>
      <c r="O94" s="38" t="e">
        <f ca="1">_xll.BDP(B94,"CHG_PCT_6M")</f>
        <v>#NAME?</v>
      </c>
      <c r="P94" s="38" t="e">
        <f ca="1">_xll.BDP(B94,"CHG_PCT_YTD")</f>
        <v>#NAME?</v>
      </c>
      <c r="Q94" s="38" t="e">
        <f ca="1">_xll.BDP(B94,"PRICE_CHANGE_1Y_PCT_RT")</f>
        <v>#NAME?</v>
      </c>
      <c r="R94" s="37" t="e">
        <f ca="1">_xll.BDP(B94,"STANDARD_DEVIATION_3YR")</f>
        <v>#NAME?</v>
      </c>
      <c r="S94" s="37" t="e">
        <f ca="1">_xll.BDP(B94,"EQY_SHARPE_RATIO_3YR")</f>
        <v>#NAME?</v>
      </c>
      <c r="T94" s="37" t="e">
        <f ca="1">_xll.BDP(B94,"FUND_EXPENSE_RATIO")</f>
        <v>#NAME?</v>
      </c>
      <c r="U94" s="39" t="e">
        <f ca="1">_xll.BDP(B94,"TRACKING_ERROR")</f>
        <v>#NAME?</v>
      </c>
    </row>
    <row r="95" spans="2:21" ht="38.1" customHeight="1" x14ac:dyDescent="0.5">
      <c r="B95" s="23" t="s">
        <v>130</v>
      </c>
      <c r="C95" s="23" t="s">
        <v>286</v>
      </c>
      <c r="D95" s="23" t="s">
        <v>287</v>
      </c>
      <c r="E95" s="23" t="e">
        <f ca="1">_xll.BDP(B95,"FUND_INCEPT_DT")</f>
        <v>#NAME?</v>
      </c>
      <c r="F95" s="23" t="e">
        <f ca="1">_xll.BDP(B95,"CRNCY")</f>
        <v>#NAME?</v>
      </c>
      <c r="G95" s="35" t="e">
        <f ca="1">_xll.BDP(B95,"LAST_PRICE")</f>
        <v>#NAME?</v>
      </c>
      <c r="H95" s="36" t="e">
        <f ca="1">_xll.BDP(B95,"30_DAY_AVERAGE_VOLUME_AT_TIME_RT")</f>
        <v>#NAME?</v>
      </c>
      <c r="I95" s="37" t="e">
        <f ca="1">_xll.BDP(B95,"AVERAGE_BID_ASK_SPREAD_%")</f>
        <v>#NAME?</v>
      </c>
      <c r="J95" s="38" t="e">
        <f ca="1">_xll.BDP(B95,"RT_PX_CHG_NET_1D")</f>
        <v>#NAME?</v>
      </c>
      <c r="K95" s="38" t="e">
        <f ca="1">_xll.BDP(B95,"RT_PX_CHG_PCT_1D")</f>
        <v>#NAME?</v>
      </c>
      <c r="L95" s="38" t="e">
        <f ca="1">_xll.BDP(B95,"CHG_PCT_WTD")</f>
        <v>#NAME?</v>
      </c>
      <c r="M95" s="38" t="e">
        <f ca="1">_xll.BDP(B95,"CHG_PCT_1M_RT")</f>
        <v>#NAME?</v>
      </c>
      <c r="N95" s="38" t="e">
        <f ca="1">_xll.BDP(B95,"CHG_PCT_3M_RT")</f>
        <v>#NAME?</v>
      </c>
      <c r="O95" s="38" t="e">
        <f ca="1">_xll.BDP(B95,"CHG_PCT_6M")</f>
        <v>#NAME?</v>
      </c>
      <c r="P95" s="38" t="e">
        <f ca="1">_xll.BDP(B95,"CHG_PCT_YTD")</f>
        <v>#NAME?</v>
      </c>
      <c r="Q95" s="38" t="e">
        <f ca="1">_xll.BDP(B95,"PRICE_CHANGE_1Y_PCT_RT")</f>
        <v>#NAME?</v>
      </c>
      <c r="R95" s="37" t="e">
        <f ca="1">_xll.BDP(B95,"STANDARD_DEVIATION_3YR")</f>
        <v>#NAME?</v>
      </c>
      <c r="S95" s="37" t="e">
        <f ca="1">_xll.BDP(B95,"EQY_SHARPE_RATIO_3YR")</f>
        <v>#NAME?</v>
      </c>
      <c r="T95" s="37" t="e">
        <f ca="1">_xll.BDP(B95,"FUND_EXPENSE_RATIO")</f>
        <v>#NAME?</v>
      </c>
      <c r="U95" s="39" t="e">
        <f ca="1">_xll.BDP(B95,"TRACKING_ERROR")</f>
        <v>#NAME?</v>
      </c>
    </row>
    <row r="96" spans="2:21" ht="38.1" customHeight="1" x14ac:dyDescent="0.5">
      <c r="B96" s="23" t="s">
        <v>131</v>
      </c>
      <c r="C96" s="23" t="s">
        <v>288</v>
      </c>
      <c r="D96" s="23" t="s">
        <v>289</v>
      </c>
      <c r="E96" s="23" t="e">
        <f ca="1">_xll.BDP(B96,"FUND_INCEPT_DT")</f>
        <v>#NAME?</v>
      </c>
      <c r="F96" s="23" t="e">
        <f ca="1">_xll.BDP(B96,"CRNCY")</f>
        <v>#NAME?</v>
      </c>
      <c r="G96" s="35" t="e">
        <f ca="1">_xll.BDP(B96,"LAST_PRICE")</f>
        <v>#NAME?</v>
      </c>
      <c r="H96" s="36" t="e">
        <f ca="1">_xll.BDP(B96,"30_DAY_AVERAGE_VOLUME_AT_TIME_RT")</f>
        <v>#NAME?</v>
      </c>
      <c r="I96" s="37" t="e">
        <f ca="1">_xll.BDP(B96,"AVERAGE_BID_ASK_SPREAD_%")</f>
        <v>#NAME?</v>
      </c>
      <c r="J96" s="38" t="e">
        <f ca="1">_xll.BDP(B96,"RT_PX_CHG_NET_1D")</f>
        <v>#NAME?</v>
      </c>
      <c r="K96" s="38" t="e">
        <f ca="1">_xll.BDP(B96,"RT_PX_CHG_PCT_1D")</f>
        <v>#NAME?</v>
      </c>
      <c r="L96" s="38" t="e">
        <f ca="1">_xll.BDP(B96,"CHG_PCT_WTD")</f>
        <v>#NAME?</v>
      </c>
      <c r="M96" s="38" t="e">
        <f ca="1">_xll.BDP(B96,"CHG_PCT_1M_RT")</f>
        <v>#NAME?</v>
      </c>
      <c r="N96" s="38" t="e">
        <f ca="1">_xll.BDP(B96,"CHG_PCT_3M_RT")</f>
        <v>#NAME?</v>
      </c>
      <c r="O96" s="38" t="e">
        <f ca="1">_xll.BDP(B96,"CHG_PCT_6M")</f>
        <v>#NAME?</v>
      </c>
      <c r="P96" s="38" t="e">
        <f ca="1">_xll.BDP(B96,"CHG_PCT_YTD")</f>
        <v>#NAME?</v>
      </c>
      <c r="Q96" s="38" t="e">
        <f ca="1">_xll.BDP(B96,"PRICE_CHANGE_1Y_PCT_RT")</f>
        <v>#NAME?</v>
      </c>
      <c r="R96" s="37" t="e">
        <f ca="1">_xll.BDP(B96,"STANDARD_DEVIATION_3YR")</f>
        <v>#NAME?</v>
      </c>
      <c r="S96" s="37" t="e">
        <f ca="1">_xll.BDP(B96,"EQY_SHARPE_RATIO_3YR")</f>
        <v>#NAME?</v>
      </c>
      <c r="T96" s="37" t="e">
        <f ca="1">_xll.BDP(B96,"FUND_EXPENSE_RATIO")</f>
        <v>#NAME?</v>
      </c>
      <c r="U96" s="39" t="e">
        <f ca="1">_xll.BDP(B96,"TRACKING_ERROR")</f>
        <v>#NAME?</v>
      </c>
    </row>
    <row r="97" spans="2:21" ht="38.1" customHeight="1" x14ac:dyDescent="0.5">
      <c r="B97" s="23" t="s">
        <v>132</v>
      </c>
      <c r="C97" s="23" t="s">
        <v>290</v>
      </c>
      <c r="D97" s="23" t="s">
        <v>291</v>
      </c>
      <c r="E97" s="23" t="e">
        <f ca="1">_xll.BDP(B97,"FUND_INCEPT_DT")</f>
        <v>#NAME?</v>
      </c>
      <c r="F97" s="23" t="e">
        <f ca="1">_xll.BDP(B97,"CRNCY")</f>
        <v>#NAME?</v>
      </c>
      <c r="G97" s="35" t="e">
        <f ca="1">_xll.BDP(B97,"LAST_PRICE")</f>
        <v>#NAME?</v>
      </c>
      <c r="H97" s="36" t="e">
        <f ca="1">_xll.BDP(B97,"30_DAY_AVERAGE_VOLUME_AT_TIME_RT")</f>
        <v>#NAME?</v>
      </c>
      <c r="I97" s="37" t="e">
        <f ca="1">_xll.BDP(B97,"AVERAGE_BID_ASK_SPREAD_%")</f>
        <v>#NAME?</v>
      </c>
      <c r="J97" s="38" t="e">
        <f ca="1">_xll.BDP(B97,"RT_PX_CHG_NET_1D")</f>
        <v>#NAME?</v>
      </c>
      <c r="K97" s="38" t="e">
        <f ca="1">_xll.BDP(B97,"RT_PX_CHG_PCT_1D")</f>
        <v>#NAME?</v>
      </c>
      <c r="L97" s="38" t="e">
        <f ca="1">_xll.BDP(B97,"CHG_PCT_WTD")</f>
        <v>#NAME?</v>
      </c>
      <c r="M97" s="38" t="e">
        <f ca="1">_xll.BDP(B97,"CHG_PCT_1M_RT")</f>
        <v>#NAME?</v>
      </c>
      <c r="N97" s="38" t="e">
        <f ca="1">_xll.BDP(B97,"CHG_PCT_3M_RT")</f>
        <v>#NAME?</v>
      </c>
      <c r="O97" s="38" t="e">
        <f ca="1">_xll.BDP(B97,"CHG_PCT_6M")</f>
        <v>#NAME?</v>
      </c>
      <c r="P97" s="38" t="e">
        <f ca="1">_xll.BDP(B97,"CHG_PCT_YTD")</f>
        <v>#NAME?</v>
      </c>
      <c r="Q97" s="38" t="e">
        <f ca="1">_xll.BDP(B97,"PRICE_CHANGE_1Y_PCT_RT")</f>
        <v>#NAME?</v>
      </c>
      <c r="R97" s="37" t="e">
        <f ca="1">_xll.BDP(B97,"STANDARD_DEVIATION_3YR")</f>
        <v>#NAME?</v>
      </c>
      <c r="S97" s="37" t="e">
        <f ca="1">_xll.BDP(B97,"EQY_SHARPE_RATIO_3YR")</f>
        <v>#NAME?</v>
      </c>
      <c r="T97" s="37" t="e">
        <f ca="1">_xll.BDP(B97,"FUND_EXPENSE_RATIO")</f>
        <v>#NAME?</v>
      </c>
      <c r="U97" s="39" t="e">
        <f ca="1">_xll.BDP(B97,"TRACKING_ERROR")</f>
        <v>#NAME?</v>
      </c>
    </row>
    <row r="98" spans="2:21" ht="38.1" customHeight="1" x14ac:dyDescent="0.5">
      <c r="B98" s="27" t="s">
        <v>292</v>
      </c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4"/>
    </row>
    <row r="99" spans="2:21" ht="38.1" customHeight="1" x14ac:dyDescent="0.5">
      <c r="B99" s="23" t="s">
        <v>133</v>
      </c>
      <c r="C99" s="23" t="s">
        <v>293</v>
      </c>
      <c r="D99" s="23" t="s">
        <v>237</v>
      </c>
      <c r="E99" s="23" t="e">
        <f ca="1">_xll.BDP(B99,"FUND_INCEPT_DT")</f>
        <v>#NAME?</v>
      </c>
      <c r="F99" s="23" t="e">
        <f ca="1">_xll.BDP(B99,"CRNCY")</f>
        <v>#NAME?</v>
      </c>
      <c r="G99" s="35" t="e">
        <f ca="1">_xll.BDP(B99,"LAST_PRICE")</f>
        <v>#NAME?</v>
      </c>
      <c r="H99" s="36" t="e">
        <f ca="1">_xll.BDP(B99,"30_DAY_AVERAGE_VOLUME_AT_TIME_RT")</f>
        <v>#NAME?</v>
      </c>
      <c r="I99" s="37" t="e">
        <f ca="1">_xll.BDP(B99,"AVERAGE_BID_ASK_SPREAD_%")</f>
        <v>#NAME?</v>
      </c>
      <c r="J99" s="38" t="e">
        <f ca="1">_xll.BDP(B99,"RT_PX_CHG_NET_1D")</f>
        <v>#NAME?</v>
      </c>
      <c r="K99" s="38" t="e">
        <f ca="1">_xll.BDP(B99,"RT_PX_CHG_PCT_1D")</f>
        <v>#NAME?</v>
      </c>
      <c r="L99" s="38" t="e">
        <f ca="1">_xll.BDP(B99,"CHG_PCT_WTD")</f>
        <v>#NAME?</v>
      </c>
      <c r="M99" s="38" t="e">
        <f ca="1">_xll.BDP(B99,"CHG_PCT_1M_RT")</f>
        <v>#NAME?</v>
      </c>
      <c r="N99" s="38" t="e">
        <f ca="1">_xll.BDP(B99,"CHG_PCT_3M_RT")</f>
        <v>#NAME?</v>
      </c>
      <c r="O99" s="38" t="e">
        <f ca="1">_xll.BDP(B99,"CHG_PCT_6M")</f>
        <v>#NAME?</v>
      </c>
      <c r="P99" s="38" t="e">
        <f ca="1">_xll.BDP(B99,"CHG_PCT_YTD")</f>
        <v>#NAME?</v>
      </c>
      <c r="Q99" s="38" t="e">
        <f ca="1">_xll.BDP(B99,"PRICE_CHANGE_1Y_PCT_RT")</f>
        <v>#NAME?</v>
      </c>
      <c r="R99" s="37" t="e">
        <f ca="1">_xll.BDP(B99,"STANDARD_DEVIATION_3YR")</f>
        <v>#NAME?</v>
      </c>
      <c r="S99" s="37" t="e">
        <f ca="1">_xll.BDP(B99,"EQY_SHARPE_RATIO_3YR")</f>
        <v>#NAME?</v>
      </c>
      <c r="T99" s="37" t="e">
        <f ca="1">_xll.BDP(B99,"FUND_EXPENSE_RATIO")</f>
        <v>#NAME?</v>
      </c>
      <c r="U99" s="39" t="e">
        <f ca="1">_xll.BDP(B99,"TRACKING_ERROR")</f>
        <v>#NAME?</v>
      </c>
    </row>
    <row r="100" spans="2:21" ht="38.1" customHeight="1" x14ac:dyDescent="0.5">
      <c r="B100" s="23" t="s">
        <v>134</v>
      </c>
      <c r="C100" s="23" t="s">
        <v>294</v>
      </c>
      <c r="D100" s="23" t="s">
        <v>295</v>
      </c>
      <c r="E100" s="23" t="e">
        <f ca="1">_xll.BDP(B100,"FUND_INCEPT_DT")</f>
        <v>#NAME?</v>
      </c>
      <c r="F100" s="23" t="e">
        <f ca="1">_xll.BDP(B100,"CRNCY")</f>
        <v>#NAME?</v>
      </c>
      <c r="G100" s="35" t="e">
        <f ca="1">_xll.BDP(B100,"LAST_PRICE")</f>
        <v>#NAME?</v>
      </c>
      <c r="H100" s="36" t="e">
        <f ca="1">_xll.BDP(B100,"30_DAY_AVERAGE_VOLUME_AT_TIME_RT")</f>
        <v>#NAME?</v>
      </c>
      <c r="I100" s="37" t="e">
        <f ca="1">_xll.BDP(B100,"AVERAGE_BID_ASK_SPREAD_%")</f>
        <v>#NAME?</v>
      </c>
      <c r="J100" s="38" t="e">
        <f ca="1">_xll.BDP(B100,"RT_PX_CHG_NET_1D")</f>
        <v>#NAME?</v>
      </c>
      <c r="K100" s="38" t="e">
        <f ca="1">_xll.BDP(B100,"RT_PX_CHG_PCT_1D")</f>
        <v>#NAME?</v>
      </c>
      <c r="L100" s="38" t="e">
        <f ca="1">_xll.BDP(B100,"CHG_PCT_WTD")</f>
        <v>#NAME?</v>
      </c>
      <c r="M100" s="38" t="e">
        <f ca="1">_xll.BDP(B100,"CHG_PCT_1M_RT")</f>
        <v>#NAME?</v>
      </c>
      <c r="N100" s="38" t="e">
        <f ca="1">_xll.BDP(B100,"CHG_PCT_3M_RT")</f>
        <v>#NAME?</v>
      </c>
      <c r="O100" s="38" t="e">
        <f ca="1">_xll.BDP(B100,"CHG_PCT_6M")</f>
        <v>#NAME?</v>
      </c>
      <c r="P100" s="38" t="e">
        <f ca="1">_xll.BDP(B100,"CHG_PCT_YTD")</f>
        <v>#NAME?</v>
      </c>
      <c r="Q100" s="38" t="e">
        <f ca="1">_xll.BDP(B100,"PRICE_CHANGE_1Y_PCT_RT")</f>
        <v>#NAME?</v>
      </c>
      <c r="R100" s="37" t="e">
        <f ca="1">_xll.BDP(B100,"STANDARD_DEVIATION_3YR")</f>
        <v>#NAME?</v>
      </c>
      <c r="S100" s="37" t="e">
        <f ca="1">_xll.BDP(B100,"EQY_SHARPE_RATIO_3YR")</f>
        <v>#NAME?</v>
      </c>
      <c r="T100" s="37" t="e">
        <f ca="1">_xll.BDP(B100,"FUND_EXPENSE_RATIO")</f>
        <v>#NAME?</v>
      </c>
      <c r="U100" s="39" t="e">
        <f ca="1">_xll.BDP(B100,"TRACKING_ERROR")</f>
        <v>#NAME?</v>
      </c>
    </row>
    <row r="101" spans="2:21" ht="38.1" customHeight="1" x14ac:dyDescent="0.5">
      <c r="B101" s="23" t="s">
        <v>135</v>
      </c>
      <c r="C101" s="23" t="s">
        <v>296</v>
      </c>
      <c r="D101" s="23" t="s">
        <v>297</v>
      </c>
      <c r="E101" s="23" t="e">
        <f ca="1">_xll.BDP(B101,"FUND_INCEPT_DT")</f>
        <v>#NAME?</v>
      </c>
      <c r="F101" s="23" t="e">
        <f ca="1">_xll.BDP(B101,"CRNCY")</f>
        <v>#NAME?</v>
      </c>
      <c r="G101" s="35" t="e">
        <f ca="1">_xll.BDP(B101,"LAST_PRICE")</f>
        <v>#NAME?</v>
      </c>
      <c r="H101" s="36" t="e">
        <f ca="1">_xll.BDP(B101,"30_DAY_AVERAGE_VOLUME_AT_TIME_RT")</f>
        <v>#NAME?</v>
      </c>
      <c r="I101" s="37" t="e">
        <f ca="1">_xll.BDP(B101,"AVERAGE_BID_ASK_SPREAD_%")</f>
        <v>#NAME?</v>
      </c>
      <c r="J101" s="38" t="e">
        <f ca="1">_xll.BDP(B101,"RT_PX_CHG_NET_1D")</f>
        <v>#NAME?</v>
      </c>
      <c r="K101" s="38" t="e">
        <f ca="1">_xll.BDP(B101,"RT_PX_CHG_PCT_1D")</f>
        <v>#NAME?</v>
      </c>
      <c r="L101" s="38" t="e">
        <f ca="1">_xll.BDP(B101,"CHG_PCT_WTD")</f>
        <v>#NAME?</v>
      </c>
      <c r="M101" s="38" t="e">
        <f ca="1">_xll.BDP(B101,"CHG_PCT_1M_RT")</f>
        <v>#NAME?</v>
      </c>
      <c r="N101" s="38" t="e">
        <f ca="1">_xll.BDP(B101,"CHG_PCT_3M_RT")</f>
        <v>#NAME?</v>
      </c>
      <c r="O101" s="38" t="e">
        <f ca="1">_xll.BDP(B101,"CHG_PCT_6M")</f>
        <v>#NAME?</v>
      </c>
      <c r="P101" s="38" t="e">
        <f ca="1">_xll.BDP(B101,"CHG_PCT_YTD")</f>
        <v>#NAME?</v>
      </c>
      <c r="Q101" s="38" t="e">
        <f ca="1">_xll.BDP(B101,"PRICE_CHANGE_1Y_PCT_RT")</f>
        <v>#NAME?</v>
      </c>
      <c r="R101" s="37" t="e">
        <f ca="1">_xll.BDP(B101,"STANDARD_DEVIATION_3YR")</f>
        <v>#NAME?</v>
      </c>
      <c r="S101" s="37" t="e">
        <f ca="1">_xll.BDP(B101,"EQY_SHARPE_RATIO_3YR")</f>
        <v>#NAME?</v>
      </c>
      <c r="T101" s="37" t="e">
        <f ca="1">_xll.BDP(B101,"FUND_EXPENSE_RATIO")</f>
        <v>#NAME?</v>
      </c>
      <c r="U101" s="39" t="e">
        <f ca="1">_xll.BDP(B101,"TRACKING_ERROR")</f>
        <v>#NAME?</v>
      </c>
    </row>
    <row r="102" spans="2:21" ht="38.1" customHeight="1" x14ac:dyDescent="0.5">
      <c r="B102" s="23" t="s">
        <v>136</v>
      </c>
      <c r="C102" s="23" t="s">
        <v>298</v>
      </c>
      <c r="D102" s="23" t="s">
        <v>299</v>
      </c>
      <c r="E102" s="23"/>
      <c r="F102" s="23" t="e">
        <f ca="1">_xll.BDP(B102,"CRNCY")</f>
        <v>#NAME?</v>
      </c>
      <c r="G102" s="35" t="e">
        <f ca="1">_xll.BDP(B102,"LAST_PRICE")</f>
        <v>#NAME?</v>
      </c>
      <c r="H102" s="36" t="e">
        <f ca="1">_xll.BDP(B102,"30_DAY_AVERAGE_VOLUME_AT_TIME_RT")</f>
        <v>#NAME?</v>
      </c>
      <c r="I102" s="37" t="e">
        <f ca="1">_xll.BDP(B102,"AVERAGE_BID_ASK_SPREAD_%")</f>
        <v>#NAME?</v>
      </c>
      <c r="J102" s="38" t="e">
        <f ca="1">_xll.BDP(B102,"RT_PX_CHG_NET_1D")</f>
        <v>#NAME?</v>
      </c>
      <c r="K102" s="38" t="e">
        <f ca="1">_xll.BDP(B102,"RT_PX_CHG_PCT_1D")</f>
        <v>#NAME?</v>
      </c>
      <c r="L102" s="38" t="e">
        <f ca="1">_xll.BDP(B102,"CHG_PCT_WTD")</f>
        <v>#NAME?</v>
      </c>
      <c r="M102" s="38" t="e">
        <f ca="1">_xll.BDP(B102,"CHG_PCT_1M_RT")</f>
        <v>#NAME?</v>
      </c>
      <c r="N102" s="38" t="e">
        <f ca="1">_xll.BDP(B102,"CHG_PCT_3M_RT")</f>
        <v>#NAME?</v>
      </c>
      <c r="O102" s="38" t="e">
        <f ca="1">_xll.BDP(B102,"CHG_PCT_6M")</f>
        <v>#NAME?</v>
      </c>
      <c r="P102" s="38" t="e">
        <f ca="1">_xll.BDP(B102,"CHG_PCT_YTD")</f>
        <v>#NAME?</v>
      </c>
      <c r="Q102" s="38" t="e">
        <f ca="1">_xll.BDP(B102,"PRICE_CHANGE_1Y_PCT_RT")</f>
        <v>#NAME?</v>
      </c>
      <c r="R102" s="37" t="e">
        <f ca="1">_xll.BDP(B102,"STANDARD_DEVIATION_3YR")</f>
        <v>#NAME?</v>
      </c>
      <c r="S102" s="37" t="e">
        <f ca="1">_xll.BDP(B102,"EQY_SHARPE_RATIO_3YR")</f>
        <v>#NAME?</v>
      </c>
      <c r="T102" s="37" t="e">
        <f ca="1">_xll.BDP(B102,"FUND_EXPENSE_RATIO")</f>
        <v>#NAME?</v>
      </c>
      <c r="U102" s="39" t="e">
        <f ca="1">_xll.BDP(B102,"TRACKING_ERROR")</f>
        <v>#NAME?</v>
      </c>
    </row>
    <row r="103" spans="2:21" ht="38.1" customHeight="1" x14ac:dyDescent="0.5">
      <c r="B103" s="23" t="s">
        <v>137</v>
      </c>
      <c r="C103" s="23" t="s">
        <v>300</v>
      </c>
      <c r="D103" s="23" t="s">
        <v>301</v>
      </c>
      <c r="E103" s="23" t="e">
        <f ca="1">_xll.BDP(B103,"FUND_INCEPT_DT")</f>
        <v>#NAME?</v>
      </c>
      <c r="F103" s="23" t="e">
        <f ca="1">_xll.BDP(B103,"CRNCY")</f>
        <v>#NAME?</v>
      </c>
      <c r="G103" s="35" t="e">
        <f ca="1">_xll.BDP(B103,"LAST_PRICE")</f>
        <v>#NAME?</v>
      </c>
      <c r="H103" s="36" t="e">
        <f ca="1">_xll.BDP(B103,"30_DAY_AVERAGE_VOLUME_AT_TIME_RT")</f>
        <v>#NAME?</v>
      </c>
      <c r="I103" s="37" t="e">
        <f ca="1">_xll.BDP(B103,"AVERAGE_BID_ASK_SPREAD_%")</f>
        <v>#NAME?</v>
      </c>
      <c r="J103" s="38" t="e">
        <f ca="1">_xll.BDP(B103,"RT_PX_CHG_NET_1D")</f>
        <v>#NAME?</v>
      </c>
      <c r="K103" s="38" t="e">
        <f ca="1">_xll.BDP(B103,"RT_PX_CHG_PCT_1D")</f>
        <v>#NAME?</v>
      </c>
      <c r="L103" s="38" t="e">
        <f ca="1">_xll.BDP(B103,"CHG_PCT_WTD")</f>
        <v>#NAME?</v>
      </c>
      <c r="M103" s="38" t="e">
        <f ca="1">_xll.BDP(B103,"CHG_PCT_1M_RT")</f>
        <v>#NAME?</v>
      </c>
      <c r="N103" s="38" t="e">
        <f ca="1">_xll.BDP(B103,"CHG_PCT_3M_RT")</f>
        <v>#NAME?</v>
      </c>
      <c r="O103" s="38" t="e">
        <f ca="1">_xll.BDP(B103,"CHG_PCT_6M")</f>
        <v>#NAME?</v>
      </c>
      <c r="P103" s="38" t="e">
        <f ca="1">_xll.BDP(B103,"CHG_PCT_YTD")</f>
        <v>#NAME?</v>
      </c>
      <c r="Q103" s="38" t="e">
        <f ca="1">_xll.BDP(B103,"PRICE_CHANGE_1Y_PCT_RT")</f>
        <v>#NAME?</v>
      </c>
      <c r="R103" s="37" t="e">
        <f ca="1">_xll.BDP(B103,"STANDARD_DEVIATION_3YR")</f>
        <v>#NAME?</v>
      </c>
      <c r="S103" s="37" t="e">
        <f ca="1">_xll.BDP(B103,"EQY_SHARPE_RATIO_3YR")</f>
        <v>#NAME?</v>
      </c>
      <c r="T103" s="37" t="e">
        <f ca="1">_xll.BDP(B103,"FUND_EXPENSE_RATIO")</f>
        <v>#NAME?</v>
      </c>
      <c r="U103" s="39" t="e">
        <f ca="1">_xll.BDP(B103,"TRACKING_ERROR")</f>
        <v>#NAME?</v>
      </c>
    </row>
    <row r="104" spans="2:21" ht="38.1" customHeight="1" x14ac:dyDescent="0.5">
      <c r="B104" s="24" t="s">
        <v>138</v>
      </c>
      <c r="C104" s="24" t="s">
        <v>302</v>
      </c>
      <c r="D104" s="24" t="s">
        <v>303</v>
      </c>
      <c r="E104" s="46" t="e">
        <f ca="1">_xll.BDP(B104,"FUND_INCEPT_DT")</f>
        <v>#NAME?</v>
      </c>
      <c r="F104" s="24" t="e">
        <f ca="1">_xll.BDP(B104,"CRNCY")</f>
        <v>#NAME?</v>
      </c>
      <c r="G104" s="41" t="e">
        <f ca="1">_xll.BDP(B104,"LAST_PRICE")</f>
        <v>#NAME?</v>
      </c>
      <c r="H104" s="42" t="e">
        <f ca="1">_xll.BDP(B104,"30_DAY_AVERAGE_VOLUME_AT_TIME_RT")</f>
        <v>#NAME?</v>
      </c>
      <c r="I104" s="43" t="e">
        <f ca="1">_xll.BDP(B104,"AVERAGE_BID_ASK_SPREAD_%")</f>
        <v>#NAME?</v>
      </c>
      <c r="J104" s="44" t="e">
        <f ca="1">_xll.BDP(B104,"RT_PX_CHG_NET_1D")</f>
        <v>#NAME?</v>
      </c>
      <c r="K104" s="44" t="e">
        <f ca="1">_xll.BDP(B104,"RT_PX_CHG_PCT_1D")</f>
        <v>#NAME?</v>
      </c>
      <c r="L104" s="44" t="e">
        <f ca="1">_xll.BDP(B104,"CHG_PCT_WTD")</f>
        <v>#NAME?</v>
      </c>
      <c r="M104" s="44" t="e">
        <f ca="1">_xll.BDP(B104,"CHG_PCT_1M_RT")</f>
        <v>#NAME?</v>
      </c>
      <c r="N104" s="44" t="e">
        <f ca="1">_xll.BDP(B104,"CHG_PCT_3M_RT")</f>
        <v>#NAME?</v>
      </c>
      <c r="O104" s="44" t="e">
        <f ca="1">_xll.BDP(B104,"CHG_PCT_6M")</f>
        <v>#NAME?</v>
      </c>
      <c r="P104" s="44" t="e">
        <f ca="1">_xll.BDP(B104,"CHG_PCT_YTD")</f>
        <v>#NAME?</v>
      </c>
      <c r="Q104" s="44" t="e">
        <f ca="1">_xll.BDP(B104,"PRICE_CHANGE_1Y_PCT_RT")</f>
        <v>#NAME?</v>
      </c>
      <c r="R104" s="43" t="e">
        <f ca="1">_xll.BDP(B104,"STANDARD_DEVIATION_3YR")</f>
        <v>#NAME?</v>
      </c>
      <c r="S104" s="43" t="e">
        <f ca="1">_xll.BDP(B104,"EQY_SHARPE_RATIO_3YR")</f>
        <v>#NAME?</v>
      </c>
      <c r="T104" s="43" t="e">
        <f ca="1">_xll.BDP(B104,"FUND_EXPENSE_RATIO")</f>
        <v>#NAME?</v>
      </c>
      <c r="U104" s="45" t="e">
        <f ca="1">_xll.BDP(B104,"TRACKING_ERROR")</f>
        <v>#NAME?</v>
      </c>
    </row>
    <row r="105" spans="2:21" s="25" customFormat="1" ht="38.1" customHeight="1" x14ac:dyDescent="0.5">
      <c r="B105" s="25" t="s">
        <v>305</v>
      </c>
    </row>
    <row r="106" spans="2:21" s="25" customFormat="1" ht="38.1" customHeight="1" x14ac:dyDescent="0.5"/>
    <row r="107" spans="2:21" s="25" customFormat="1" ht="38.1" customHeight="1" x14ac:dyDescent="0.5"/>
    <row r="108" spans="2:21" s="25" customFormat="1" ht="38.1" customHeight="1" x14ac:dyDescent="0.5"/>
    <row r="109" spans="2:21" s="25" customFormat="1" ht="38.1" customHeight="1" x14ac:dyDescent="0.5"/>
    <row r="110" spans="2:21" s="25" customFormat="1" ht="38.1" customHeight="1" x14ac:dyDescent="0.5"/>
    <row r="111" spans="2:21" s="25" customFormat="1" ht="38.1" customHeight="1" x14ac:dyDescent="0.5"/>
    <row r="112" spans="2:21" s="25" customFormat="1" ht="38.1" customHeight="1" x14ac:dyDescent="0.5"/>
    <row r="113" s="25" customFormat="1" ht="38.1" customHeight="1" x14ac:dyDescent="0.5"/>
    <row r="114" s="25" customFormat="1" ht="38.1" customHeight="1" x14ac:dyDescent="0.5"/>
  </sheetData>
  <conditionalFormatting sqref="J8:Q14">
    <cfRule type="cellIs" dxfId="29" priority="29" operator="lessThan">
      <formula>0</formula>
    </cfRule>
    <cfRule type="cellIs" dxfId="28" priority="30" operator="greaterThan">
      <formula>0</formula>
    </cfRule>
  </conditionalFormatting>
  <conditionalFormatting sqref="J86:Q89">
    <cfRule type="cellIs" dxfId="27" priority="5" operator="lessThan">
      <formula>0</formula>
    </cfRule>
    <cfRule type="cellIs" dxfId="26" priority="6" operator="greaterThan">
      <formula>0</formula>
    </cfRule>
  </conditionalFormatting>
  <conditionalFormatting sqref="J91:Q97">
    <cfRule type="cellIs" dxfId="25" priority="3" operator="lessThan">
      <formula>0</formula>
    </cfRule>
    <cfRule type="cellIs" dxfId="24" priority="4" operator="greaterThan">
      <formula>0</formula>
    </cfRule>
  </conditionalFormatting>
  <conditionalFormatting sqref="J99:Q104">
    <cfRule type="cellIs" dxfId="23" priority="1" operator="lessThan">
      <formula>0</formula>
    </cfRule>
    <cfRule type="cellIs" dxfId="22" priority="2" operator="greaterThan">
      <formula>0</formula>
    </cfRule>
  </conditionalFormatting>
  <conditionalFormatting sqref="J16:Q18">
    <cfRule type="cellIs" dxfId="21" priority="27" operator="lessThan">
      <formula>0</formula>
    </cfRule>
    <cfRule type="cellIs" dxfId="20" priority="28" operator="greaterThan">
      <formula>0</formula>
    </cfRule>
  </conditionalFormatting>
  <conditionalFormatting sqref="J20:Q22">
    <cfRule type="cellIs" dxfId="19" priority="25" operator="lessThan">
      <formula>0</formula>
    </cfRule>
    <cfRule type="cellIs" dxfId="18" priority="26" operator="greaterThan">
      <formula>0</formula>
    </cfRule>
  </conditionalFormatting>
  <conditionalFormatting sqref="J24:Q26">
    <cfRule type="cellIs" dxfId="17" priority="23" operator="lessThan">
      <formula>0</formula>
    </cfRule>
    <cfRule type="cellIs" dxfId="16" priority="24" operator="greaterThan">
      <formula>0</formula>
    </cfRule>
  </conditionalFormatting>
  <conditionalFormatting sqref="J28:Q30">
    <cfRule type="cellIs" dxfId="15" priority="21" operator="lessThan">
      <formula>0</formula>
    </cfRule>
    <cfRule type="cellIs" dxfId="14" priority="22" operator="greaterThan">
      <formula>0</formula>
    </cfRule>
  </conditionalFormatting>
  <conditionalFormatting sqref="J32:Q33">
    <cfRule type="cellIs" dxfId="13" priority="19" operator="lessThan">
      <formula>0</formula>
    </cfRule>
    <cfRule type="cellIs" dxfId="12" priority="20" operator="greaterThan">
      <formula>0</formula>
    </cfRule>
  </conditionalFormatting>
  <conditionalFormatting sqref="J35:Q38">
    <cfRule type="cellIs" dxfId="11" priority="17" operator="lessThan">
      <formula>0</formula>
    </cfRule>
    <cfRule type="cellIs" dxfId="10" priority="18" operator="greaterThan">
      <formula>0</formula>
    </cfRule>
  </conditionalFormatting>
  <conditionalFormatting sqref="J41:Q42">
    <cfRule type="cellIs" dxfId="9" priority="15" operator="lessThan">
      <formula>0</formula>
    </cfRule>
    <cfRule type="cellIs" dxfId="8" priority="16" operator="greaterThan">
      <formula>0</formula>
    </cfRule>
  </conditionalFormatting>
  <conditionalFormatting sqref="J44:Q56">
    <cfRule type="cellIs" dxfId="7" priority="13" operator="lessThan">
      <formula>0</formula>
    </cfRule>
    <cfRule type="cellIs" dxfId="6" priority="14" operator="greaterThan">
      <formula>0</formula>
    </cfRule>
  </conditionalFormatting>
  <conditionalFormatting sqref="J58:Q64">
    <cfRule type="cellIs" dxfId="5" priority="11" operator="lessThan">
      <formula>0</formula>
    </cfRule>
    <cfRule type="cellIs" dxfId="4" priority="12" operator="greaterThan">
      <formula>0</formula>
    </cfRule>
  </conditionalFormatting>
  <conditionalFormatting sqref="J66:Q75">
    <cfRule type="cellIs" dxfId="3" priority="9" operator="lessThan">
      <formula>0</formula>
    </cfRule>
    <cfRule type="cellIs" dxfId="2" priority="10" operator="greaterThan">
      <formula>0</formula>
    </cfRule>
  </conditionalFormatting>
  <conditionalFormatting sqref="J77:Q84">
    <cfRule type="cellIs" dxfId="1" priority="7" operator="lessThan">
      <formula>0</formula>
    </cfRule>
    <cfRule type="cellIs" dxfId="0" priority="8" operator="greaterThan">
      <formula>0</formula>
    </cfRule>
  </conditionalFormatting>
  <printOptions horizontalCentered="1" verticalCentered="1" gridLines="1"/>
  <pageMargins left="0" right="0" top="0" bottom="0" header="0" footer="0"/>
  <pageSetup paperSize="9" scale="15" orientation="landscape" r:id="rId1"/>
  <rowBreaks count="2" manualBreakCount="2">
    <brk id="56" min="1" max="20" man="1"/>
    <brk id="63" min="1" max="20" man="1"/>
  </rowBreaks>
  <colBreaks count="2" manualBreakCount="2">
    <brk id="4" max="104" man="1"/>
    <brk id="2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Sheet 1</vt:lpstr>
      <vt:lpstr>Hoja1</vt:lpstr>
      <vt:lpstr>fixedincome</vt:lpstr>
      <vt:lpstr>equity1</vt:lpstr>
      <vt:lpstr>equity2</vt:lpstr>
      <vt:lpstr>Fixed Income (2)</vt:lpstr>
      <vt:lpstr>Backup</vt:lpstr>
      <vt:lpstr>Backup!Área_de_impresión</vt:lpstr>
      <vt:lpstr>equity1!Área_de_impresión</vt:lpstr>
      <vt:lpstr>equity2!Área_de_impresión</vt:lpstr>
      <vt:lpstr>'Fixed Income (2)'!Área_de_impresión</vt:lpstr>
      <vt:lpstr>fixedincome!Área_de_impresión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Bloomberg</cp:lastModifiedBy>
  <cp:lastPrinted>2020-12-11T14:01:02Z</cp:lastPrinted>
  <dcterms:created xsi:type="dcterms:W3CDTF">2013-04-03T15:49:21Z</dcterms:created>
  <dcterms:modified xsi:type="dcterms:W3CDTF">2021-03-18T15:06:55Z</dcterms:modified>
</cp:coreProperties>
</file>