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ve\Documents\Université\SAE 106 - Gestion de projet\"/>
    </mc:Choice>
  </mc:AlternateContent>
  <xr:revisionPtr revIDLastSave="0" documentId="13_ncr:1_{3093FF47-62CB-4202-A52D-BB7B53FC111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UDGET" sheetId="1" r:id="rId1"/>
    <sheet name="TRANSPORTS" sheetId="2" r:id="rId2"/>
    <sheet name="ANIMATIONS" sheetId="3" r:id="rId3"/>
    <sheet name="DEPLACEMENTS" sheetId="4" r:id="rId4"/>
    <sheet name="REPAS" sheetId="5" r:id="rId5"/>
    <sheet name="HOT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1" l="1"/>
  <c r="E30" i="1"/>
  <c r="F31" i="1"/>
  <c r="E31" i="1"/>
  <c r="C31" i="1"/>
  <c r="F30" i="1"/>
  <c r="F29" i="1"/>
  <c r="E29" i="1"/>
  <c r="C29" i="1"/>
  <c r="F28" i="1"/>
  <c r="E28" i="1"/>
  <c r="C28" i="1"/>
  <c r="G7" i="2"/>
  <c r="F7" i="2"/>
  <c r="G7" i="5"/>
  <c r="G9" i="5"/>
  <c r="G11" i="5"/>
  <c r="G13" i="5"/>
  <c r="G15" i="5"/>
  <c r="F6" i="5"/>
  <c r="G6" i="5" s="1"/>
  <c r="F7" i="5"/>
  <c r="F8" i="5"/>
  <c r="G8" i="5" s="1"/>
  <c r="F9" i="5"/>
  <c r="F10" i="5"/>
  <c r="G10" i="5" s="1"/>
  <c r="F11" i="5"/>
  <c r="F12" i="5"/>
  <c r="G12" i="5" s="1"/>
  <c r="F13" i="5"/>
  <c r="F14" i="5"/>
  <c r="G14" i="5" s="1"/>
  <c r="F15" i="5"/>
  <c r="F16" i="5"/>
  <c r="G16" i="5" s="1"/>
  <c r="F17" i="5"/>
  <c r="G17" i="5" s="1"/>
  <c r="F7" i="3"/>
  <c r="F8" i="3"/>
  <c r="G8" i="3" s="1"/>
  <c r="F9" i="3"/>
  <c r="G9" i="3" s="1"/>
  <c r="G7" i="3"/>
  <c r="F6" i="3"/>
  <c r="G12" i="3" s="1"/>
  <c r="F6" i="6"/>
  <c r="G9" i="6" s="1" a="1"/>
  <c r="G9" i="6" s="1"/>
  <c r="G13" i="6" s="1"/>
  <c r="F6" i="4"/>
  <c r="F9" i="4" s="1" a="1"/>
  <c r="F9" i="4" s="1"/>
  <c r="F13" i="4" s="1"/>
  <c r="F6" i="2"/>
  <c r="G6" i="2" s="1"/>
  <c r="G10" i="2" l="1"/>
  <c r="G15" i="2" s="1"/>
  <c r="G6" i="6"/>
  <c r="G11" i="6" s="1" a="1"/>
  <c r="G11" i="6" s="1"/>
  <c r="G6" i="4"/>
  <c r="F11" i="4" s="1" a="1"/>
  <c r="F11" i="4" s="1"/>
  <c r="G16" i="3"/>
  <c r="G6" i="3"/>
  <c r="G14" i="3" s="1"/>
  <c r="G20" i="5"/>
  <c r="G12" i="2"/>
  <c r="G22" i="5"/>
  <c r="E27" i="1" l="1"/>
  <c r="F34" i="1" s="1"/>
  <c r="C27" i="1"/>
  <c r="G15" i="6"/>
  <c r="G14" i="6" s="1"/>
  <c r="G10" i="6"/>
  <c r="G21" i="5"/>
  <c r="G26" i="5"/>
  <c r="G24" i="5"/>
  <c r="F10" i="4"/>
  <c r="F15" i="4"/>
  <c r="F14" i="4" s="1"/>
  <c r="G18" i="3"/>
  <c r="G17" i="3" s="1"/>
  <c r="G13" i="3"/>
  <c r="G17" i="2"/>
  <c r="G11" i="2"/>
  <c r="G16" i="2" l="1"/>
  <c r="F27" i="1"/>
  <c r="F37" i="1" s="1"/>
  <c r="F35" i="1" s="1"/>
  <c r="G2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<sst xmlns="http://schemas.openxmlformats.org/spreadsheetml/2006/main" count="116" uniqueCount="56">
  <si>
    <t>Désignation</t>
  </si>
  <si>
    <t>Quantité</t>
  </si>
  <si>
    <t>Code TVA</t>
  </si>
  <si>
    <t>Total HT</t>
  </si>
  <si>
    <t>PU HT</t>
  </si>
  <si>
    <t>FlixBus</t>
  </si>
  <si>
    <t>Billet d'avion LA -&gt; NY</t>
  </si>
  <si>
    <t>Bowling</t>
  </si>
  <si>
    <t>Cinema</t>
  </si>
  <si>
    <t>Minigolf</t>
  </si>
  <si>
    <t>Escape Game</t>
  </si>
  <si>
    <t>Royale 35 Steakhouse</t>
  </si>
  <si>
    <t>Hatsuhana Sushi Bar</t>
  </si>
  <si>
    <t>East Village Pizzeria</t>
  </si>
  <si>
    <t>Los Tacos No°1 Taqueria</t>
  </si>
  <si>
    <t>Spice Symphony</t>
  </si>
  <si>
    <t>Boucherie Union Square</t>
  </si>
  <si>
    <t>Mei Jin Ramen</t>
  </si>
  <si>
    <t>Loi Estiatorio</t>
  </si>
  <si>
    <t>Napkin Burger</t>
  </si>
  <si>
    <t>Lobster Place</t>
  </si>
  <si>
    <t>Ilili Restaurant</t>
  </si>
  <si>
    <t>Shangai 21</t>
  </si>
  <si>
    <t>Royalton New York</t>
  </si>
  <si>
    <t>Taux de change du jour :</t>
  </si>
  <si>
    <t>% TVA</t>
  </si>
  <si>
    <t>Billet d'avion BSL -&gt; NY aller-retour</t>
  </si>
  <si>
    <t>Total TTC</t>
  </si>
  <si>
    <t>Transports</t>
  </si>
  <si>
    <t>Animations</t>
  </si>
  <si>
    <t>Déplacements</t>
  </si>
  <si>
    <t>Repas</t>
  </si>
  <si>
    <t>Hôtel</t>
  </si>
  <si>
    <t>TVA</t>
  </si>
  <si>
    <t>Total HT (€)</t>
  </si>
  <si>
    <t>Total TTC (€)</t>
  </si>
  <si>
    <t>TP11</t>
  </si>
  <si>
    <t>MMI</t>
  </si>
  <si>
    <t>Groupe PTUT n°11</t>
  </si>
  <si>
    <t>68100 MULHOUSE</t>
  </si>
  <si>
    <t>61 rue Albert Camus</t>
  </si>
  <si>
    <t>M. Grevillot</t>
  </si>
  <si>
    <t>Mulhouse, le 14/12/2022</t>
  </si>
  <si>
    <t>M. GHIMBEU Gabriel</t>
  </si>
  <si>
    <t>Site web : www.beatindeez.com</t>
  </si>
  <si>
    <t>FACTURE</t>
  </si>
  <si>
    <t>TOTAL HT :</t>
  </si>
  <si>
    <t>TVA :</t>
  </si>
  <si>
    <t>Commanditaire / client :</t>
  </si>
  <si>
    <t>Nom :</t>
  </si>
  <si>
    <t>Adresse :</t>
  </si>
  <si>
    <t>Interlocuteur :</t>
  </si>
  <si>
    <t>TOTAL TTC :</t>
  </si>
  <si>
    <r>
      <rPr>
        <sz val="14"/>
        <color theme="1"/>
        <rFont val="Calibri"/>
        <family val="2"/>
        <scheme val="minor"/>
      </rPr>
      <t xml:space="preserve">13 rue de Niffer - </t>
    </r>
    <r>
      <rPr>
        <b/>
        <sz val="14"/>
        <color theme="1"/>
        <rFont val="Calibri"/>
        <family val="2"/>
        <scheme val="minor"/>
      </rPr>
      <t>68100 MULHOUSE Cedex</t>
    </r>
  </si>
  <si>
    <t>Facture n°41982100000</t>
  </si>
  <si>
    <t>Beatin' Deez 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</si>
</sst>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[$$-409]#,##0.00;[Red][$$-409]#,##0.00"/>
    <numFmt numFmtId="165" formatCode="[$$-409]#,##0.00_ ;[Red]\-[$$-409]#,##0.00\ "/>
    <numFmt numFmtId="166" formatCode="[$$-409]#,##0.00"/>
    <numFmt numFmtId="167" formatCode="_-[$$-409]* #,##0.00_ ;_-[$$-409]* \-#,##0.00\ ;_-[$$-409]* &quot;-&quot;??_ ;_-@_ "/>
    <numFmt numFmtId="168" formatCode="#,##0.00\ &quot;€&quot;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5050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7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0" fontId="0" fillId="0" borderId="0" xfId="1" applyNumberFormat="1" applyFont="1" applyAlignment="1" applyProtection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4" xfId="0" applyBorder="1"/>
    <xf numFmtId="166" fontId="0" fillId="0" borderId="5" xfId="0" applyNumberFormat="1" applyBorder="1"/>
    <xf numFmtId="0" fontId="0" fillId="0" borderId="6" xfId="0" applyBorder="1"/>
    <xf numFmtId="166" fontId="0" fillId="0" borderId="7" xfId="0" applyNumberFormat="1" applyBorder="1"/>
    <xf numFmtId="0" fontId="0" fillId="0" borderId="8" xfId="0" applyBorder="1"/>
    <xf numFmtId="168" fontId="0" fillId="0" borderId="5" xfId="0" applyNumberFormat="1" applyBorder="1"/>
    <xf numFmtId="168" fontId="0" fillId="0" borderId="7" xfId="0" applyNumberFormat="1" applyBorder="1"/>
    <xf numFmtId="0" fontId="0" fillId="0" borderId="9" xfId="0" applyBorder="1"/>
    <xf numFmtId="164" fontId="0" fillId="0" borderId="5" xfId="0" applyNumberFormat="1" applyBorder="1"/>
    <xf numFmtId="167" fontId="0" fillId="0" borderId="7" xfId="0" applyNumberFormat="1" applyBorder="1" applyAlignment="1">
      <alignment horizontal="left"/>
    </xf>
    <xf numFmtId="166" fontId="0" fillId="0" borderId="10" xfId="0" applyNumberFormat="1" applyBorder="1"/>
    <xf numFmtId="166" fontId="0" fillId="0" borderId="11" xfId="0" applyNumberFormat="1" applyBorder="1"/>
    <xf numFmtId="0" fontId="0" fillId="0" borderId="12" xfId="0" applyBorder="1"/>
    <xf numFmtId="0" fontId="0" fillId="0" borderId="14" xfId="0" applyBorder="1"/>
    <xf numFmtId="168" fontId="0" fillId="0" borderId="15" xfId="0" applyNumberFormat="1" applyBorder="1"/>
    <xf numFmtId="0" fontId="0" fillId="0" borderId="16" xfId="0" applyBorder="1"/>
    <xf numFmtId="168" fontId="0" fillId="0" borderId="17" xfId="0" applyNumberFormat="1" applyBorder="1"/>
    <xf numFmtId="168" fontId="0" fillId="0" borderId="0" xfId="0" applyNumberFormat="1" applyAlignment="1">
      <alignment horizontal="center"/>
    </xf>
    <xf numFmtId="168" fontId="0" fillId="0" borderId="9" xfId="0" applyNumberFormat="1" applyBorder="1"/>
    <xf numFmtId="0" fontId="0" fillId="3" borderId="20" xfId="0" applyFill="1" applyBorder="1"/>
    <xf numFmtId="168" fontId="0" fillId="3" borderId="13" xfId="0" applyNumberFormat="1" applyFill="1" applyBorder="1"/>
    <xf numFmtId="0" fontId="0" fillId="0" borderId="0" xfId="0" applyAlignment="1">
      <alignment horizontal="right"/>
    </xf>
    <xf numFmtId="0" fontId="0" fillId="3" borderId="18" xfId="0" applyFill="1" applyBorder="1"/>
    <xf numFmtId="168" fontId="0" fillId="3" borderId="19" xfId="0" applyNumberFormat="1" applyFill="1" applyBorder="1"/>
    <xf numFmtId="0" fontId="0" fillId="3" borderId="8" xfId="0" applyFill="1" applyBorder="1"/>
    <xf numFmtId="168" fontId="0" fillId="3" borderId="9" xfId="0" applyNumberFormat="1" applyFill="1" applyBorder="1"/>
    <xf numFmtId="166" fontId="0" fillId="3" borderId="9" xfId="0" applyNumberFormat="1" applyFill="1" applyBorder="1"/>
    <xf numFmtId="167" fontId="0" fillId="3" borderId="9" xfId="0" applyNumberFormat="1" applyFill="1" applyBorder="1"/>
    <xf numFmtId="166" fontId="0" fillId="3" borderId="12" xfId="0" applyNumberFormat="1" applyFill="1" applyBorder="1"/>
    <xf numFmtId="0" fontId="0" fillId="4" borderId="0" xfId="0" applyFill="1"/>
    <xf numFmtId="0" fontId="5" fillId="4" borderId="0" xfId="0" applyFont="1" applyFill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5" xfId="0" applyBorder="1" applyAlignment="1">
      <alignment horizontal="center"/>
    </xf>
    <xf numFmtId="0" fontId="4" fillId="4" borderId="0" xfId="0" applyFont="1" applyFill="1" applyAlignment="1">
      <alignment horizontal="right"/>
    </xf>
    <xf numFmtId="0" fontId="0" fillId="4" borderId="0" xfId="0" applyFill="1" applyAlignment="1">
      <alignment horizontal="right"/>
    </xf>
  </cellXfs>
  <cellStyles count="2">
    <cellStyle name="Milliers" xfId="1" builtinId="3"/>
    <cellStyle name="Normal" xfId="0" builtinId="0"/>
  </cellStyles>
  <dxfs count="56">
    <dxf>
      <numFmt numFmtId="166" formatCode="[$$-409]#,##0.00"/>
      <alignment horizontal="center" vertical="bottom" textRotation="0" wrapText="0" indent="0" justifyLastLine="0" shrinkToFit="0" readingOrder="0"/>
    </dxf>
    <dxf>
      <numFmt numFmtId="164" formatCode="[$$-409]#,##0.00;[Red][$$-409]#,##0.00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65" formatCode="[$$-409]#,##0.00_ ;[Red]\-[$$-409]#,##0.00\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166" formatCode="[$$-409]#,##0.00"/>
      <alignment horizontal="center" vertical="bottom" textRotation="0" wrapText="0" indent="0" justifyLastLine="0" shrinkToFit="0" readingOrder="0"/>
    </dxf>
    <dxf>
      <numFmt numFmtId="166" formatCode="[$$-409]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[$$-409]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167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numFmt numFmtId="164" formatCode="[$$-409]#,##0.00;[Red][$$-409]#,##0.00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  <protection locked="1" hidden="0"/>
    </dxf>
    <dxf>
      <numFmt numFmtId="166" formatCode="[$$-409]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166" formatCode="[$$-409]#,##0.00"/>
      <alignment horizontal="center" vertical="bottom" textRotation="0" wrapText="0" indent="0" justifyLastLine="0" shrinkToFit="0" readingOrder="0"/>
    </dxf>
    <dxf>
      <numFmt numFmtId="166" formatCode="[$$-409]#,##0.00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66" formatCode="[$$-409]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166" formatCode="[$$-409]#,##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8" formatCode="#,##0.00\ &quot;€&quot;"/>
      <alignment horizontal="center" vertical="bottom" textRotation="0" wrapText="0" indent="0" justifyLastLine="0" shrinkToFit="0" readingOrder="0"/>
    </dxf>
    <dxf>
      <numFmt numFmtId="168" formatCode="#,##0.00\ &quot;€&quot;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68" formatCode="#,##0.00\ &quot;€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274149</xdr:colOff>
      <xdr:row>6</xdr:row>
      <xdr:rowOff>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6AD1F45-9086-45AA-BE23-9B1BC08E1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37855" cy="1143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26:F31" totalsRowShown="0" headerRowDxfId="55" dataDxfId="54">
  <autoFilter ref="A26:F31" xr:uid="{00000000-0009-0000-0100-000002000000}"/>
  <tableColumns count="6">
    <tableColumn id="1" xr3:uid="{00000000-0010-0000-0000-000001000000}" name="Désignation" dataDxfId="53"/>
    <tableColumn id="3" xr3:uid="{00000000-0010-0000-0000-000003000000}" name="Quantité" dataDxfId="52"/>
    <tableColumn id="4" xr3:uid="{00000000-0010-0000-0000-000004000000}" name="PU HT" dataDxfId="51">
      <calculatedColumnFormula>TRANSPORTS!G10</calculatedColumnFormula>
    </tableColumn>
    <tableColumn id="5" xr3:uid="{00000000-0010-0000-0000-000005000000}" name="Code TVA" dataDxfId="50"/>
    <tableColumn id="6" xr3:uid="{00000000-0010-0000-0000-000006000000}" name="Total HT" dataDxfId="49">
      <calculatedColumnFormula>ANIMATIONS!G15</calculatedColumnFormula>
    </tableColumn>
    <tableColumn id="7" xr3:uid="{DDE9F87A-BF19-4B26-A4C4-0B60CCB7AA62}" name="Total TTC" dataDxfId="48">
      <calculatedColumnFormula>TRANSPORTS!G17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au3" displayName="Tableau3" ref="B5:G7" totalsRowShown="0" headerRowDxfId="47" dataDxfId="46">
  <autoFilter ref="B5:G7" xr:uid="{00000000-0009-0000-0100-000003000000}"/>
  <tableColumns count="6">
    <tableColumn id="1" xr3:uid="{00000000-0010-0000-0100-000001000000}" name="Désignation" dataDxfId="45"/>
    <tableColumn id="3" xr3:uid="{00000000-0010-0000-0100-000003000000}" name="Quantité" dataDxfId="44"/>
    <tableColumn id="4" xr3:uid="{00000000-0010-0000-0100-000004000000}" name="PU HT" dataDxfId="43"/>
    <tableColumn id="5" xr3:uid="{00000000-0010-0000-0100-000005000000}" name="% TVA" dataDxfId="42"/>
    <tableColumn id="6" xr3:uid="{00000000-0010-0000-0100-000006000000}" name="Total HT" dataDxfId="41">
      <calculatedColumnFormula>PRODUCT(Tableau3[[#This Row],[PU HT]],Tableau3[[#This Row],[Quantité]])</calculatedColumnFormula>
    </tableColumn>
    <tableColumn id="7" xr3:uid="{0EAD159B-3959-4FC4-A8C6-A5AFC26D8D51}" name="Total TTC" dataDxfId="40">
      <calculatedColumnFormula>PRODUCT(Tableau3[[#This Row],[Total HT]],1+Tableau3[[#This Row],[% TVA]])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B5:G9" totalsRowShown="0" headerRowDxfId="39" dataDxfId="37" headerRowBorderDxfId="38" tableBorderDxfId="36">
  <autoFilter ref="B5:G9" xr:uid="{00000000-0009-0000-0100-000004000000}"/>
  <tableColumns count="6">
    <tableColumn id="1" xr3:uid="{00000000-0010-0000-0200-000001000000}" name="Désignation" dataDxfId="35"/>
    <tableColumn id="3" xr3:uid="{00000000-0010-0000-0200-000003000000}" name="Quantité" dataDxfId="34"/>
    <tableColumn id="4" xr3:uid="{00000000-0010-0000-0200-000004000000}" name="PU HT" dataDxfId="33"/>
    <tableColumn id="5" xr3:uid="{00000000-0010-0000-0200-000005000000}" name="Code TVA" dataDxfId="32"/>
    <tableColumn id="6" xr3:uid="{00000000-0010-0000-0200-000006000000}" name="Total HT" dataDxfId="31">
      <calculatedColumnFormula>PRODUCT(Tableau4[[#This Row],[PU HT]],Tableau4[[#This Row],[Quantité]])</calculatedColumnFormula>
    </tableColumn>
    <tableColumn id="7" xr3:uid="{21C833C6-2F83-49D1-96FB-7C70AADDCF15}" name="Total TTC" dataDxfId="30">
      <calculatedColumnFormula>PRODUCT(Tableau4[[#This Row],[Total HT]],1+Tableau4[[#This Row],[Code TVA]])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au6" displayName="Tableau6" ref="B5:G6" totalsRowShown="0" headerRowDxfId="29" dataDxfId="27" headerRowBorderDxfId="28" tableBorderDxfId="26">
  <autoFilter ref="B5:G6" xr:uid="{00000000-0009-0000-0100-000006000000}"/>
  <tableColumns count="6">
    <tableColumn id="1" xr3:uid="{00000000-0010-0000-0300-000001000000}" name="Désignation" dataDxfId="25"/>
    <tableColumn id="3" xr3:uid="{00000000-0010-0000-0300-000003000000}" name="Quantité" dataDxfId="24"/>
    <tableColumn id="4" xr3:uid="{00000000-0010-0000-0300-000004000000}" name="PU HT" dataDxfId="23"/>
    <tableColumn id="5" xr3:uid="{00000000-0010-0000-0300-000005000000}" name="Code TVA" dataDxfId="22" dataCellStyle="Milliers"/>
    <tableColumn id="6" xr3:uid="{00000000-0010-0000-0300-000006000000}" name="Total HT" dataDxfId="21">
      <calculatedColumnFormula>PRODUCT(Tableau6[[#This Row],[PU HT]],Tableau6[[#This Row],[Quantité]])</calculatedColumnFormula>
    </tableColumn>
    <tableColumn id="7" xr3:uid="{6EB1C014-A226-49A0-9535-7597FFE42EFD}" name="Total TTC" dataDxfId="20">
      <calculatedColumnFormula>PRODUCT(Tableau6[[#This Row],[Total HT]],1+Tableau6[[#This Row],[Code TVA]])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au7" displayName="Tableau7" ref="B5:G17" totalsRowShown="0" headerRowDxfId="19" dataDxfId="17" headerRowBorderDxfId="18" tableBorderDxfId="16">
  <autoFilter ref="B5:G17" xr:uid="{00000000-0009-0000-0100-000007000000}"/>
  <tableColumns count="6">
    <tableColumn id="1" xr3:uid="{00000000-0010-0000-0400-000001000000}" name="Désignation" dataDxfId="15"/>
    <tableColumn id="3" xr3:uid="{00000000-0010-0000-0400-000003000000}" name="Quantité" dataDxfId="14"/>
    <tableColumn id="4" xr3:uid="{00000000-0010-0000-0400-000004000000}" name="PU HT" dataDxfId="13"/>
    <tableColumn id="5" xr3:uid="{00000000-0010-0000-0400-000005000000}" name="Code TVA" dataDxfId="12"/>
    <tableColumn id="6" xr3:uid="{00000000-0010-0000-0400-000006000000}" name="Total HT" dataDxfId="11">
      <calculatedColumnFormula>PRODUCT(Tableau7[[#This Row],[PU HT]],Tableau7[[#This Row],[Quantité]])</calculatedColumnFormula>
    </tableColumn>
    <tableColumn id="7" xr3:uid="{06F95F27-64BA-41BF-9B1F-2126C3C52D1F}" name="Total TTC" dataDxfId="10">
      <calculatedColumnFormula>PRODUCT(Tableau7[[#This Row],[Total HT]],1+Tableau7[[#This Row],[Code TVA]])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au8" displayName="Tableau8" ref="B5:G6" totalsRowShown="0" headerRowDxfId="9" dataDxfId="7" headerRowBorderDxfId="8" tableBorderDxfId="6">
  <autoFilter ref="B5:G6" xr:uid="{00000000-0009-0000-0100-000008000000}"/>
  <tableColumns count="6">
    <tableColumn id="1" xr3:uid="{00000000-0010-0000-0500-000001000000}" name="Désignation" dataDxfId="5"/>
    <tableColumn id="3" xr3:uid="{00000000-0010-0000-0500-000003000000}" name="Quantité" dataDxfId="4"/>
    <tableColumn id="4" xr3:uid="{00000000-0010-0000-0500-000004000000}" name="PU HT" dataDxfId="3"/>
    <tableColumn id="5" xr3:uid="{00000000-0010-0000-0500-000005000000}" name="Code TVA" dataDxfId="2"/>
    <tableColumn id="6" xr3:uid="{00000000-0010-0000-0500-000006000000}" name="Total HT" dataDxfId="1">
      <calculatedColumnFormula>PRODUCT(Tableau8[[#This Row],[PU HT]],Tableau8[[#This Row],[Quantité]])</calculatedColumnFormula>
    </tableColumn>
    <tableColumn id="7" xr3:uid="{46864645-11F8-49E3-B32E-92074974E308}" name="Total TTC" dataDxfId="0">
      <calculatedColumnFormula>PRODUCT(Tableau8[[#This Row],[Total HT]],1 + Tableau8[[#This Row],[Code TVA]])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7"/>
  <sheetViews>
    <sheetView tabSelected="1" topLeftCell="A25" zoomScale="115" zoomScaleNormal="115" workbookViewId="0">
      <selection activeCell="I9" sqref="I9"/>
    </sheetView>
  </sheetViews>
  <sheetFormatPr baseColWidth="10" defaultRowHeight="15" x14ac:dyDescent="0.25"/>
  <cols>
    <col min="1" max="1" width="14.42578125" bestFit="1" customWidth="1"/>
    <col min="2" max="2" width="16.140625" bestFit="1" customWidth="1"/>
    <col min="3" max="3" width="12.7109375" bestFit="1" customWidth="1"/>
    <col min="4" max="4" width="13.42578125" bestFit="1" customWidth="1"/>
    <col min="5" max="5" width="16.5703125" bestFit="1" customWidth="1"/>
    <col min="6" max="6" width="14.140625" customWidth="1"/>
    <col min="7" max="7" width="12.7109375" bestFit="1" customWidth="1"/>
    <col min="8" max="8" width="13.5703125" bestFit="1" customWidth="1"/>
  </cols>
  <sheetData>
    <row r="1" spans="1:6" ht="15" customHeight="1" x14ac:dyDescent="0.25">
      <c r="A1" s="41" t="s">
        <v>55</v>
      </c>
      <c r="B1" s="41"/>
      <c r="C1" s="41"/>
      <c r="D1" s="41"/>
      <c r="E1" s="41"/>
      <c r="F1" s="41"/>
    </row>
    <row r="2" spans="1:6" ht="15" customHeight="1" x14ac:dyDescent="0.25">
      <c r="A2" s="41"/>
      <c r="B2" s="41"/>
      <c r="C2" s="41"/>
      <c r="D2" s="41"/>
      <c r="E2" s="41"/>
      <c r="F2" s="41"/>
    </row>
    <row r="3" spans="1:6" x14ac:dyDescent="0.25">
      <c r="A3" s="40"/>
      <c r="B3" s="40"/>
      <c r="C3" s="59" t="s">
        <v>53</v>
      </c>
      <c r="D3" s="60"/>
      <c r="E3" s="60"/>
      <c r="F3" s="60"/>
    </row>
    <row r="4" spans="1:6" x14ac:dyDescent="0.25">
      <c r="A4" s="40"/>
      <c r="B4" s="40"/>
      <c r="C4" s="60"/>
      <c r="D4" s="60"/>
      <c r="E4" s="60"/>
      <c r="F4" s="60"/>
    </row>
    <row r="5" spans="1:6" x14ac:dyDescent="0.25">
      <c r="A5" s="40"/>
      <c r="B5" s="40"/>
      <c r="C5" s="59" t="s">
        <v>44</v>
      </c>
      <c r="D5" s="60"/>
      <c r="E5" s="60"/>
      <c r="F5" s="60"/>
    </row>
    <row r="6" spans="1:6" x14ac:dyDescent="0.25">
      <c r="A6" s="40"/>
      <c r="B6" s="40"/>
      <c r="C6" s="60"/>
      <c r="D6" s="60"/>
      <c r="E6" s="60"/>
      <c r="F6" s="60"/>
    </row>
    <row r="8" spans="1:6" x14ac:dyDescent="0.25">
      <c r="E8" s="48" t="s">
        <v>42</v>
      </c>
      <c r="F8" s="48"/>
    </row>
    <row r="9" spans="1:6" ht="15.75" thickBot="1" x14ac:dyDescent="0.3"/>
    <row r="10" spans="1:6" ht="15.75" thickBot="1" x14ac:dyDescent="0.3">
      <c r="A10" s="45" t="s">
        <v>45</v>
      </c>
      <c r="B10" s="46"/>
      <c r="C10" s="46"/>
      <c r="D10" s="46"/>
      <c r="E10" s="46"/>
      <c r="F10" s="47"/>
    </row>
    <row r="12" spans="1:6" ht="15.75" thickBot="1" x14ac:dyDescent="0.3">
      <c r="C12" s="54" t="s">
        <v>48</v>
      </c>
      <c r="D12" s="54"/>
    </row>
    <row r="13" spans="1:6" x14ac:dyDescent="0.25">
      <c r="B13" s="32" t="s">
        <v>49</v>
      </c>
      <c r="C13" s="42" t="s">
        <v>41</v>
      </c>
      <c r="D13" s="43"/>
      <c r="E13" s="43"/>
      <c r="F13" s="44"/>
    </row>
    <row r="14" spans="1:6" x14ac:dyDescent="0.25">
      <c r="B14" s="32" t="s">
        <v>50</v>
      </c>
      <c r="C14" s="49" t="s">
        <v>40</v>
      </c>
      <c r="D14" s="50"/>
      <c r="E14" s="50"/>
      <c r="F14" s="51"/>
    </row>
    <row r="15" spans="1:6" x14ac:dyDescent="0.25">
      <c r="B15" s="32"/>
      <c r="C15" s="49" t="s">
        <v>39</v>
      </c>
      <c r="D15" s="50"/>
      <c r="E15" s="50"/>
      <c r="F15" s="51"/>
    </row>
    <row r="16" spans="1:6" x14ac:dyDescent="0.25">
      <c r="B16" s="32"/>
      <c r="C16" s="56"/>
      <c r="D16" s="57"/>
      <c r="E16" s="57"/>
      <c r="F16" s="58"/>
    </row>
    <row r="17" spans="1:6" x14ac:dyDescent="0.25">
      <c r="B17" s="32" t="s">
        <v>51</v>
      </c>
      <c r="C17" s="49" t="s">
        <v>43</v>
      </c>
      <c r="D17" s="50"/>
      <c r="E17" s="50"/>
      <c r="F17" s="51"/>
    </row>
    <row r="18" spans="1:6" x14ac:dyDescent="0.25">
      <c r="C18" s="49" t="s">
        <v>38</v>
      </c>
      <c r="D18" s="50"/>
      <c r="E18" s="50"/>
      <c r="F18" s="51"/>
    </row>
    <row r="19" spans="1:6" ht="15.75" thickBot="1" x14ac:dyDescent="0.3">
      <c r="C19" s="53"/>
      <c r="D19" s="54"/>
      <c r="E19" s="54"/>
      <c r="F19" s="55"/>
    </row>
    <row r="20" spans="1:6" x14ac:dyDescent="0.25">
      <c r="D20" s="1"/>
      <c r="E20" s="1"/>
      <c r="F20" s="1"/>
    </row>
    <row r="21" spans="1:6" x14ac:dyDescent="0.25">
      <c r="C21" s="1"/>
      <c r="D21" s="1"/>
      <c r="E21" s="1"/>
      <c r="F21" s="1"/>
    </row>
    <row r="23" spans="1:6" x14ac:dyDescent="0.25">
      <c r="A23" s="52" t="s">
        <v>54</v>
      </c>
      <c r="B23" s="52"/>
    </row>
    <row r="24" spans="1:6" x14ac:dyDescent="0.25">
      <c r="C24" s="1" t="s">
        <v>37</v>
      </c>
      <c r="D24" s="1"/>
      <c r="E24" t="s">
        <v>36</v>
      </c>
      <c r="F24">
        <v>2022</v>
      </c>
    </row>
    <row r="26" spans="1:6" x14ac:dyDescent="0.25">
      <c r="A26" s="1" t="s">
        <v>0</v>
      </c>
      <c r="B26" s="1" t="s">
        <v>1</v>
      </c>
      <c r="C26" s="1" t="s">
        <v>4</v>
      </c>
      <c r="D26" s="1" t="s">
        <v>2</v>
      </c>
      <c r="E26" s="1" t="s">
        <v>3</v>
      </c>
      <c r="F26" s="1" t="s">
        <v>27</v>
      </c>
    </row>
    <row r="27" spans="1:6" x14ac:dyDescent="0.25">
      <c r="A27" s="1" t="s">
        <v>28</v>
      </c>
      <c r="B27" s="1">
        <v>1</v>
      </c>
      <c r="C27" s="28">
        <f>TRANSPORTS!G15</f>
        <v>75059</v>
      </c>
      <c r="D27" s="9">
        <v>0.2</v>
      </c>
      <c r="E27" s="28">
        <f>TRANSPORTS!G15</f>
        <v>75059</v>
      </c>
      <c r="F27" s="28">
        <f>TRANSPORTS!G17</f>
        <v>90071</v>
      </c>
    </row>
    <row r="28" spans="1:6" x14ac:dyDescent="0.25">
      <c r="A28" s="1" t="s">
        <v>29</v>
      </c>
      <c r="B28" s="1">
        <v>1</v>
      </c>
      <c r="C28" s="28">
        <f>ANIMATIONS!G16</f>
        <v>2315</v>
      </c>
      <c r="D28" s="9">
        <v>0.2</v>
      </c>
      <c r="E28" s="28">
        <f>ANIMATIONS!G16</f>
        <v>2315</v>
      </c>
      <c r="F28" s="28">
        <f>ANIMATIONS!G18</f>
        <v>2778</v>
      </c>
    </row>
    <row r="29" spans="1:6" x14ac:dyDescent="0.25">
      <c r="A29" s="1" t="s">
        <v>30</v>
      </c>
      <c r="B29" s="1">
        <v>1</v>
      </c>
      <c r="C29" s="28">
        <f>DEPLACEMENTS!F13</f>
        <v>87</v>
      </c>
      <c r="D29" s="9">
        <v>0.2</v>
      </c>
      <c r="E29" s="28">
        <f>DEPLACEMENTS!F13</f>
        <v>87</v>
      </c>
      <c r="F29" s="28">
        <f>DEPLACEMENTS!F15</f>
        <v>105</v>
      </c>
    </row>
    <row r="30" spans="1:6" x14ac:dyDescent="0.25">
      <c r="A30" s="1" t="s">
        <v>31</v>
      </c>
      <c r="B30" s="1">
        <v>1</v>
      </c>
      <c r="C30" s="28">
        <f>REPAS!G24</f>
        <v>19810</v>
      </c>
      <c r="D30" s="9">
        <v>0.2</v>
      </c>
      <c r="E30" s="28">
        <f>REPAS!G24</f>
        <v>19810</v>
      </c>
      <c r="F30" s="28">
        <f>REPAS!G26</f>
        <v>23772</v>
      </c>
    </row>
    <row r="31" spans="1:6" x14ac:dyDescent="0.25">
      <c r="A31" s="1" t="s">
        <v>32</v>
      </c>
      <c r="B31" s="1">
        <v>1</v>
      </c>
      <c r="C31" s="28">
        <f>HOTEL!G13</f>
        <v>13749</v>
      </c>
      <c r="D31" s="9">
        <v>0.2</v>
      </c>
      <c r="E31" s="28">
        <f>HOTEL!G13</f>
        <v>13749</v>
      </c>
      <c r="F31" s="28">
        <f>HOTEL!G15</f>
        <v>16498</v>
      </c>
    </row>
    <row r="32" spans="1:6" x14ac:dyDescent="0.25">
      <c r="A32" s="1"/>
      <c r="B32" s="1"/>
      <c r="C32" s="1"/>
      <c r="D32" s="1"/>
      <c r="E32" s="1"/>
      <c r="F32" s="1"/>
    </row>
    <row r="34" spans="5:6" x14ac:dyDescent="0.25">
      <c r="E34" s="11" t="s">
        <v>46</v>
      </c>
      <c r="F34" s="16">
        <f>SUM(Tableau2[Total HT])</f>
        <v>111020</v>
      </c>
    </row>
    <row r="35" spans="5:6" x14ac:dyDescent="0.25">
      <c r="E35" s="15" t="s">
        <v>47</v>
      </c>
      <c r="F35" s="29">
        <f>F37-F34</f>
        <v>22204</v>
      </c>
    </row>
    <row r="36" spans="5:6" ht="15.75" thickBot="1" x14ac:dyDescent="0.3"/>
    <row r="37" spans="5:6" ht="15.75" thickBot="1" x14ac:dyDescent="0.3">
      <c r="E37" s="30" t="s">
        <v>52</v>
      </c>
      <c r="F37" s="31">
        <f>SUM(Tableau2[Total TTC])</f>
        <v>133224</v>
      </c>
    </row>
  </sheetData>
  <mergeCells count="14">
    <mergeCell ref="A23:B23"/>
    <mergeCell ref="C19:F19"/>
    <mergeCell ref="C16:F16"/>
    <mergeCell ref="C18:F18"/>
    <mergeCell ref="C3:F4"/>
    <mergeCell ref="C5:F6"/>
    <mergeCell ref="C12:D12"/>
    <mergeCell ref="C17:F17"/>
    <mergeCell ref="A1:F2"/>
    <mergeCell ref="C13:F13"/>
    <mergeCell ref="A10:F10"/>
    <mergeCell ref="E8:F8"/>
    <mergeCell ref="C15:F15"/>
    <mergeCell ref="C14:F14"/>
  </mergeCells>
  <pageMargins left="0.7" right="0.7" top="0.75" bottom="0.75" header="0.3" footer="0.3"/>
  <pageSetup paperSize="9" fitToWidth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G18"/>
  <sheetViews>
    <sheetView topLeftCell="A2" zoomScale="115" zoomScaleNormal="115" workbookViewId="0">
      <selection activeCell="C8" sqref="C8"/>
    </sheetView>
  </sheetViews>
  <sheetFormatPr baseColWidth="10" defaultRowHeight="15" x14ac:dyDescent="0.25"/>
  <cols>
    <col min="2" max="2" width="32.28515625" bestFit="1" customWidth="1"/>
    <col min="5" max="5" width="10.42578125" bestFit="1" customWidth="1"/>
    <col min="6" max="6" width="22.5703125" bestFit="1" customWidth="1"/>
    <col min="7" max="7" width="13" customWidth="1"/>
    <col min="8" max="8" width="12.140625" bestFit="1" customWidth="1"/>
  </cols>
  <sheetData>
    <row r="5" spans="2:7" x14ac:dyDescent="0.25">
      <c r="B5" s="1" t="s">
        <v>0</v>
      </c>
      <c r="C5" s="1" t="s">
        <v>1</v>
      </c>
      <c r="D5" s="1" t="s">
        <v>4</v>
      </c>
      <c r="E5" s="1" t="s">
        <v>25</v>
      </c>
      <c r="F5" s="1" t="s">
        <v>3</v>
      </c>
      <c r="G5" s="1" t="s">
        <v>27</v>
      </c>
    </row>
    <row r="6" spans="2:7" x14ac:dyDescent="0.25">
      <c r="B6" s="1" t="s">
        <v>26</v>
      </c>
      <c r="C6" s="1">
        <v>7</v>
      </c>
      <c r="D6" s="10">
        <v>7592.93</v>
      </c>
      <c r="E6" s="9">
        <v>0.2</v>
      </c>
      <c r="F6" s="6">
        <f>PRODUCT(Tableau3[[#This Row],[PU HT]],Tableau3[[#This Row],[Quantité]])</f>
        <v>53150.51</v>
      </c>
      <c r="G6" s="6">
        <f>PRODUCT(Tableau3[[#This Row],[Total HT]],1+Tableau3[[#This Row],[% TVA]])</f>
        <v>63780.612000000001</v>
      </c>
    </row>
    <row r="7" spans="2:7" x14ac:dyDescent="0.25">
      <c r="B7" s="1" t="s">
        <v>6</v>
      </c>
      <c r="C7" s="1">
        <v>7</v>
      </c>
      <c r="D7" s="6">
        <v>3773.22</v>
      </c>
      <c r="E7" s="9">
        <v>0.2</v>
      </c>
      <c r="F7" s="6">
        <f>PRODUCT(Tableau3[[#This Row],[PU HT]],Tableau3[[#This Row],[Quantité]])</f>
        <v>26412.539999999997</v>
      </c>
      <c r="G7" s="6">
        <f>PRODUCT(Tableau3[[#This Row],[Total HT]],1+Tableau3[[#This Row],[% TVA]])</f>
        <v>31695.047999999995</v>
      </c>
    </row>
    <row r="10" spans="2:7" x14ac:dyDescent="0.25">
      <c r="F10" s="11" t="s">
        <v>3</v>
      </c>
      <c r="G10" s="21">
        <f>SUM(Tableau3[Total HT])</f>
        <v>79563.05</v>
      </c>
    </row>
    <row r="11" spans="2:7" x14ac:dyDescent="0.25">
      <c r="F11" s="13" t="s">
        <v>33</v>
      </c>
      <c r="G11" s="22">
        <f>G12-G10</f>
        <v>15912.61</v>
      </c>
    </row>
    <row r="12" spans="2:7" x14ac:dyDescent="0.25">
      <c r="F12" s="35" t="s">
        <v>27</v>
      </c>
      <c r="G12" s="39">
        <f>SUM(Tableau3[Total TTC])</f>
        <v>95475.66</v>
      </c>
    </row>
    <row r="14" spans="2:7" ht="15.75" thickBot="1" x14ac:dyDescent="0.3"/>
    <row r="15" spans="2:7" x14ac:dyDescent="0.25">
      <c r="F15" s="24" t="s">
        <v>34</v>
      </c>
      <c r="G15" s="25">
        <f>QUOTIENT(G10,G18)</f>
        <v>75059</v>
      </c>
    </row>
    <row r="16" spans="2:7" x14ac:dyDescent="0.25">
      <c r="F16" s="26" t="s">
        <v>33</v>
      </c>
      <c r="G16" s="27">
        <f>G17-G15</f>
        <v>15012</v>
      </c>
    </row>
    <row r="17" spans="6:7" ht="15.75" thickBot="1" x14ac:dyDescent="0.3">
      <c r="F17" s="33" t="s">
        <v>35</v>
      </c>
      <c r="G17" s="34">
        <f>QUOTIENT(G12,G18)</f>
        <v>90071</v>
      </c>
    </row>
    <row r="18" spans="6:7" x14ac:dyDescent="0.25">
      <c r="F18" s="15" t="s">
        <v>24</v>
      </c>
      <c r="G18" s="23">
        <v>1.06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G19"/>
  <sheetViews>
    <sheetView workbookViewId="0">
      <selection activeCell="F14" sqref="F14:G14"/>
    </sheetView>
  </sheetViews>
  <sheetFormatPr baseColWidth="10" defaultRowHeight="15" x14ac:dyDescent="0.25"/>
  <cols>
    <col min="2" max="2" width="13.7109375" customWidth="1"/>
    <col min="6" max="6" width="22.5703125" bestFit="1" customWidth="1"/>
  </cols>
  <sheetData>
    <row r="5" spans="2:7" x14ac:dyDescent="0.25">
      <c r="B5" s="2" t="s">
        <v>0</v>
      </c>
      <c r="C5" s="3" t="s">
        <v>1</v>
      </c>
      <c r="D5" s="3" t="s">
        <v>4</v>
      </c>
      <c r="E5" s="3" t="s">
        <v>2</v>
      </c>
      <c r="F5" s="4" t="s">
        <v>3</v>
      </c>
      <c r="G5" s="3" t="s">
        <v>27</v>
      </c>
    </row>
    <row r="6" spans="2:7" x14ac:dyDescent="0.25">
      <c r="B6" s="1" t="s">
        <v>7</v>
      </c>
      <c r="C6" s="1">
        <v>1</v>
      </c>
      <c r="D6" s="6">
        <v>1666.67</v>
      </c>
      <c r="E6" s="9">
        <v>0.2</v>
      </c>
      <c r="F6" s="6">
        <f>PRODUCT(Tableau4[[#This Row],[PU HT]],Tableau4[[#This Row],[Quantité]])</f>
        <v>1666.67</v>
      </c>
      <c r="G6" s="6">
        <f>PRODUCT(Tableau4[[#This Row],[Total HT]],1+Tableau4[[#This Row],[Code TVA]])</f>
        <v>2000.0039999999999</v>
      </c>
    </row>
    <row r="7" spans="2:7" x14ac:dyDescent="0.25">
      <c r="B7" s="1" t="s">
        <v>8</v>
      </c>
      <c r="C7" s="1">
        <v>21</v>
      </c>
      <c r="D7" s="6">
        <v>8.33</v>
      </c>
      <c r="E7" s="9">
        <v>0.2</v>
      </c>
      <c r="F7" s="6">
        <f>PRODUCT(Tableau4[[#This Row],[PU HT]],Tableau4[[#This Row],[Quantité]])</f>
        <v>174.93</v>
      </c>
      <c r="G7" s="6">
        <f>PRODUCT(Tableau4[[#This Row],[Total HT]],1+Tableau4[[#This Row],[Code TVA]])</f>
        <v>209.916</v>
      </c>
    </row>
    <row r="8" spans="2:7" x14ac:dyDescent="0.25">
      <c r="B8" s="1" t="s">
        <v>9</v>
      </c>
      <c r="C8" s="1">
        <v>21</v>
      </c>
      <c r="D8" s="6">
        <v>8.33</v>
      </c>
      <c r="E8" s="9">
        <v>0.2</v>
      </c>
      <c r="F8" s="6">
        <f>PRODUCT(Tableau4[[#This Row],[PU HT]],Tableau4[[#This Row],[Quantité]])</f>
        <v>174.93</v>
      </c>
      <c r="G8" s="6">
        <f>PRODUCT(Tableau4[[#This Row],[Total HT]],1+Tableau4[[#This Row],[Code TVA]])</f>
        <v>209.916</v>
      </c>
    </row>
    <row r="9" spans="2:7" x14ac:dyDescent="0.25">
      <c r="B9" s="1" t="s">
        <v>10</v>
      </c>
      <c r="C9" s="1">
        <v>21</v>
      </c>
      <c r="D9" s="6">
        <v>20.83</v>
      </c>
      <c r="E9" s="9">
        <v>0.2</v>
      </c>
      <c r="F9" s="6">
        <f>PRODUCT(Tableau4[[#This Row],[PU HT]],Tableau4[[#This Row],[Quantité]])</f>
        <v>437.42999999999995</v>
      </c>
      <c r="G9" s="6">
        <f>PRODUCT(Tableau4[[#This Row],[Total HT]],1+Tableau4[[#This Row],[Code TVA]])</f>
        <v>524.91599999999994</v>
      </c>
    </row>
    <row r="12" spans="2:7" x14ac:dyDescent="0.25">
      <c r="F12" s="11" t="s">
        <v>3</v>
      </c>
      <c r="G12" s="12">
        <f>SUM(Tableau4[Total HT])</f>
        <v>2453.96</v>
      </c>
    </row>
    <row r="13" spans="2:7" x14ac:dyDescent="0.25">
      <c r="F13" s="13" t="s">
        <v>33</v>
      </c>
      <c r="G13" s="14">
        <f>G14-G12</f>
        <v>490.79200000000037</v>
      </c>
    </row>
    <row r="14" spans="2:7" x14ac:dyDescent="0.25">
      <c r="F14" s="35" t="s">
        <v>27</v>
      </c>
      <c r="G14" s="37">
        <f>SUM(Tableau4[Total TTC])</f>
        <v>2944.7520000000004</v>
      </c>
    </row>
    <row r="16" spans="2:7" x14ac:dyDescent="0.25">
      <c r="F16" s="11" t="s">
        <v>34</v>
      </c>
      <c r="G16" s="16">
        <f>QUOTIENT(G12,G19)</f>
        <v>2315</v>
      </c>
    </row>
    <row r="17" spans="6:7" x14ac:dyDescent="0.25">
      <c r="F17" s="13" t="s">
        <v>33</v>
      </c>
      <c r="G17" s="17">
        <f>G18-G16</f>
        <v>463</v>
      </c>
    </row>
    <row r="18" spans="6:7" x14ac:dyDescent="0.25">
      <c r="F18" s="35" t="s">
        <v>35</v>
      </c>
      <c r="G18" s="36">
        <f>QUOTIENT(G14,G19)</f>
        <v>2778</v>
      </c>
    </row>
    <row r="19" spans="6:7" x14ac:dyDescent="0.25">
      <c r="F19" s="15" t="s">
        <v>24</v>
      </c>
      <c r="G19" s="18">
        <v>1.06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G16"/>
  <sheetViews>
    <sheetView workbookViewId="0">
      <selection activeCell="E11" sqref="E11:F11"/>
    </sheetView>
  </sheetViews>
  <sheetFormatPr baseColWidth="10" defaultRowHeight="15" x14ac:dyDescent="0.25"/>
  <cols>
    <col min="2" max="2" width="13.7109375" customWidth="1"/>
    <col min="5" max="5" width="22.5703125" bestFit="1" customWidth="1"/>
    <col min="6" max="6" width="12.7109375" bestFit="1" customWidth="1"/>
  </cols>
  <sheetData>
    <row r="5" spans="2:7" x14ac:dyDescent="0.25">
      <c r="B5" s="2" t="s">
        <v>0</v>
      </c>
      <c r="C5" s="3" t="s">
        <v>1</v>
      </c>
      <c r="D5" s="3" t="s">
        <v>4</v>
      </c>
      <c r="E5" s="3" t="s">
        <v>2</v>
      </c>
      <c r="F5" s="4" t="s">
        <v>3</v>
      </c>
      <c r="G5" s="3" t="s">
        <v>27</v>
      </c>
    </row>
    <row r="6" spans="2:7" x14ac:dyDescent="0.25">
      <c r="B6" s="1" t="s">
        <v>5</v>
      </c>
      <c r="C6" s="1">
        <v>21</v>
      </c>
      <c r="D6" s="6">
        <v>4.3899999999999997</v>
      </c>
      <c r="E6" s="7">
        <v>0.2</v>
      </c>
      <c r="F6" s="8">
        <f>PRODUCT(Tableau6[[#This Row],[PU HT]],Tableau6[[#This Row],[Quantité]])</f>
        <v>92.19</v>
      </c>
      <c r="G6" s="5">
        <f>PRODUCT(Tableau6[[#This Row],[Total HT]],1+Tableau6[[#This Row],[Code TVA]])</f>
        <v>110.628</v>
      </c>
    </row>
    <row r="9" spans="2:7" x14ac:dyDescent="0.25">
      <c r="E9" s="11" t="s">
        <v>3</v>
      </c>
      <c r="F9" s="19" cm="1">
        <f t="array" ref="F9">Tableau6[Total HT]</f>
        <v>92.19</v>
      </c>
    </row>
    <row r="10" spans="2:7" x14ac:dyDescent="0.25">
      <c r="E10" s="13" t="s">
        <v>33</v>
      </c>
      <c r="F10" s="20">
        <f>F11-F9</f>
        <v>18.438000000000002</v>
      </c>
    </row>
    <row r="11" spans="2:7" x14ac:dyDescent="0.25">
      <c r="E11" s="35" t="s">
        <v>27</v>
      </c>
      <c r="F11" s="38" cm="1">
        <f t="array" ref="F11">Tableau6[Total TTC]</f>
        <v>110.628</v>
      </c>
    </row>
    <row r="13" spans="2:7" x14ac:dyDescent="0.25">
      <c r="E13" s="11" t="s">
        <v>34</v>
      </c>
      <c r="F13" s="16">
        <f>QUOTIENT(F9,F16)</f>
        <v>87</v>
      </c>
    </row>
    <row r="14" spans="2:7" x14ac:dyDescent="0.25">
      <c r="E14" s="13" t="s">
        <v>33</v>
      </c>
      <c r="F14" s="17">
        <f>F15-F13</f>
        <v>18</v>
      </c>
    </row>
    <row r="15" spans="2:7" x14ac:dyDescent="0.25">
      <c r="E15" s="35" t="s">
        <v>35</v>
      </c>
      <c r="F15" s="36">
        <f>QUOTIENT(F11,F16)</f>
        <v>105</v>
      </c>
    </row>
    <row r="16" spans="2:7" x14ac:dyDescent="0.25">
      <c r="E16" s="15" t="s">
        <v>24</v>
      </c>
      <c r="F16" s="18">
        <v>1.05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G27"/>
  <sheetViews>
    <sheetView topLeftCell="A13" workbookViewId="0">
      <selection activeCell="F22" sqref="F22:G22"/>
    </sheetView>
  </sheetViews>
  <sheetFormatPr baseColWidth="10" defaultRowHeight="15" x14ac:dyDescent="0.25"/>
  <cols>
    <col min="2" max="2" width="22.28515625" bestFit="1" customWidth="1"/>
    <col min="6" max="6" width="22.5703125" bestFit="1" customWidth="1"/>
  </cols>
  <sheetData>
    <row r="5" spans="2:7" x14ac:dyDescent="0.25">
      <c r="B5" s="2" t="s">
        <v>0</v>
      </c>
      <c r="C5" s="3" t="s">
        <v>1</v>
      </c>
      <c r="D5" s="3" t="s">
        <v>4</v>
      </c>
      <c r="E5" s="3" t="s">
        <v>2</v>
      </c>
      <c r="F5" s="4" t="s">
        <v>3</v>
      </c>
      <c r="G5" s="3" t="s">
        <v>27</v>
      </c>
    </row>
    <row r="6" spans="2:7" x14ac:dyDescent="0.25">
      <c r="B6" s="1" t="s">
        <v>11</v>
      </c>
      <c r="C6" s="1">
        <v>21</v>
      </c>
      <c r="D6" s="6">
        <v>83.33</v>
      </c>
      <c r="E6" s="9">
        <v>0.2</v>
      </c>
      <c r="F6" s="6">
        <f>PRODUCT(Tableau7[[#This Row],[PU HT]],Tableau7[[#This Row],[Quantité]])</f>
        <v>1749.93</v>
      </c>
      <c r="G6" s="6">
        <f>PRODUCT(Tableau7[[#This Row],[Total HT]],1+Tableau7[[#This Row],[Code TVA]])</f>
        <v>2099.9160000000002</v>
      </c>
    </row>
    <row r="7" spans="2:7" x14ac:dyDescent="0.25">
      <c r="B7" s="1" t="s">
        <v>12</v>
      </c>
      <c r="C7" s="1">
        <v>21</v>
      </c>
      <c r="D7" s="6">
        <v>83.33</v>
      </c>
      <c r="E7" s="9">
        <v>0.2</v>
      </c>
      <c r="F7" s="6">
        <f>PRODUCT(Tableau7[[#This Row],[PU HT]],Tableau7[[#This Row],[Quantité]])</f>
        <v>1749.93</v>
      </c>
      <c r="G7" s="6">
        <f>PRODUCT(Tableau7[[#This Row],[Total HT]],1+Tableau7[[#This Row],[Code TVA]])</f>
        <v>2099.9160000000002</v>
      </c>
    </row>
    <row r="8" spans="2:7" x14ac:dyDescent="0.25">
      <c r="B8" s="1" t="s">
        <v>13</v>
      </c>
      <c r="C8" s="1">
        <v>21</v>
      </c>
      <c r="D8" s="6">
        <v>83.33</v>
      </c>
      <c r="E8" s="9">
        <v>0.2</v>
      </c>
      <c r="F8" s="6">
        <f>PRODUCT(Tableau7[[#This Row],[PU HT]],Tableau7[[#This Row],[Quantité]])</f>
        <v>1749.93</v>
      </c>
      <c r="G8" s="6">
        <f>PRODUCT(Tableau7[[#This Row],[Total HT]],1+Tableau7[[#This Row],[Code TVA]])</f>
        <v>2099.9160000000002</v>
      </c>
    </row>
    <row r="9" spans="2:7" x14ac:dyDescent="0.25">
      <c r="B9" s="1" t="s">
        <v>14</v>
      </c>
      <c r="C9" s="1">
        <v>21</v>
      </c>
      <c r="D9" s="6">
        <v>83.33</v>
      </c>
      <c r="E9" s="9">
        <v>0.2</v>
      </c>
      <c r="F9" s="6">
        <f>PRODUCT(Tableau7[[#This Row],[PU HT]],Tableau7[[#This Row],[Quantité]])</f>
        <v>1749.93</v>
      </c>
      <c r="G9" s="6">
        <f>PRODUCT(Tableau7[[#This Row],[Total HT]],1+Tableau7[[#This Row],[Code TVA]])</f>
        <v>2099.9160000000002</v>
      </c>
    </row>
    <row r="10" spans="2:7" x14ac:dyDescent="0.25">
      <c r="B10" s="1" t="s">
        <v>15</v>
      </c>
      <c r="C10" s="1">
        <v>21</v>
      </c>
      <c r="D10" s="6">
        <v>83.33</v>
      </c>
      <c r="E10" s="9">
        <v>0.2</v>
      </c>
      <c r="F10" s="6">
        <f>PRODUCT(Tableau7[[#This Row],[PU HT]],Tableau7[[#This Row],[Quantité]])</f>
        <v>1749.93</v>
      </c>
      <c r="G10" s="6">
        <f>PRODUCT(Tableau7[[#This Row],[Total HT]],1+Tableau7[[#This Row],[Code TVA]])</f>
        <v>2099.9160000000002</v>
      </c>
    </row>
    <row r="11" spans="2:7" x14ac:dyDescent="0.25">
      <c r="B11" s="1" t="s">
        <v>16</v>
      </c>
      <c r="C11" s="1">
        <v>21</v>
      </c>
      <c r="D11" s="6">
        <v>83.33</v>
      </c>
      <c r="E11" s="9">
        <v>0.2</v>
      </c>
      <c r="F11" s="6">
        <f>PRODUCT(Tableau7[[#This Row],[PU HT]],Tableau7[[#This Row],[Quantité]])</f>
        <v>1749.93</v>
      </c>
      <c r="G11" s="6">
        <f>PRODUCT(Tableau7[[#This Row],[Total HT]],1+Tableau7[[#This Row],[Code TVA]])</f>
        <v>2099.9160000000002</v>
      </c>
    </row>
    <row r="12" spans="2:7" x14ac:dyDescent="0.25">
      <c r="B12" s="1" t="s">
        <v>17</v>
      </c>
      <c r="C12" s="1">
        <v>21</v>
      </c>
      <c r="D12" s="6">
        <v>83.33</v>
      </c>
      <c r="E12" s="9">
        <v>0.2</v>
      </c>
      <c r="F12" s="6">
        <f>PRODUCT(Tableau7[[#This Row],[PU HT]],Tableau7[[#This Row],[Quantité]])</f>
        <v>1749.93</v>
      </c>
      <c r="G12" s="6">
        <f>PRODUCT(Tableau7[[#This Row],[Total HT]],1+Tableau7[[#This Row],[Code TVA]])</f>
        <v>2099.9160000000002</v>
      </c>
    </row>
    <row r="13" spans="2:7" x14ac:dyDescent="0.25">
      <c r="B13" s="1" t="s">
        <v>18</v>
      </c>
      <c r="C13" s="1">
        <v>21</v>
      </c>
      <c r="D13" s="6">
        <v>83.33</v>
      </c>
      <c r="E13" s="9">
        <v>0.2</v>
      </c>
      <c r="F13" s="6">
        <f>PRODUCT(Tableau7[[#This Row],[PU HT]],Tableau7[[#This Row],[Quantité]])</f>
        <v>1749.93</v>
      </c>
      <c r="G13" s="6">
        <f>PRODUCT(Tableau7[[#This Row],[Total HT]],1+Tableau7[[#This Row],[Code TVA]])</f>
        <v>2099.9160000000002</v>
      </c>
    </row>
    <row r="14" spans="2:7" x14ac:dyDescent="0.25">
      <c r="B14" s="1" t="s">
        <v>19</v>
      </c>
      <c r="C14" s="1">
        <v>21</v>
      </c>
      <c r="D14" s="6">
        <v>83.33</v>
      </c>
      <c r="E14" s="9">
        <v>0.2</v>
      </c>
      <c r="F14" s="6">
        <f>PRODUCT(Tableau7[[#This Row],[PU HT]],Tableau7[[#This Row],[Quantité]])</f>
        <v>1749.93</v>
      </c>
      <c r="G14" s="6">
        <f>PRODUCT(Tableau7[[#This Row],[Total HT]],1+Tableau7[[#This Row],[Code TVA]])</f>
        <v>2099.9160000000002</v>
      </c>
    </row>
    <row r="15" spans="2:7" x14ac:dyDescent="0.25">
      <c r="B15" s="1" t="s">
        <v>20</v>
      </c>
      <c r="C15" s="1">
        <v>21</v>
      </c>
      <c r="D15" s="6">
        <v>83.33</v>
      </c>
      <c r="E15" s="9">
        <v>0.2</v>
      </c>
      <c r="F15" s="6">
        <f>PRODUCT(Tableau7[[#This Row],[PU HT]],Tableau7[[#This Row],[Quantité]])</f>
        <v>1749.93</v>
      </c>
      <c r="G15" s="6">
        <f>PRODUCT(Tableau7[[#This Row],[Total HT]],1+Tableau7[[#This Row],[Code TVA]])</f>
        <v>2099.9160000000002</v>
      </c>
    </row>
    <row r="16" spans="2:7" x14ac:dyDescent="0.25">
      <c r="B16" s="1" t="s">
        <v>21</v>
      </c>
      <c r="C16" s="1">
        <v>21</v>
      </c>
      <c r="D16" s="6">
        <v>83.33</v>
      </c>
      <c r="E16" s="9">
        <v>0.2</v>
      </c>
      <c r="F16" s="6">
        <f>PRODUCT(Tableau7[[#This Row],[PU HT]],Tableau7[[#This Row],[Quantité]])</f>
        <v>1749.93</v>
      </c>
      <c r="G16" s="6">
        <f>PRODUCT(Tableau7[[#This Row],[Total HT]],1+Tableau7[[#This Row],[Code TVA]])</f>
        <v>2099.9160000000002</v>
      </c>
    </row>
    <row r="17" spans="2:7" x14ac:dyDescent="0.25">
      <c r="B17" s="1" t="s">
        <v>22</v>
      </c>
      <c r="C17" s="1">
        <v>21</v>
      </c>
      <c r="D17" s="6">
        <v>83.33</v>
      </c>
      <c r="E17" s="9">
        <v>0.2</v>
      </c>
      <c r="F17" s="6">
        <f>PRODUCT(Tableau7[[#This Row],[PU HT]],Tableau7[[#This Row],[Quantité]])</f>
        <v>1749.93</v>
      </c>
      <c r="G17" s="6">
        <f>PRODUCT(Tableau7[[#This Row],[Total HT]],1+Tableau7[[#This Row],[Code TVA]])</f>
        <v>2099.9160000000002</v>
      </c>
    </row>
    <row r="20" spans="2:7" x14ac:dyDescent="0.25">
      <c r="F20" s="11" t="s">
        <v>3</v>
      </c>
      <c r="G20" s="12">
        <f>SUM(Tableau7[Total HT])</f>
        <v>20999.16</v>
      </c>
    </row>
    <row r="21" spans="2:7" x14ac:dyDescent="0.25">
      <c r="F21" s="13" t="s">
        <v>33</v>
      </c>
      <c r="G21" s="14">
        <f>G22-G20</f>
        <v>4199.8320000000094</v>
      </c>
    </row>
    <row r="22" spans="2:7" x14ac:dyDescent="0.25">
      <c r="F22" s="35" t="s">
        <v>27</v>
      </c>
      <c r="G22" s="37">
        <f>SUM(Tableau7[Total TTC])</f>
        <v>25198.992000000009</v>
      </c>
    </row>
    <row r="24" spans="2:7" x14ac:dyDescent="0.25">
      <c r="F24" s="11" t="s">
        <v>34</v>
      </c>
      <c r="G24" s="16">
        <f>QUOTIENT(G20,G27)</f>
        <v>19810</v>
      </c>
    </row>
    <row r="25" spans="2:7" x14ac:dyDescent="0.25">
      <c r="F25" s="13" t="s">
        <v>33</v>
      </c>
      <c r="G25" s="17">
        <f>G26-G24</f>
        <v>3962</v>
      </c>
    </row>
    <row r="26" spans="2:7" x14ac:dyDescent="0.25">
      <c r="F26" s="35" t="s">
        <v>35</v>
      </c>
      <c r="G26" s="36">
        <f>QUOTIENT(G22,G27)</f>
        <v>23772</v>
      </c>
    </row>
    <row r="27" spans="2:7" x14ac:dyDescent="0.25">
      <c r="F27" s="15" t="s">
        <v>24</v>
      </c>
      <c r="G27" s="18">
        <v>1.06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5:G16"/>
  <sheetViews>
    <sheetView zoomScale="120" zoomScaleNormal="120" workbookViewId="0">
      <selection activeCell="F11" sqref="F11:G11"/>
    </sheetView>
  </sheetViews>
  <sheetFormatPr baseColWidth="10" defaultRowHeight="15" x14ac:dyDescent="0.25"/>
  <cols>
    <col min="2" max="2" width="17.85546875" bestFit="1" customWidth="1"/>
    <col min="6" max="6" width="22.5703125" bestFit="1" customWidth="1"/>
  </cols>
  <sheetData>
    <row r="5" spans="2:7" x14ac:dyDescent="0.25">
      <c r="B5" s="2" t="s">
        <v>0</v>
      </c>
      <c r="C5" s="3" t="s">
        <v>1</v>
      </c>
      <c r="D5" s="3" t="s">
        <v>4</v>
      </c>
      <c r="E5" s="3" t="s">
        <v>2</v>
      </c>
      <c r="F5" s="4" t="s">
        <v>3</v>
      </c>
      <c r="G5" s="3" t="s">
        <v>27</v>
      </c>
    </row>
    <row r="6" spans="2:7" x14ac:dyDescent="0.25">
      <c r="B6" s="1" t="s">
        <v>23</v>
      </c>
      <c r="C6" s="1">
        <v>21</v>
      </c>
      <c r="D6" s="10">
        <v>694</v>
      </c>
      <c r="E6" s="9">
        <v>0.2</v>
      </c>
      <c r="F6" s="8">
        <f>PRODUCT(Tableau8[[#This Row],[PU HT]],Tableau8[[#This Row],[Quantité]])</f>
        <v>14574</v>
      </c>
      <c r="G6" s="6">
        <f>PRODUCT(Tableau8[[#This Row],[Total HT]],1 + Tableau8[[#This Row],[Code TVA]])</f>
        <v>17488.8</v>
      </c>
    </row>
    <row r="9" spans="2:7" x14ac:dyDescent="0.25">
      <c r="F9" s="11" t="s">
        <v>3</v>
      </c>
      <c r="G9" s="19" cm="1">
        <f t="array" ref="G9">Tableau8[Total HT]</f>
        <v>14574</v>
      </c>
    </row>
    <row r="10" spans="2:7" x14ac:dyDescent="0.25">
      <c r="F10" s="13" t="s">
        <v>33</v>
      </c>
      <c r="G10" s="14">
        <f>G11-G9</f>
        <v>2914.7999999999993</v>
      </c>
    </row>
    <row r="11" spans="2:7" x14ac:dyDescent="0.25">
      <c r="F11" s="35" t="s">
        <v>27</v>
      </c>
      <c r="G11" s="37" cm="1">
        <f t="array" ref="G11">Tableau8[Total TTC]</f>
        <v>17488.8</v>
      </c>
    </row>
    <row r="13" spans="2:7" x14ac:dyDescent="0.25">
      <c r="F13" s="11" t="s">
        <v>34</v>
      </c>
      <c r="G13" s="16">
        <f>QUOTIENT(G9,G16)</f>
        <v>13749</v>
      </c>
    </row>
    <row r="14" spans="2:7" x14ac:dyDescent="0.25">
      <c r="F14" s="13" t="s">
        <v>33</v>
      </c>
      <c r="G14" s="17">
        <f>G15-G13</f>
        <v>2749</v>
      </c>
    </row>
    <row r="15" spans="2:7" x14ac:dyDescent="0.25">
      <c r="F15" s="35" t="s">
        <v>35</v>
      </c>
      <c r="G15" s="36">
        <f>QUOTIENT(G11,G16)</f>
        <v>16498</v>
      </c>
    </row>
    <row r="16" spans="2:7" x14ac:dyDescent="0.25">
      <c r="F16" s="15" t="s">
        <v>24</v>
      </c>
      <c r="G16" s="18">
        <v>1.06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BUDGET</vt:lpstr>
      <vt:lpstr>TRANSPORTS</vt:lpstr>
      <vt:lpstr>ANIMATIONS</vt:lpstr>
      <vt:lpstr>DEPLACEMENTS</vt:lpstr>
      <vt:lpstr>REPAS</vt:lpstr>
      <vt:lpstr>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Elève</dc:creator>
  <cp:lastModifiedBy>Elève</cp:lastModifiedBy>
  <cp:lastPrinted>2022-12-15T18:44:52Z</cp:lastPrinted>
  <dcterms:created xsi:type="dcterms:W3CDTF">2022-12-12T12:50:11Z</dcterms:created>
  <dcterms:modified xsi:type="dcterms:W3CDTF">2022-12-15T18:44:54Z</dcterms:modified>
</cp:coreProperties>
</file>